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bookViews>
    <workbookView xWindow="0" yWindow="0" windowWidth="20490" windowHeight="7155" tabRatio="601"/>
  </bookViews>
  <sheets>
    <sheet name="RESUMEN MENSUAL" sheetId="25" r:id="rId1"/>
    <sheet name="1. RESUMEN DE PAGADOS " sheetId="4" r:id="rId2"/>
    <sheet name="2. COMPR DEV 30%" sheetId="16" r:id="rId3"/>
    <sheet name="3. COMP VR" sheetId="17" r:id="rId4"/>
    <sheet name="4. COMP VP" sheetId="18" r:id="rId5"/>
    <sheet name="5. REPORTE FALLECIDOS ENERO" sheetId="26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M37" i="26" l="1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0" i="26"/>
  <c r="M19" i="26"/>
  <c r="M18" i="26"/>
  <c r="M17" i="26"/>
  <c r="M16" i="26"/>
  <c r="M15" i="26"/>
  <c r="M12" i="26"/>
  <c r="M11" i="26"/>
  <c r="M10" i="26"/>
  <c r="M9" i="26"/>
  <c r="M8" i="26"/>
  <c r="M7" i="26"/>
  <c r="M6" i="26"/>
  <c r="M5" i="26"/>
  <c r="M4" i="26"/>
  <c r="M3" i="2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F11" i="4"/>
  <c r="E11" i="4"/>
  <c r="D11" i="4"/>
  <c r="B11" i="4"/>
  <c r="M11" i="4"/>
  <c r="C11" i="4"/>
  <c r="N11" i="4" l="1"/>
  <c r="E21" i="17" l="1"/>
  <c r="D21" i="17"/>
  <c r="D19" i="25"/>
  <c r="D36" i="25"/>
  <c r="D13" i="25"/>
  <c r="D15" i="25" s="1"/>
  <c r="D11" i="25"/>
  <c r="D33" i="25" s="1"/>
  <c r="D10" i="25"/>
  <c r="D8" i="25"/>
  <c r="D30" i="25" s="1"/>
  <c r="D7" i="25"/>
  <c r="D6" i="25"/>
  <c r="E9" i="25"/>
  <c r="E31" i="25" s="1"/>
  <c r="E20" i="25"/>
  <c r="D20" i="25"/>
  <c r="D37" i="25" s="1"/>
  <c r="E8" i="25"/>
  <c r="E7" i="25"/>
  <c r="E29" i="25" s="1"/>
  <c r="E11" i="25"/>
  <c r="E6" i="25"/>
  <c r="E10" i="25"/>
  <c r="E32" i="25" s="1"/>
  <c r="I23" i="4"/>
  <c r="E13" i="25"/>
  <c r="E34" i="25" s="1"/>
  <c r="E14" i="25"/>
  <c r="C24" i="18"/>
  <c r="F24" i="18"/>
  <c r="D24" i="18"/>
  <c r="D21" i="16"/>
  <c r="E21" i="25"/>
  <c r="E38" i="25" s="1"/>
  <c r="C21" i="16"/>
  <c r="D21" i="25"/>
  <c r="D38" i="25" s="1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P12" i="4"/>
  <c r="C20" i="25"/>
  <c r="C37" i="25" s="1"/>
  <c r="C19" i="25"/>
  <c r="C22" i="25" s="1"/>
  <c r="C36" i="25"/>
  <c r="C15" i="25"/>
  <c r="C3" i="25"/>
  <c r="C8" i="25"/>
  <c r="C10" i="25"/>
  <c r="C7" i="25"/>
  <c r="C29" i="25"/>
  <c r="C6" i="25"/>
  <c r="C12" i="25" s="1"/>
  <c r="C16" i="25" s="1"/>
  <c r="C24" i="25" s="1"/>
  <c r="C28" i="25"/>
  <c r="C32" i="25"/>
  <c r="C21" i="25"/>
  <c r="C38" i="25" s="1"/>
  <c r="E24" i="18"/>
  <c r="F23" i="4"/>
  <c r="E23" i="4"/>
  <c r="D23" i="4"/>
  <c r="N23" i="4"/>
  <c r="E21" i="16"/>
  <c r="D29" i="25"/>
  <c r="C23" i="4"/>
  <c r="M23" i="4"/>
  <c r="D35" i="25"/>
  <c r="D32" i="25"/>
  <c r="D31" i="25"/>
  <c r="C35" i="25"/>
  <c r="C34" i="25"/>
  <c r="C31" i="25"/>
  <c r="Q19" i="4"/>
  <c r="B7" i="17"/>
  <c r="Q12" i="4"/>
  <c r="Q13" i="4"/>
  <c r="Q16" i="4"/>
  <c r="Q17" i="4"/>
  <c r="L23" i="4"/>
  <c r="C33" i="25"/>
  <c r="Q14" i="4"/>
  <c r="B23" i="4"/>
  <c r="K23" i="4"/>
  <c r="J23" i="4"/>
  <c r="B21" i="16"/>
  <c r="E30" i="25"/>
  <c r="P11" i="4"/>
  <c r="Q11" i="4" s="1"/>
  <c r="E19" i="25"/>
  <c r="E36" i="25" s="1"/>
  <c r="C21" i="17"/>
  <c r="B21" i="17"/>
  <c r="E35" i="25"/>
  <c r="E28" i="25"/>
  <c r="G23" i="4"/>
  <c r="O23" i="4"/>
  <c r="C30" i="25"/>
  <c r="H23" i="4"/>
  <c r="D12" i="25" l="1"/>
  <c r="C39" i="25"/>
  <c r="D16" i="25"/>
  <c r="E15" i="25"/>
  <c r="D28" i="25"/>
  <c r="D39" i="25" s="1"/>
  <c r="D34" i="25"/>
  <c r="D22" i="25"/>
  <c r="E12" i="25"/>
  <c r="E16" i="25" s="1"/>
  <c r="F9" i="25" s="1"/>
  <c r="E33" i="25"/>
  <c r="P23" i="4"/>
  <c r="E22" i="25"/>
  <c r="F19" i="25" s="1"/>
  <c r="Q23" i="4"/>
  <c r="Q24" i="4" s="1"/>
  <c r="E37" i="25"/>
  <c r="D24" i="25" l="1"/>
  <c r="F8" i="25"/>
  <c r="F14" i="25"/>
  <c r="F6" i="25"/>
  <c r="F11" i="25"/>
  <c r="F13" i="25"/>
  <c r="F10" i="25"/>
  <c r="F7" i="25"/>
  <c r="E24" i="25"/>
  <c r="F21" i="25"/>
  <c r="F20" i="25"/>
  <c r="E39" i="25"/>
  <c r="F37" i="25" s="1"/>
  <c r="F16" i="25" l="1"/>
  <c r="F22" i="25"/>
  <c r="F29" i="25"/>
  <c r="F34" i="25"/>
  <c r="F28" i="25"/>
  <c r="F33" i="25"/>
  <c r="F31" i="25"/>
  <c r="F36" i="25"/>
  <c r="F30" i="25"/>
  <c r="F32" i="25"/>
  <c r="F38" i="25"/>
  <c r="F35" i="25"/>
  <c r="F39" i="25" l="1"/>
</calcChain>
</file>

<file path=xl/comments1.xml><?xml version="1.0" encoding="utf-8"?>
<comments xmlns="http://schemas.openxmlformats.org/spreadsheetml/2006/main">
  <authors>
    <author>Cecilia Medina01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Correlativo general, secuencia del año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No. Correlativo del mes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Estructura Código fallecido
</t>
        </r>
        <r>
          <rPr>
            <b/>
            <sz val="9"/>
            <color indexed="81"/>
            <rFont val="Tahoma"/>
            <family val="2"/>
          </rPr>
          <t>R-LR-001-2022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DA:</t>
        </r>
        <r>
          <rPr>
            <sz val="9"/>
            <color indexed="81"/>
            <rFont val="Tahoma"/>
            <family val="2"/>
          </rPr>
          <t xml:space="preserve">  DOCENTE ACTIVO
</t>
        </r>
        <r>
          <rPr>
            <b/>
            <sz val="9"/>
            <color indexed="81"/>
            <rFont val="Tahoma"/>
            <family val="2"/>
          </rPr>
          <t>DP:</t>
        </r>
        <r>
          <rPr>
            <sz val="9"/>
            <color indexed="81"/>
            <rFont val="Tahoma"/>
            <family val="2"/>
          </rPr>
          <t xml:space="preserve">  DOCENTE PENSIONADO
</t>
        </r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  ADMINISTRATIVO ACTIVO
</t>
        </r>
        <r>
          <rPr>
            <b/>
            <sz val="9"/>
            <color indexed="81"/>
            <rFont val="Tahoma"/>
            <family val="2"/>
          </rPr>
          <t>AP:</t>
        </r>
        <r>
          <rPr>
            <sz val="9"/>
            <color indexed="81"/>
            <rFont val="Tahoma"/>
            <family val="2"/>
          </rPr>
          <t xml:space="preserve">  ADMINISTRATIVO PENSIONADO </t>
        </r>
      </text>
    </comment>
  </commentList>
</comments>
</file>

<file path=xl/sharedStrings.xml><?xml version="1.0" encoding="utf-8"?>
<sst xmlns="http://schemas.openxmlformats.org/spreadsheetml/2006/main" count="547" uniqueCount="287">
  <si>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</si>
  <si>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</si>
  <si>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</si>
  <si>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</si>
  <si>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</si>
  <si>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</si>
  <si>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</si>
  <si>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</si>
  <si>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</si>
  <si>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</si>
  <si>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</si>
  <si>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</si>
  <si>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</si>
  <si>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</si>
  <si>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</si>
  <si>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</si>
  <si>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</si>
  <si>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LUGAR DE FALLECIMIENTO</t>
  </si>
  <si>
    <t>RÉGIMEN</t>
  </si>
  <si>
    <t>AHUACHAPÁN</t>
  </si>
  <si>
    <t>DA</t>
  </si>
  <si>
    <t>AA</t>
  </si>
  <si>
    <t>DP</t>
  </si>
  <si>
    <t>SAN VICENTE</t>
  </si>
  <si>
    <t>USULUTÁN</t>
  </si>
  <si>
    <t>SAN MIGUEL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</si>
  <si>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</si>
  <si>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</si>
  <si>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</si>
  <si>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</si>
  <si>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</si>
  <si>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</si>
  <si>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</si>
  <si>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</si>
  <si>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</si>
  <si>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</si>
  <si>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</si>
  <si>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</si>
  <si>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</si>
  <si>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</si>
  <si>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</si>
  <si>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</si>
  <si>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</si>
  <si>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</si>
  <si>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</si>
  <si>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</si>
  <si>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</si>
  <si>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</si>
  <si>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</si>
  <si>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</si>
  <si>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NO.DE EXPEDIENTE</t>
  </si>
  <si>
    <t>EDAD</t>
  </si>
  <si>
    <t>S.V.B</t>
  </si>
  <si>
    <t>S.V.O.</t>
  </si>
  <si>
    <t>S.V.D.</t>
  </si>
  <si>
    <t>SXS</t>
  </si>
  <si>
    <t>CAUSA DE FALLECIMIENTO</t>
  </si>
  <si>
    <t>SAN SALVADOR</t>
  </si>
  <si>
    <t>OFICINA CENTRAL</t>
  </si>
  <si>
    <t>SANTA ANA</t>
  </si>
  <si>
    <t>TOTALES</t>
  </si>
  <si>
    <t>NUMERO DE SEGUROS RECLAMADOS</t>
  </si>
  <si>
    <t>Nº DE DEVOLUCIONES DEL 30% RECLAMADAS</t>
  </si>
  <si>
    <t>Vo. Bo.</t>
  </si>
  <si>
    <t>REPORTADO EN</t>
  </si>
  <si>
    <t>PAGADO EN SEGURO DE VIDA BÁSICO</t>
  </si>
  <si>
    <t>PAGADO EN SEGURO DE VIDA DOTAL</t>
  </si>
  <si>
    <t>PAGADO EN SEGURO POR SEPELIO</t>
  </si>
  <si>
    <t xml:space="preserve">             </t>
  </si>
  <si>
    <t>SPS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</si>
  <si>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</si>
  <si>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</si>
  <si>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</si>
  <si>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</si>
  <si>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</si>
  <si>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</si>
  <si>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</si>
  <si>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</si>
  <si>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</si>
  <si>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</si>
  <si>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</si>
  <si>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</si>
  <si>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</si>
  <si>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</si>
  <si>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</si>
  <si>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</si>
  <si>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</si>
  <si>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</si>
  <si>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</si>
  <si>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</si>
  <si>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</si>
  <si>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</si>
  <si>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</si>
  <si>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</si>
  <si>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</si>
  <si>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</si>
  <si>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</si>
  <si>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</si>
  <si>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</si>
  <si>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</si>
  <si>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</si>
  <si>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</si>
  <si>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</si>
  <si>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</si>
  <si>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</si>
  <si>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PARO CARDIO RESPIRATORIO</t>
  </si>
  <si>
    <t>FECHA DE FALLECIMIENTO</t>
  </si>
  <si>
    <t>No. 2</t>
  </si>
  <si>
    <t>GF</t>
  </si>
  <si>
    <t>R 01-12</t>
  </si>
  <si>
    <t>R 01-16</t>
  </si>
  <si>
    <t>PARO CARDIACO</t>
  </si>
  <si>
    <t>SEGUROS PEND. DE PAGO DE OTROS AÑOS, PAGADOS EN EL 2021 (CUADROS APROBADOS POR CD+ CASOS DE INV)</t>
  </si>
  <si>
    <t xml:space="preserve"> FALLECIDOS  AÑO 2021 QUE HAN RECLAMADO Y PAGADO (CUADROS APROBADOS POR CD)</t>
  </si>
  <si>
    <t>No. 4</t>
  </si>
  <si>
    <t>No. 3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</si>
  <si>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</si>
  <si>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</si>
  <si>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</si>
  <si>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</si>
  <si>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</si>
  <si>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</si>
  <si>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</si>
  <si>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</si>
  <si>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</si>
  <si>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</si>
  <si>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</si>
  <si>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</si>
  <si>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</si>
  <si>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</si>
  <si>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San Salvador, 31 de enero del año 2022</t>
  </si>
  <si>
    <t>DE VIDA DOTAL POR VENCIMIENTO DE PÓLIZA AÑO 2021</t>
  </si>
  <si>
    <t>DE SEGURO DE VIDA DOTAL PAGADOS AÑO 2021</t>
  </si>
  <si>
    <t>Nº DE BENEF. A LOS QUE SE LES HA PAGADO EN EL AÑO 2022 (CUADROS APROBADOS POR CD + CASOS DE INV)</t>
  </si>
  <si>
    <t xml:space="preserve">            LIBRO DE REPORTE DE FALLECIDOS Y ESTADÍSTICAS AÑO 2022</t>
  </si>
  <si>
    <t>No.Gral.</t>
  </si>
  <si>
    <t>No</t>
  </si>
  <si>
    <t>FECHA DEL REPORTE</t>
  </si>
  <si>
    <t>CÓDIGO ASEGURADO</t>
  </si>
  <si>
    <t>NOMBRE DEL ASEGURADO FALLECIDO</t>
  </si>
  <si>
    <t>GÉNERO</t>
  </si>
  <si>
    <t>No. BENEFICIARIOS o HEREDEROS</t>
  </si>
  <si>
    <t>G.F.</t>
  </si>
  <si>
    <r>
      <t xml:space="preserve">S.D.D. </t>
    </r>
    <r>
      <rPr>
        <b/>
        <sz val="8"/>
        <color rgb="FFFFFF00"/>
        <rFont val="Museo Sans 100"/>
        <family val="3"/>
      </rPr>
      <t>(Seguro Decreciente de Deuda)</t>
    </r>
  </si>
  <si>
    <t>R-LR-001-2022</t>
  </si>
  <si>
    <t>00022</t>
  </si>
  <si>
    <t>MARIO ALFONSO CAMPOS</t>
  </si>
  <si>
    <t>M</t>
  </si>
  <si>
    <t>CUSCATLÁN</t>
  </si>
  <si>
    <t>R-LR-002-2022</t>
  </si>
  <si>
    <t>03707</t>
  </si>
  <si>
    <t>SILVIA NOENA GALLO VELASQUEZ</t>
  </si>
  <si>
    <t>F</t>
  </si>
  <si>
    <t>SOSPECHA INFARTO AGUDO MIOCARDIO, DIABETES MELLITUS 2</t>
  </si>
  <si>
    <t>R-LR-003-2022</t>
  </si>
  <si>
    <t>17859</t>
  </si>
  <si>
    <t>JOSÉ LUIS URRUTIA SEVELLÓN</t>
  </si>
  <si>
    <t>DIABETES TIPO 2, MAS INFARTO AGUDO AL MIOCARDIO</t>
  </si>
  <si>
    <t>R-LR-004-2022</t>
  </si>
  <si>
    <t>18600</t>
  </si>
  <si>
    <t>VILMA DE LA PAZ VILLALOBOS</t>
  </si>
  <si>
    <t>NEUMONÍA ATÍPICA GRAVE</t>
  </si>
  <si>
    <t>R-LR-005-2022</t>
  </si>
  <si>
    <t>66006</t>
  </si>
  <si>
    <t>ARISTIDES MORENO FRANCIA</t>
  </si>
  <si>
    <t>PARO CARDIORRESPIRATORIO DEBIDO A ACCIDENTE CEREBROVASCULAR HEMORRÁGICO MAS SECUELAS NEUROLÓGICAS</t>
  </si>
  <si>
    <t>R-LR-006-2022</t>
  </si>
  <si>
    <t>04878</t>
  </si>
  <si>
    <t>HORTENSIA DE LOS ÁNGELES RIVAS DE MAGAÑA</t>
  </si>
  <si>
    <t>PARO CARDIORRESPIRATORIO</t>
  </si>
  <si>
    <t>CHALATENANGO</t>
  </si>
  <si>
    <t>R-LR-007-2022</t>
  </si>
  <si>
    <t>67798</t>
  </si>
  <si>
    <t>NORMA ELIZABETH CAMPOS DE CERNA</t>
  </si>
  <si>
    <t>DIABETES MELLITUS 2,NEUMONIA ASPIRATIVA, TRAUMA CRANEOENCEFÁLICO SEVERO.</t>
  </si>
  <si>
    <t>R-LR-008-2022</t>
  </si>
  <si>
    <t>02342</t>
  </si>
  <si>
    <t>JOAQUÍN PERLA SERRANO</t>
  </si>
  <si>
    <t>SÍNDROME DE RESPUESTA INFLAMATORIA, SISTÉMICA DE ORÍGEN INFECCIOSO, CON FALLA ORGÁNICA, CHOQUE SÉPTICO, NEUMONÍA NO ESPECIFICADA, COVID-19</t>
  </si>
  <si>
    <t>R-LR-009-2022</t>
  </si>
  <si>
    <t>10449</t>
  </si>
  <si>
    <t>CARLOS GABRIEL ALVARENGA MELGAR</t>
  </si>
  <si>
    <t>HIPERTENSIÓN ENDOGRANEANA, INFARTO AGUDO A MIOCARDIO</t>
  </si>
  <si>
    <t>R-LR-010-2022</t>
  </si>
  <si>
    <t>12123</t>
  </si>
  <si>
    <t>GLADIS JOSEFINA ESCOBAR ALAS</t>
  </si>
  <si>
    <t>CHOQUE SÉPTICO, OBSTRUCCIÓN URETERAL POR CATETER DOBLE "J", PIOURETROSIS, COAGULACIÓN INTRAVASCULAR DISEMINADA</t>
  </si>
  <si>
    <t>MARICEL</t>
  </si>
  <si>
    <t>R-LR-011-2022</t>
  </si>
  <si>
    <t>38635</t>
  </si>
  <si>
    <t>DAVID HERNANDEZ CASTILLO</t>
  </si>
  <si>
    <t>COVID GUION DIECINUEVE</t>
  </si>
  <si>
    <t>R-LR-012-2022</t>
  </si>
  <si>
    <t>60699</t>
  </si>
  <si>
    <t>DAVID ERNESTO MELENDEZ ORTIZ</t>
  </si>
  <si>
    <t>TRAUMA CRANEOENCEFALICO SEVERO CONTUSO</t>
  </si>
  <si>
    <t>R-LR-013-2022</t>
  </si>
  <si>
    <t>53002</t>
  </si>
  <si>
    <t>IDALAI JEANNETTE MOLINA DE ZELEDÓN</t>
  </si>
  <si>
    <t>SEPSIS, FALLA HEPÁTICA CRÓNICA, CÁNCER DE RECTO.</t>
  </si>
  <si>
    <t>R-LR-014-2022</t>
  </si>
  <si>
    <t>63883</t>
  </si>
  <si>
    <t>ANA GLORIA COLORADO DE GONZÁLEZ</t>
  </si>
  <si>
    <t>PARO CARDIORESPIRATORIO A CONSECUENCIA DE HEPATOCARCINOMA</t>
  </si>
  <si>
    <t>R-LR-015-2022</t>
  </si>
  <si>
    <t>10674</t>
  </si>
  <si>
    <t>MARÍA ELIAN HERNÁNDEZ</t>
  </si>
  <si>
    <t>PARO CARDIORESPIRATORIO, DESNUTRICIÓN SEVERA</t>
  </si>
  <si>
    <t>R-LR-016-2022</t>
  </si>
  <si>
    <t>06541</t>
  </si>
  <si>
    <t>LUIS ALFONSO FLORES LEIVA</t>
  </si>
  <si>
    <t>NEUMONIA ASPIRATIVA</t>
  </si>
  <si>
    <t>R-LR-017-2022</t>
  </si>
  <si>
    <t>54954</t>
  </si>
  <si>
    <t>PATRICIA LORENA ROMERO DE VALDEZ</t>
  </si>
  <si>
    <t>R-LR-018-2022</t>
  </si>
  <si>
    <t>08223</t>
  </si>
  <si>
    <t>SANDRA LORENA NOLASCO SANTILLANA DE ARGUMEDO</t>
  </si>
  <si>
    <t>SINDROME DE DIFICULTAD RESPIRATORIO DEL ADULTO</t>
  </si>
  <si>
    <t>CECY COMPLETAR LUGARES</t>
  </si>
  <si>
    <t>R-LR-019-2022</t>
  </si>
  <si>
    <t>05505</t>
  </si>
  <si>
    <t>MARÍA CONSULO AMINTA CAMPOS CAMPOS</t>
  </si>
  <si>
    <t>NEUMONÍA POR ASPIRACIÓN</t>
  </si>
  <si>
    <t>R-LR-020-2022</t>
  </si>
  <si>
    <t>13520</t>
  </si>
  <si>
    <t>CARLOS ROBERTO MACHADO</t>
  </si>
  <si>
    <t>SHOCK SÉPTICO SECUNDARIO A UROSÉPSIS</t>
  </si>
  <si>
    <t>R-LR-021-2022</t>
  </si>
  <si>
    <t>65164</t>
  </si>
  <si>
    <t>JUAN ANTONIO ESCOBAR GONZÁLEZ</t>
  </si>
  <si>
    <t>R-LR-022-2022</t>
  </si>
  <si>
    <t>70073</t>
  </si>
  <si>
    <t>JOSÉ ROBERTO ALBANÉS</t>
  </si>
  <si>
    <t>SINDROME RESPIRATORIO AGUDO GRAVE, COVID-19, DIABETES MELLITUS ESPECIFICADA, SIN MENCIÓN DE COMPLICACIONES, HIPERTENSIÓN ESCENCIAL PRIMARIA</t>
  </si>
  <si>
    <t>R-LR-023-2022</t>
  </si>
  <si>
    <t>22108</t>
  </si>
  <si>
    <t>EVA GIRÓN VDA. DE HURTADO</t>
  </si>
  <si>
    <t>NEUMONÍA</t>
  </si>
  <si>
    <t>R-LR-024-2022</t>
  </si>
  <si>
    <t>43179</t>
  </si>
  <si>
    <t>RICARDO ANTONIO ARAUJO AMAYA</t>
  </si>
  <si>
    <t>CAUSA DESCONOCIDA</t>
  </si>
  <si>
    <t>R-LR-025-2022</t>
  </si>
  <si>
    <t>61301</t>
  </si>
  <si>
    <t>ISRAEL ANTONIO CALZADILLA MISMIT</t>
  </si>
  <si>
    <t>CÁNCER GÁSTRICO</t>
  </si>
  <si>
    <t>R-LR-026-2022</t>
  </si>
  <si>
    <t>13678</t>
  </si>
  <si>
    <t>JOSÉ OVED ALAS ALFARO</t>
  </si>
  <si>
    <t>R-LR-027-2022</t>
  </si>
  <si>
    <t>04325</t>
  </si>
  <si>
    <t>DAVID NAPOLEÓN LUNA CÁRCAMO</t>
  </si>
  <si>
    <t>CÁNCER DE TIROIDES, CHOQUE CARDIOGÉNICO, VENTILACIÓN MECÁNICA E INSUFICIENCIA RESPIRATORIA AGUDA.</t>
  </si>
  <si>
    <t>R-LR-028-2022</t>
  </si>
  <si>
    <t>00454</t>
  </si>
  <si>
    <t>ROSA LYDIA CALDERÓN VDA. DE LÓPEZ</t>
  </si>
  <si>
    <t>SHOCK MIXTO</t>
  </si>
  <si>
    <t>R-LR-029-2022</t>
  </si>
  <si>
    <t>34030</t>
  </si>
  <si>
    <t>ANA MIRIAM RETANA DE UMAÑA</t>
  </si>
  <si>
    <t>OTRAS FORMAS DE CHOQUE, COVID DIECINUEVE, HIPERTENSIÓN ESENCIAL (PRIMARIA)</t>
  </si>
  <si>
    <t>R-LR-030-2022</t>
  </si>
  <si>
    <t>SIN CÓDIGO</t>
  </si>
  <si>
    <t>JOSÉ HUMBERTO LÓPEZ VILLANUEVA</t>
  </si>
  <si>
    <t>ENCEFALOPATÍA URÉMICA, NEUMONÍA ASOCIADA A SERVICIOS DE SALUD, NEFROPATÍA CRÓNICA EN HEMODIALISIS, DIABETES MELLITUS TIPO 2, HIPERTENSIÓN ARTERIAL.</t>
  </si>
  <si>
    <t>HONDURAS</t>
  </si>
  <si>
    <t>R-LR-031-2022</t>
  </si>
  <si>
    <t>18397</t>
  </si>
  <si>
    <t>MARTHA ANTONIA PORTILLO ORELLANA DE APARICIO</t>
  </si>
  <si>
    <t>NEOPLASIA DE OVARIO CON METASTASIS</t>
  </si>
  <si>
    <t>R-LR-032-2022</t>
  </si>
  <si>
    <t>24949</t>
  </si>
  <si>
    <t>MARIETA ISABEL CORTEZ DE CRUZ</t>
  </si>
  <si>
    <t>ANEMIA SEVERA MÁS DESHEQUILIBRIO ELECTROLÍTICO</t>
  </si>
  <si>
    <t>R-LR-033-2022</t>
  </si>
  <si>
    <t>11673</t>
  </si>
  <si>
    <t>ADELA ESPERANZA REYES DE HERNÁNDEZ</t>
  </si>
  <si>
    <t>SINDROME DE DISTRES RESPIRATORIO AGUDO SEVERO, NEUMONÍA. OTRA CAUSA DEL FALLECIMIENTO FUE POR : COVID-19 VIRUS IDENTIFICADO.</t>
  </si>
  <si>
    <t>R-LR-034-2022</t>
  </si>
  <si>
    <t>03711</t>
  </si>
  <si>
    <t>EFRAIN GRANADOS SÁNCHEZ</t>
  </si>
  <si>
    <t>INSUFICIENCIA RENAL CRÓNICA</t>
  </si>
  <si>
    <t>R-LR-0354-2022</t>
  </si>
  <si>
    <t>14602</t>
  </si>
  <si>
    <t>ELVA GUADALUPE ORTIZ DE GUILLÉN</t>
  </si>
  <si>
    <t>DESNUTRICIÓN SEVERA, MÁS SANGRAMIENTO DE TUBO DIGESTIVO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</si>
</sst>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dd/mm/yyyy;@"/>
    <numFmt numFmtId="168" formatCode="_([$€]* #,##0.00_);_([$€]* \(#,##0.00\);_([$€]* &quot;-&quot;??_);_(@_)"/>
    <numFmt numFmtId="169" formatCode="&quot;$&quot;#,##0.00;[Red]&quot;$&quot;#,##0.00"/>
  </numFmts>
  <fonts count="6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14"/>
      <color rgb="FF002060"/>
      <name val="Bembo Std"/>
      <family val="1"/>
    </font>
    <font>
      <b/>
      <sz val="8"/>
      <color theme="1"/>
      <name val="Museo Sans 100"/>
      <family val="3"/>
    </font>
    <font>
      <b/>
      <sz val="9"/>
      <color theme="1"/>
      <name val="Museo Sans 100"/>
      <family val="3"/>
    </font>
    <font>
      <b/>
      <sz val="11"/>
      <color theme="1"/>
      <name val="Museo Sans 100"/>
      <family val="3"/>
    </font>
    <font>
      <b/>
      <sz val="7"/>
      <color theme="1"/>
      <name val="Museo Sans 100"/>
      <family val="3"/>
    </font>
    <font>
      <b/>
      <sz val="6"/>
      <color theme="1"/>
      <name val="Museo Sans 100"/>
      <family val="3"/>
    </font>
    <font>
      <b/>
      <sz val="11"/>
      <color rgb="FFFFFF00"/>
      <name val="Museo Sans 100"/>
      <family val="3"/>
    </font>
    <font>
      <b/>
      <sz val="8"/>
      <color rgb="FFFFFF00"/>
      <name val="Museo Sans 100"/>
      <family val="3"/>
    </font>
    <font>
      <sz val="9"/>
      <color theme="1"/>
      <name val="Museo Sans 100"/>
      <family val="3"/>
    </font>
    <font>
      <sz val="8"/>
      <color theme="1"/>
      <name val="Museo Sans 100"/>
      <family val="3"/>
    </font>
    <font>
      <sz val="7"/>
      <color theme="1"/>
      <name val="Museo Sans 100"/>
      <family val="3"/>
    </font>
    <font>
      <sz val="9"/>
      <name val="Museo Sans 100"/>
      <family val="3"/>
    </font>
    <font>
      <sz val="8"/>
      <color rgb="FFFF0000"/>
      <name val="Museo Sans 100"/>
      <family val="3"/>
    </font>
    <font>
      <sz val="9"/>
      <color rgb="FFFF0000"/>
      <name val="Museo Sans 100"/>
      <family val="3"/>
    </font>
    <font>
      <b/>
      <sz val="9"/>
      <color rgb="FFFF0000"/>
      <name val="Museo Sans 100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Museo Sans 100"/>
      <family val="3"/>
    </font>
    <font>
      <sz val="7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</borders>
  <cellStyleXfs count="14">
    <xf numFmtId="0" fontId="0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2" fillId="0" borderId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0" xfId="0" applyBorder="1"/>
    <xf numFmtId="9" fontId="0" fillId="0" borderId="0" xfId="1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6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" fontId="16" fillId="0" borderId="5" xfId="0" applyNumberFormat="1" applyFont="1" applyBorder="1" applyAlignment="1">
      <alignment horizontal="left"/>
    </xf>
    <xf numFmtId="0" fontId="12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7"/>
    <xf numFmtId="0" fontId="12" fillId="0" borderId="0" xfId="7" applyFont="1" applyAlignment="1">
      <alignment horizontal="center"/>
    </xf>
    <xf numFmtId="0" fontId="2" fillId="0" borderId="0" xfId="7" applyFont="1"/>
    <xf numFmtId="0" fontId="2" fillId="0" borderId="2" xfId="7" applyFont="1" applyBorder="1"/>
    <xf numFmtId="0" fontId="14" fillId="0" borderId="9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17" fontId="16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17" fillId="0" borderId="0" xfId="7" applyFont="1"/>
    <xf numFmtId="0" fontId="3" fillId="0" borderId="0" xfId="7" applyFont="1"/>
    <xf numFmtId="165" fontId="2" fillId="0" borderId="0" xfId="7" applyNumberFormat="1" applyFont="1"/>
    <xf numFmtId="0" fontId="6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12" fillId="0" borderId="0" xfId="7" applyFont="1"/>
    <xf numFmtId="0" fontId="1" fillId="0" borderId="5" xfId="7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16" fillId="0" borderId="11" xfId="0" applyNumberFormat="1" applyFont="1" applyBorder="1" applyAlignment="1">
      <alignment horizontal="left"/>
    </xf>
    <xf numFmtId="17" fontId="16" fillId="0" borderId="9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2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6" fontId="2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5" applyFont="1" applyBorder="1" applyAlignment="1">
      <alignment horizontal="center"/>
    </xf>
    <xf numFmtId="0" fontId="8" fillId="0" borderId="0" xfId="0" applyFont="1" applyAlignment="1">
      <alignment horizontal="left"/>
    </xf>
    <xf numFmtId="165" fontId="0" fillId="0" borderId="0" xfId="5" applyFont="1"/>
    <xf numFmtId="0" fontId="0" fillId="0" borderId="12" xfId="0" applyBorder="1"/>
    <xf numFmtId="17" fontId="16" fillId="0" borderId="13" xfId="0" applyNumberFormat="1" applyFont="1" applyBorder="1" applyAlignment="1">
      <alignment horizontal="left"/>
    </xf>
    <xf numFmtId="4" fontId="0" fillId="0" borderId="0" xfId="11" applyNumberFormat="1" applyFont="1"/>
    <xf numFmtId="1" fontId="2" fillId="0" borderId="0" xfId="11" applyNumberFormat="1" applyFont="1"/>
    <xf numFmtId="165" fontId="2" fillId="0" borderId="0" xfId="5" applyFont="1"/>
    <xf numFmtId="166" fontId="1" fillId="0" borderId="14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44" fontId="7" fillId="0" borderId="5" xfId="6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0" fontId="24" fillId="0" borderId="0" xfId="7" applyFont="1"/>
    <xf numFmtId="0" fontId="25" fillId="0" borderId="0" xfId="0" applyFont="1"/>
    <xf numFmtId="0" fontId="12" fillId="0" borderId="0" xfId="0" applyFont="1" applyAlignment="1">
      <alignment vertical="center"/>
    </xf>
    <xf numFmtId="0" fontId="12" fillId="0" borderId="0" xfId="7" applyFont="1" applyAlignment="1">
      <alignment vertical="center"/>
    </xf>
    <xf numFmtId="166" fontId="26" fillId="0" borderId="0" xfId="0" applyNumberFormat="1" applyFont="1"/>
    <xf numFmtId="0" fontId="2" fillId="0" borderId="2" xfId="9" applyFont="1" applyBorder="1"/>
    <xf numFmtId="0" fontId="14" fillId="0" borderId="9" xfId="9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4" fillId="0" borderId="10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165" fontId="3" fillId="0" borderId="17" xfId="5" applyFont="1" applyBorder="1" applyAlignment="1">
      <alignment horizontal="center"/>
    </xf>
    <xf numFmtId="17" fontId="3" fillId="0" borderId="18" xfId="0" applyNumberFormat="1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165" fontId="3" fillId="0" borderId="0" xfId="0" applyNumberFormat="1" applyFont="1"/>
    <xf numFmtId="166" fontId="2" fillId="0" borderId="0" xfId="7" applyNumberFormat="1" applyFont="1"/>
    <xf numFmtId="165" fontId="1" fillId="0" borderId="6" xfId="4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0" fontId="28" fillId="0" borderId="23" xfId="11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65" fontId="3" fillId="0" borderId="28" xfId="5" applyFont="1" applyBorder="1" applyAlignment="1">
      <alignment horizontal="center"/>
    </xf>
    <xf numFmtId="17" fontId="3" fillId="0" borderId="2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165" fontId="3" fillId="0" borderId="33" xfId="5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5" fontId="4" fillId="0" borderId="34" xfId="4" applyFont="1" applyBorder="1" applyAlignment="1">
      <alignment horizontal="center"/>
    </xf>
    <xf numFmtId="165" fontId="4" fillId="0" borderId="35" xfId="4" applyFont="1" applyBorder="1" applyAlignment="1">
      <alignment horizontal="center"/>
    </xf>
    <xf numFmtId="0" fontId="0" fillId="0" borderId="36" xfId="0" applyBorder="1"/>
    <xf numFmtId="0" fontId="1" fillId="0" borderId="37" xfId="0" applyFont="1" applyBorder="1" applyAlignment="1">
      <alignment horizontal="center"/>
    </xf>
    <xf numFmtId="44" fontId="0" fillId="0" borderId="0" xfId="0" applyNumberFormat="1"/>
    <xf numFmtId="165" fontId="1" fillId="0" borderId="25" xfId="0" applyNumberFormat="1" applyFont="1" applyBorder="1" applyAlignment="1">
      <alignment horizontal="center"/>
    </xf>
    <xf numFmtId="165" fontId="28" fillId="0" borderId="0" xfId="4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/>
    </xf>
    <xf numFmtId="165" fontId="3" fillId="2" borderId="28" xfId="5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/>
    </xf>
    <xf numFmtId="165" fontId="30" fillId="0" borderId="33" xfId="4" applyFont="1" applyBorder="1" applyAlignment="1">
      <alignment horizontal="justify" vertical="center" wrapText="1"/>
    </xf>
    <xf numFmtId="10" fontId="30" fillId="0" borderId="43" xfId="11" applyNumberFormat="1" applyFont="1" applyBorder="1" applyAlignment="1">
      <alignment horizontal="center" vertical="center" wrapText="1"/>
    </xf>
    <xf numFmtId="0" fontId="21" fillId="0" borderId="44" xfId="0" applyFont="1" applyBorder="1"/>
    <xf numFmtId="0" fontId="2" fillId="0" borderId="23" xfId="0" applyFont="1" applyBorder="1" applyAlignment="1">
      <alignment horizontal="center"/>
    </xf>
    <xf numFmtId="10" fontId="30" fillId="0" borderId="23" xfId="11" applyNumberFormat="1" applyFont="1" applyBorder="1" applyAlignment="1">
      <alignment horizontal="center" vertical="center" wrapText="1"/>
    </xf>
    <xf numFmtId="10" fontId="30" fillId="0" borderId="44" xfId="11" applyNumberFormat="1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10" fontId="29" fillId="0" borderId="24" xfId="11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justify" vertical="center" wrapText="1"/>
    </xf>
    <xf numFmtId="165" fontId="30" fillId="0" borderId="45" xfId="4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17" fontId="31" fillId="0" borderId="5" xfId="7" applyNumberFormat="1" applyFont="1" applyBorder="1" applyAlignment="1">
      <alignment horizontal="left"/>
    </xf>
    <xf numFmtId="0" fontId="31" fillId="0" borderId="5" xfId="7" applyFont="1" applyBorder="1" applyAlignment="1">
      <alignment horizontal="center"/>
    </xf>
    <xf numFmtId="44" fontId="31" fillId="0" borderId="5" xfId="6" applyFont="1" applyBorder="1" applyAlignment="1">
      <alignment horizontal="center"/>
    </xf>
    <xf numFmtId="166" fontId="31" fillId="0" borderId="5" xfId="7" applyNumberFormat="1" applyFont="1" applyBorder="1" applyAlignment="1">
      <alignment horizontal="center"/>
    </xf>
    <xf numFmtId="44" fontId="22" fillId="0" borderId="5" xfId="6" applyFont="1" applyBorder="1"/>
    <xf numFmtId="17" fontId="31" fillId="0" borderId="5" xfId="9" applyNumberFormat="1" applyFont="1" applyBorder="1" applyAlignment="1">
      <alignment horizontal="left"/>
    </xf>
    <xf numFmtId="0" fontId="32" fillId="0" borderId="5" xfId="7" applyFont="1" applyBorder="1"/>
    <xf numFmtId="0" fontId="32" fillId="0" borderId="6" xfId="0" applyFont="1" applyBorder="1" applyAlignment="1">
      <alignment horizontal="center"/>
    </xf>
    <xf numFmtId="44" fontId="32" fillId="0" borderId="6" xfId="0" applyNumberFormat="1" applyFont="1" applyBorder="1" applyAlignment="1">
      <alignment horizontal="center"/>
    </xf>
    <xf numFmtId="166" fontId="32" fillId="0" borderId="6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165" fontId="2" fillId="0" borderId="5" xfId="4" applyFont="1" applyBorder="1" applyAlignment="1">
      <alignment horizontal="center" vertical="center"/>
    </xf>
    <xf numFmtId="17" fontId="2" fillId="0" borderId="46" xfId="0" applyNumberFormat="1" applyFont="1" applyBorder="1" applyAlignment="1">
      <alignment horizontal="left"/>
    </xf>
    <xf numFmtId="0" fontId="2" fillId="0" borderId="5" xfId="7" applyFont="1" applyBorder="1" applyAlignment="1">
      <alignment horizontal="center"/>
    </xf>
    <xf numFmtId="166" fontId="2" fillId="0" borderId="5" xfId="7" applyNumberFormat="1" applyFont="1" applyBorder="1" applyAlignment="1">
      <alignment horizontal="center"/>
    </xf>
    <xf numFmtId="165" fontId="30" fillId="0" borderId="0" xfId="4" applyFont="1" applyBorder="1" applyAlignment="1">
      <alignment horizontal="left" vertical="center" wrapText="1"/>
    </xf>
    <xf numFmtId="10" fontId="30" fillId="0" borderId="0" xfId="11" applyNumberFormat="1" applyFont="1" applyBorder="1" applyAlignment="1">
      <alignment horizontal="center" vertical="center" wrapText="1"/>
    </xf>
    <xf numFmtId="10" fontId="30" fillId="0" borderId="47" xfId="11" applyNumberFormat="1" applyFont="1" applyBorder="1" applyAlignment="1">
      <alignment horizontal="center" vertical="center" wrapText="1"/>
    </xf>
    <xf numFmtId="165" fontId="1" fillId="0" borderId="48" xfId="0" applyNumberFormat="1" applyFont="1" applyBorder="1" applyAlignment="1">
      <alignment horizontal="center"/>
    </xf>
    <xf numFmtId="10" fontId="30" fillId="0" borderId="24" xfId="11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50" xfId="0" applyFont="1" applyBorder="1"/>
    <xf numFmtId="10" fontId="28" fillId="0" borderId="44" xfId="11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2" borderId="23" xfId="0" applyFill="1" applyBorder="1" applyAlignment="1">
      <alignment horizontal="center"/>
    </xf>
    <xf numFmtId="165" fontId="28" fillId="0" borderId="47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justify" vertical="center" wrapText="1"/>
    </xf>
    <xf numFmtId="10" fontId="28" fillId="0" borderId="47" xfId="11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5" fontId="28" fillId="0" borderId="44" xfId="4" applyFont="1" applyBorder="1" applyAlignment="1">
      <alignment horizontal="justify" vertical="center" wrapText="1"/>
    </xf>
    <xf numFmtId="165" fontId="1" fillId="0" borderId="24" xfId="0" applyNumberFormat="1" applyFont="1" applyBorder="1" applyAlignment="1">
      <alignment horizontal="center"/>
    </xf>
    <xf numFmtId="0" fontId="34" fillId="0" borderId="0" xfId="0" applyFont="1"/>
    <xf numFmtId="10" fontId="27" fillId="0" borderId="24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0" fontId="28" fillId="0" borderId="0" xfId="1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36" fillId="0" borderId="0" xfId="0" applyFont="1" applyAlignment="1">
      <alignment horizontal="center" wrapText="1"/>
    </xf>
    <xf numFmtId="165" fontId="25" fillId="0" borderId="52" xfId="5" applyFont="1" applyBorder="1" applyAlignment="1">
      <alignment horizontal="center"/>
    </xf>
    <xf numFmtId="164" fontId="26" fillId="0" borderId="0" xfId="0" applyNumberFormat="1" applyFont="1"/>
    <xf numFmtId="165" fontId="26" fillId="0" borderId="0" xfId="0" applyNumberFormat="1" applyFont="1"/>
    <xf numFmtId="44" fontId="26" fillId="0" borderId="0" xfId="0" applyNumberFormat="1" applyFont="1"/>
    <xf numFmtId="44" fontId="37" fillId="0" borderId="0" xfId="0" applyNumberFormat="1" applyFont="1"/>
    <xf numFmtId="165" fontId="25" fillId="0" borderId="0" xfId="5" applyFont="1" applyFill="1" applyBorder="1" applyAlignment="1">
      <alignment horizontal="center"/>
    </xf>
    <xf numFmtId="165" fontId="38" fillId="0" borderId="24" xfId="4" applyFont="1" applyBorder="1" applyAlignment="1">
      <alignment horizontal="center"/>
    </xf>
    <xf numFmtId="165" fontId="38" fillId="0" borderId="0" xfId="4" applyFont="1" applyBorder="1" applyAlignment="1">
      <alignment horizontal="center"/>
    </xf>
    <xf numFmtId="164" fontId="39" fillId="0" borderId="0" xfId="11" applyNumberFormat="1" applyFont="1"/>
    <xf numFmtId="0" fontId="25" fillId="0" borderId="45" xfId="0" applyFont="1" applyBorder="1"/>
    <xf numFmtId="9" fontId="26" fillId="0" borderId="0" xfId="11" applyFont="1"/>
    <xf numFmtId="0" fontId="39" fillId="0" borderId="0" xfId="0" applyFont="1"/>
    <xf numFmtId="0" fontId="2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7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 wrapText="1"/>
    </xf>
    <xf numFmtId="10" fontId="30" fillId="0" borderId="54" xfId="11" applyNumberFormat="1" applyFont="1" applyBorder="1" applyAlignment="1">
      <alignment horizontal="center" vertical="center" wrapText="1"/>
    </xf>
    <xf numFmtId="10" fontId="30" fillId="0" borderId="40" xfId="11" applyNumberFormat="1" applyFont="1" applyBorder="1" applyAlignment="1">
      <alignment horizontal="center" vertical="center" wrapText="1"/>
    </xf>
    <xf numFmtId="10" fontId="30" fillId="0" borderId="22" xfId="11" applyNumberFormat="1" applyFont="1" applyBorder="1" applyAlignment="1">
      <alignment horizontal="center" vertical="center"/>
    </xf>
    <xf numFmtId="165" fontId="30" fillId="0" borderId="43" xfId="4" applyFont="1" applyBorder="1" applyAlignment="1">
      <alignment horizontal="left" vertical="center" wrapText="1"/>
    </xf>
    <xf numFmtId="165" fontId="30" fillId="0" borderId="23" xfId="4" applyFont="1" applyBorder="1" applyAlignment="1">
      <alignment horizontal="left" vertical="center" wrapText="1"/>
    </xf>
    <xf numFmtId="165" fontId="29" fillId="0" borderId="16" xfId="4" applyFont="1" applyBorder="1" applyAlignment="1">
      <alignment horizontal="left" vertical="center"/>
    </xf>
    <xf numFmtId="0" fontId="29" fillId="0" borderId="48" xfId="0" applyFont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/>
    </xf>
    <xf numFmtId="165" fontId="29" fillId="0" borderId="37" xfId="4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9" fillId="0" borderId="25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20" fillId="0" borderId="23" xfId="0" applyFont="1" applyBorder="1" applyAlignment="1">
      <alignment horizontal="justify" vertical="center" wrapText="1"/>
    </xf>
    <xf numFmtId="44" fontId="2" fillId="0" borderId="0" xfId="0" applyNumberFormat="1" applyFont="1"/>
    <xf numFmtId="169" fontId="26" fillId="0" borderId="0" xfId="0" applyNumberFormat="1" applyFont="1"/>
    <xf numFmtId="0" fontId="30" fillId="0" borderId="57" xfId="0" applyFont="1" applyBorder="1" applyAlignment="1">
      <alignment horizontal="left" vertical="center" wrapText="1"/>
    </xf>
    <xf numFmtId="0" fontId="29" fillId="0" borderId="56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4" fillId="0" borderId="0" xfId="0" applyFont="1" applyAlignment="1">
      <alignment horizontal="right"/>
    </xf>
    <xf numFmtId="44" fontId="42" fillId="0" borderId="0" xfId="0" applyNumberFormat="1" applyFont="1"/>
    <xf numFmtId="0" fontId="43" fillId="0" borderId="0" xfId="0" applyFont="1"/>
    <xf numFmtId="0" fontId="38" fillId="0" borderId="0" xfId="0" applyFont="1"/>
    <xf numFmtId="0" fontId="44" fillId="0" borderId="0" xfId="0" applyFont="1"/>
    <xf numFmtId="3" fontId="26" fillId="0" borderId="0" xfId="0" applyNumberFormat="1" applyFont="1"/>
    <xf numFmtId="16" fontId="26" fillId="0" borderId="0" xfId="0" applyNumberFormat="1" applyFont="1" applyAlignment="1">
      <alignment horizontal="right"/>
    </xf>
    <xf numFmtId="17" fontId="26" fillId="0" borderId="0" xfId="0" applyNumberFormat="1" applyFont="1" applyAlignment="1">
      <alignment horizontal="right"/>
    </xf>
    <xf numFmtId="0" fontId="15" fillId="0" borderId="58" xfId="9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45" xfId="0" applyFont="1" applyBorder="1"/>
    <xf numFmtId="0" fontId="3" fillId="0" borderId="45" xfId="0" applyFont="1" applyBorder="1"/>
    <xf numFmtId="165" fontId="4" fillId="0" borderId="0" xfId="0" applyNumberFormat="1" applyFont="1"/>
    <xf numFmtId="0" fontId="6" fillId="0" borderId="0" xfId="0" applyFont="1" applyAlignment="1">
      <alignment horizontal="left"/>
    </xf>
    <xf numFmtId="165" fontId="22" fillId="0" borderId="5" xfId="6" applyNumberFormat="1" applyFont="1" applyBorder="1"/>
    <xf numFmtId="44" fontId="31" fillId="0" borderId="5" xfId="7" applyNumberFormat="1" applyFont="1" applyBorder="1" applyAlignment="1">
      <alignment horizontal="center"/>
    </xf>
    <xf numFmtId="166" fontId="7" fillId="0" borderId="5" xfId="6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35" fillId="0" borderId="5" xfId="6" applyNumberFormat="1" applyFont="1" applyBorder="1"/>
    <xf numFmtId="165" fontId="35" fillId="0" borderId="5" xfId="6" applyNumberFormat="1" applyFont="1" applyBorder="1"/>
    <xf numFmtId="165" fontId="2" fillId="0" borderId="5" xfId="7" applyNumberFormat="1" applyFont="1" applyBorder="1" applyAlignment="1">
      <alignment horizontal="center"/>
    </xf>
    <xf numFmtId="165" fontId="33" fillId="0" borderId="5" xfId="6" applyNumberFormat="1" applyFont="1" applyBorder="1"/>
    <xf numFmtId="0" fontId="30" fillId="0" borderId="42" xfId="4" applyNumberFormat="1" applyFont="1" applyBorder="1" applyAlignment="1">
      <alignment horizontal="center" vertical="center" wrapText="1"/>
    </xf>
    <xf numFmtId="167" fontId="56" fillId="0" borderId="0" xfId="0" applyNumberFormat="1" applyFont="1" applyFill="1" applyBorder="1" applyAlignment="1">
      <alignment horizontal="center"/>
    </xf>
    <xf numFmtId="165" fontId="53" fillId="3" borderId="75" xfId="4" applyNumberFormat="1" applyFont="1" applyFill="1" applyBorder="1" applyAlignment="1">
      <alignment vertical="center"/>
    </xf>
    <xf numFmtId="0" fontId="54" fillId="0" borderId="0" xfId="0" applyFont="1"/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 wrapText="1"/>
    </xf>
    <xf numFmtId="49" fontId="56" fillId="0" borderId="0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wrapText="1"/>
    </xf>
    <xf numFmtId="1" fontId="56" fillId="0" borderId="0" xfId="0" applyNumberFormat="1" applyFont="1" applyFill="1" applyBorder="1" applyAlignment="1">
      <alignment horizontal="center"/>
    </xf>
    <xf numFmtId="165" fontId="56" fillId="0" borderId="0" xfId="4" applyFont="1" applyFill="1" applyBorder="1"/>
    <xf numFmtId="167" fontId="62" fillId="0" borderId="0" xfId="0" applyNumberFormat="1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wrapText="1"/>
    </xf>
    <xf numFmtId="0" fontId="0" fillId="2" borderId="0" xfId="0" applyFill="1"/>
    <xf numFmtId="0" fontId="46" fillId="2" borderId="71" xfId="0" applyFont="1" applyFill="1" applyBorder="1" applyAlignment="1">
      <alignment horizontal="center" vertical="center" wrapText="1"/>
    </xf>
    <xf numFmtId="0" fontId="46" fillId="2" borderId="72" xfId="0" applyFont="1" applyFill="1" applyBorder="1" applyAlignment="1">
      <alignment horizontal="center" vertical="center" wrapText="1"/>
    </xf>
    <xf numFmtId="0" fontId="47" fillId="2" borderId="72" xfId="0" applyFont="1" applyFill="1" applyBorder="1" applyAlignment="1">
      <alignment horizontal="center" vertical="center" wrapText="1"/>
    </xf>
    <xf numFmtId="0" fontId="48" fillId="2" borderId="72" xfId="0" applyFont="1" applyFill="1" applyBorder="1" applyAlignment="1">
      <alignment horizontal="center" vertical="center" wrapText="1"/>
    </xf>
    <xf numFmtId="0" fontId="47" fillId="2" borderId="72" xfId="0" applyFont="1" applyFill="1" applyBorder="1" applyAlignment="1">
      <alignment horizontal="center" vertical="center"/>
    </xf>
    <xf numFmtId="0" fontId="49" fillId="2" borderId="72" xfId="0" applyFont="1" applyFill="1" applyBorder="1" applyAlignment="1">
      <alignment horizontal="center" vertical="center" wrapText="1"/>
    </xf>
    <xf numFmtId="0" fontId="50" fillId="2" borderId="72" xfId="0" applyFont="1" applyFill="1" applyBorder="1" applyAlignment="1">
      <alignment horizontal="center" wrapText="1"/>
    </xf>
    <xf numFmtId="0" fontId="48" fillId="2" borderId="72" xfId="0" applyFont="1" applyFill="1" applyBorder="1" applyAlignment="1">
      <alignment horizontal="center" vertical="center"/>
    </xf>
    <xf numFmtId="0" fontId="51" fillId="2" borderId="72" xfId="0" applyFont="1" applyFill="1" applyBorder="1" applyAlignment="1">
      <alignment horizontal="center" wrapText="1"/>
    </xf>
    <xf numFmtId="167" fontId="46" fillId="2" borderId="72" xfId="0" applyNumberFormat="1" applyFont="1" applyFill="1" applyBorder="1" applyAlignment="1">
      <alignment horizontal="center" vertical="center" wrapText="1"/>
    </xf>
    <xf numFmtId="0" fontId="47" fillId="2" borderId="72" xfId="0" applyFont="1" applyFill="1" applyBorder="1" applyAlignment="1">
      <alignment horizontal="left" vertical="center" wrapText="1"/>
    </xf>
    <xf numFmtId="0" fontId="46" fillId="2" borderId="73" xfId="0" applyFont="1" applyFill="1" applyBorder="1" applyAlignment="1">
      <alignment horizontal="center" vertical="center" wrapText="1"/>
    </xf>
    <xf numFmtId="167" fontId="47" fillId="2" borderId="0" xfId="0" applyNumberFormat="1" applyFont="1" applyFill="1" applyBorder="1" applyAlignment="1">
      <alignment horizontal="center" vertical="center" wrapText="1"/>
    </xf>
    <xf numFmtId="0" fontId="53" fillId="2" borderId="74" xfId="0" applyFont="1" applyFill="1" applyBorder="1" applyAlignment="1">
      <alignment horizontal="center" vertical="center"/>
    </xf>
    <xf numFmtId="0" fontId="53" fillId="2" borderId="75" xfId="0" applyFont="1" applyFill="1" applyBorder="1" applyAlignment="1">
      <alignment horizontal="center" vertical="center"/>
    </xf>
    <xf numFmtId="167" fontId="53" fillId="2" borderId="75" xfId="0" applyNumberFormat="1" applyFont="1" applyFill="1" applyBorder="1" applyAlignment="1">
      <alignment horizontal="center" vertical="center"/>
    </xf>
    <xf numFmtId="0" fontId="53" fillId="2" borderId="75" xfId="0" applyFont="1" applyFill="1" applyBorder="1" applyAlignment="1">
      <alignment horizontal="center" vertical="center" wrapText="1"/>
    </xf>
    <xf numFmtId="49" fontId="53" fillId="2" borderId="75" xfId="0" applyNumberFormat="1" applyFont="1" applyFill="1" applyBorder="1" applyAlignment="1">
      <alignment horizontal="center" vertical="center"/>
    </xf>
    <xf numFmtId="0" fontId="53" fillId="2" borderId="75" xfId="0" applyFont="1" applyFill="1" applyBorder="1" applyAlignment="1">
      <alignment vertical="center" wrapText="1"/>
    </xf>
    <xf numFmtId="1" fontId="53" fillId="2" borderId="75" xfId="0" applyNumberFormat="1" applyFont="1" applyFill="1" applyBorder="1" applyAlignment="1">
      <alignment horizontal="center" vertical="center"/>
    </xf>
    <xf numFmtId="165" fontId="53" fillId="2" borderId="75" xfId="4" applyFont="1" applyFill="1" applyBorder="1" applyAlignment="1">
      <alignment vertical="center"/>
    </xf>
    <xf numFmtId="167" fontId="54" fillId="2" borderId="75" xfId="0" applyNumberFormat="1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left" vertical="center" wrapText="1"/>
    </xf>
    <xf numFmtId="0" fontId="54" fillId="2" borderId="75" xfId="0" applyFont="1" applyFill="1" applyBorder="1" applyAlignment="1">
      <alignment vertical="center" wrapText="1"/>
    </xf>
    <xf numFmtId="167" fontId="53" fillId="2" borderId="0" xfId="0" applyNumberFormat="1" applyFont="1" applyFill="1" applyBorder="1" applyAlignment="1">
      <alignment horizontal="center"/>
    </xf>
    <xf numFmtId="0" fontId="54" fillId="2" borderId="74" xfId="0" applyFont="1" applyFill="1" applyBorder="1" applyAlignment="1">
      <alignment horizontal="center" vertical="center"/>
    </xf>
    <xf numFmtId="0" fontId="55" fillId="2" borderId="75" xfId="0" applyFont="1" applyFill="1" applyBorder="1" applyAlignment="1">
      <alignment horizontal="left" vertical="center" wrapText="1"/>
    </xf>
    <xf numFmtId="0" fontId="55" fillId="2" borderId="75" xfId="0" applyFont="1" applyFill="1" applyBorder="1" applyAlignment="1">
      <alignment horizontal="left" wrapText="1"/>
    </xf>
    <xf numFmtId="167" fontId="56" fillId="2" borderId="75" xfId="0" applyNumberFormat="1" applyFont="1" applyFill="1" applyBorder="1" applyAlignment="1">
      <alignment horizontal="center" vertical="center"/>
    </xf>
    <xf numFmtId="0" fontId="56" fillId="2" borderId="75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vertical="center" wrapText="1"/>
    </xf>
    <xf numFmtId="0" fontId="54" fillId="2" borderId="76" xfId="0" applyFont="1" applyFill="1" applyBorder="1" applyAlignment="1">
      <alignment vertical="center" wrapText="1"/>
    </xf>
    <xf numFmtId="0" fontId="54" fillId="2" borderId="77" xfId="0" applyFont="1" applyFill="1" applyBorder="1" applyAlignment="1">
      <alignment horizontal="center" vertical="center"/>
    </xf>
    <xf numFmtId="0" fontId="53" fillId="2" borderId="78" xfId="0" applyFont="1" applyFill="1" applyBorder="1" applyAlignment="1">
      <alignment horizontal="center" vertical="center"/>
    </xf>
    <xf numFmtId="167" fontId="53" fillId="2" borderId="78" xfId="0" applyNumberFormat="1" applyFont="1" applyFill="1" applyBorder="1" applyAlignment="1">
      <alignment horizontal="center" vertical="center"/>
    </xf>
    <xf numFmtId="0" fontId="53" fillId="2" borderId="78" xfId="0" applyFont="1" applyFill="1" applyBorder="1" applyAlignment="1">
      <alignment horizontal="center" vertical="center" wrapText="1"/>
    </xf>
    <xf numFmtId="49" fontId="53" fillId="2" borderId="78" xfId="0" applyNumberFormat="1" applyFont="1" applyFill="1" applyBorder="1" applyAlignment="1">
      <alignment horizontal="center" vertical="center"/>
    </xf>
    <xf numFmtId="0" fontId="53" fillId="2" borderId="78" xfId="0" applyFont="1" applyFill="1" applyBorder="1" applyAlignment="1">
      <alignment vertical="center" wrapText="1"/>
    </xf>
    <xf numFmtId="1" fontId="53" fillId="2" borderId="78" xfId="0" applyNumberFormat="1" applyFont="1" applyFill="1" applyBorder="1" applyAlignment="1">
      <alignment horizontal="center" vertical="center"/>
    </xf>
    <xf numFmtId="165" fontId="53" fillId="2" borderId="78" xfId="4" applyFont="1" applyFill="1" applyBorder="1" applyAlignment="1">
      <alignment vertical="center"/>
    </xf>
    <xf numFmtId="167" fontId="54" fillId="2" borderId="78" xfId="0" applyNumberFormat="1" applyFont="1" applyFill="1" applyBorder="1" applyAlignment="1">
      <alignment horizontal="center" vertical="center" wrapText="1"/>
    </xf>
    <xf numFmtId="0" fontId="55" fillId="2" borderId="78" xfId="0" applyFont="1" applyFill="1" applyBorder="1" applyAlignment="1">
      <alignment horizontal="left" vertical="center" wrapText="1"/>
    </xf>
    <xf numFmtId="167" fontId="56" fillId="2" borderId="0" xfId="0" applyNumberFormat="1" applyFont="1" applyFill="1" applyBorder="1" applyAlignment="1">
      <alignment horizontal="center"/>
    </xf>
    <xf numFmtId="0" fontId="54" fillId="2" borderId="78" xfId="0" applyFont="1" applyFill="1" applyBorder="1" applyAlignment="1">
      <alignment vertical="center" wrapText="1"/>
    </xf>
    <xf numFmtId="167" fontId="58" fillId="2" borderId="0" xfId="0" applyNumberFormat="1" applyFont="1" applyFill="1" applyBorder="1" applyAlignment="1">
      <alignment horizontal="center"/>
    </xf>
    <xf numFmtId="165" fontId="53" fillId="2" borderId="75" xfId="4" applyNumberFormat="1" applyFont="1" applyFill="1" applyBorder="1" applyAlignment="1">
      <alignment vertical="center"/>
    </xf>
    <xf numFmtId="49" fontId="56" fillId="2" borderId="79" xfId="0" applyNumberFormat="1" applyFont="1" applyFill="1" applyBorder="1" applyAlignment="1">
      <alignment horizontal="center" vertical="center"/>
    </xf>
    <xf numFmtId="0" fontId="56" fillId="2" borderId="79" xfId="0" applyFont="1" applyFill="1" applyBorder="1" applyAlignment="1">
      <alignment vertical="center" wrapText="1"/>
    </xf>
    <xf numFmtId="0" fontId="56" fillId="2" borderId="79" xfId="0" applyFont="1" applyFill="1" applyBorder="1" applyAlignment="1">
      <alignment horizontal="center" vertical="center"/>
    </xf>
    <xf numFmtId="1" fontId="56" fillId="2" borderId="79" xfId="0" applyNumberFormat="1" applyFont="1" applyFill="1" applyBorder="1" applyAlignment="1">
      <alignment horizontal="center" vertical="center"/>
    </xf>
    <xf numFmtId="165" fontId="53" fillId="2" borderId="78" xfId="4" applyNumberFormat="1" applyFont="1" applyFill="1" applyBorder="1" applyAlignment="1">
      <alignment vertical="center"/>
    </xf>
    <xf numFmtId="167" fontId="53" fillId="2" borderId="80" xfId="0" applyNumberFormat="1" applyFont="1" applyFill="1" applyBorder="1" applyAlignment="1">
      <alignment horizontal="center" vertical="center"/>
    </xf>
    <xf numFmtId="0" fontId="53" fillId="2" borderId="80" xfId="0" applyFont="1" applyFill="1" applyBorder="1" applyAlignment="1">
      <alignment horizontal="center" vertical="center" wrapText="1"/>
    </xf>
    <xf numFmtId="49" fontId="56" fillId="2" borderId="80" xfId="0" applyNumberFormat="1" applyFont="1" applyFill="1" applyBorder="1" applyAlignment="1">
      <alignment horizontal="center" vertical="center"/>
    </xf>
    <xf numFmtId="0" fontId="56" fillId="2" borderId="80" xfId="0" applyFont="1" applyFill="1" applyBorder="1" applyAlignment="1">
      <alignment vertical="center" wrapText="1"/>
    </xf>
    <xf numFmtId="0" fontId="56" fillId="2" borderId="80" xfId="0" applyFont="1" applyFill="1" applyBorder="1" applyAlignment="1">
      <alignment horizontal="center" vertical="center"/>
    </xf>
    <xf numFmtId="1" fontId="56" fillId="2" borderId="80" xfId="0" applyNumberFormat="1" applyFont="1" applyFill="1" applyBorder="1" applyAlignment="1">
      <alignment horizontal="center" vertical="center"/>
    </xf>
    <xf numFmtId="165" fontId="53" fillId="2" borderId="80" xfId="4" applyNumberFormat="1" applyFont="1" applyFill="1" applyBorder="1" applyAlignment="1">
      <alignment vertical="center"/>
    </xf>
    <xf numFmtId="167" fontId="54" fillId="2" borderId="80" xfId="0" applyNumberFormat="1" applyFont="1" applyFill="1" applyBorder="1" applyAlignment="1">
      <alignment horizontal="center" vertical="center" wrapText="1"/>
    </xf>
    <xf numFmtId="0" fontId="55" fillId="2" borderId="80" xfId="0" applyFont="1" applyFill="1" applyBorder="1" applyAlignment="1">
      <alignment horizontal="left" vertical="center" wrapText="1"/>
    </xf>
    <xf numFmtId="49" fontId="59" fillId="2" borderId="78" xfId="0" applyNumberFormat="1" applyFont="1" applyFill="1" applyBorder="1" applyAlignment="1">
      <alignment horizontal="center" vertical="center"/>
    </xf>
    <xf numFmtId="0" fontId="56" fillId="2" borderId="78" xfId="0" applyFont="1" applyFill="1" applyBorder="1" applyAlignment="1">
      <alignment vertical="center" wrapText="1"/>
    </xf>
    <xf numFmtId="0" fontId="54" fillId="2" borderId="81" xfId="0" applyFont="1" applyFill="1" applyBorder="1" applyAlignment="1">
      <alignment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62" xfId="0" applyFont="1" applyBorder="1" applyAlignment="1">
      <alignment horizontal="center" vertical="center" wrapText="1" shrinkToFit="1"/>
    </xf>
    <xf numFmtId="0" fontId="5" fillId="0" borderId="65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5" fillId="0" borderId="61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9" fillId="0" borderId="61" xfId="0" applyFont="1" applyBorder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center" vertical="center" wrapText="1" shrinkToFit="1"/>
    </xf>
    <xf numFmtId="0" fontId="36" fillId="0" borderId="56" xfId="0" applyFont="1" applyBorder="1" applyAlignment="1">
      <alignment horizontal="center" vertical="center" wrapText="1" shrinkToFit="1"/>
    </xf>
    <xf numFmtId="0" fontId="36" fillId="0" borderId="64" xfId="0" applyFont="1" applyBorder="1" applyAlignment="1">
      <alignment horizontal="center" vertical="center" wrapText="1" shrinkToFit="1"/>
    </xf>
    <xf numFmtId="0" fontId="15" fillId="0" borderId="0" xfId="7" applyFont="1" applyAlignment="1">
      <alignment horizontal="center"/>
    </xf>
    <xf numFmtId="0" fontId="15" fillId="0" borderId="67" xfId="9" applyFont="1" applyBorder="1" applyAlignment="1">
      <alignment horizontal="center" vertical="center" wrapText="1"/>
    </xf>
    <xf numFmtId="0" fontId="15" fillId="0" borderId="68" xfId="9" applyFont="1" applyBorder="1" applyAlignment="1">
      <alignment horizontal="center" vertical="center" wrapText="1"/>
    </xf>
    <xf numFmtId="0" fontId="15" fillId="0" borderId="69" xfId="9" applyFont="1" applyBorder="1" applyAlignment="1">
      <alignment horizontal="center" vertical="center" wrapText="1"/>
    </xf>
    <xf numFmtId="0" fontId="18" fillId="0" borderId="70" xfId="7" applyFont="1" applyBorder="1" applyAlignment="1">
      <alignment horizontal="center"/>
    </xf>
    <xf numFmtId="0" fontId="14" fillId="0" borderId="67" xfId="7" applyFont="1" applyBorder="1" applyAlignment="1">
      <alignment horizontal="center" wrapText="1"/>
    </xf>
    <xf numFmtId="0" fontId="14" fillId="0" borderId="68" xfId="7" applyFont="1" applyBorder="1" applyAlignment="1">
      <alignment horizontal="center" wrapText="1"/>
    </xf>
    <xf numFmtId="0" fontId="14" fillId="0" borderId="69" xfId="7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67" xfId="0" applyFont="1" applyBorder="1" applyAlignment="1">
      <alignment horizontal="center" wrapText="1"/>
    </xf>
    <xf numFmtId="0" fontId="14" fillId="0" borderId="68" xfId="0" applyFont="1" applyBorder="1" applyAlignment="1">
      <alignment horizontal="center" wrapText="1"/>
    </xf>
    <xf numFmtId="0" fontId="14" fillId="0" borderId="6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45" fillId="2" borderId="0" xfId="0" applyFont="1" applyFill="1" applyBorder="1" applyAlignment="1">
      <alignment horizontal="center" vertical="center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2060"/>
        </left>
        <right/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Museo Sans 100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numFmt numFmtId="167" formatCode="dd/mm/yyyy;@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numFmt numFmtId="165" formatCode="_(&quot;$&quot;* #,##0.00_);_(&quot;$&quot;* \(#,##0.00\);_(&quot;$&quot;* &quot;-&quot;??_);_(@_)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numFmt numFmtId="1" formatCode="0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numFmt numFmtId="30" formatCode="@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numFmt numFmtId="167" formatCode="dd/mm/yyyy;@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useo Sans 100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border outline="0">
        <top style="thin">
          <color rgb="FF002060"/>
        </top>
      </border>
    </dxf>
    <dxf>
      <border outline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ill>
        <patternFill>
          <bgColor theme="0"/>
        </patternFill>
      </fill>
    </dxf>
    <dxf>
      <border outline="0">
        <bottom style="thin">
          <color rgb="FF002060"/>
        </bottom>
      </border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97757.08</c:v>
                </c:pt>
                <c:pt idx="1">
                  <c:v>188697.11000000002</c:v>
                </c:pt>
                <c:pt idx="2">
                  <c:v>0</c:v>
                </c:pt>
                <c:pt idx="3">
                  <c:v>0</c:v>
                </c:pt>
                <c:pt idx="4">
                  <c:v>2571.4300000000003</c:v>
                </c:pt>
                <c:pt idx="5">
                  <c:v>0</c:v>
                </c:pt>
                <c:pt idx="6">
                  <c:v>5485.7200000000012</c:v>
                </c:pt>
                <c:pt idx="7">
                  <c:v>11428.599999999999</c:v>
                </c:pt>
                <c:pt idx="8">
                  <c:v>46573.770000000004</c:v>
                </c:pt>
                <c:pt idx="9">
                  <c:v>76571.510000000009</c:v>
                </c:pt>
                <c:pt idx="10">
                  <c:v>6030.98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2129691088"/>
        <c:axId val="2129689456"/>
        <c:axId val="0"/>
      </c:bar3DChart>
      <c:catAx>
        <c:axId val="212969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129689456"/>
        <c:crosses val="autoZero"/>
        <c:auto val="1"/>
        <c:lblAlgn val="ctr"/>
        <c:lblOffset val="100"/>
        <c:noMultiLvlLbl val="0"/>
      </c:catAx>
      <c:valAx>
        <c:axId val="2129689456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12969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a1" displayName="Tabla1" ref="A2:T37" totalsRowShown="0" headerRowDxfId="24" dataDxfId="22" headerRowBorderDxfId="23" tableBorderDxfId="21" totalsRowBorderDxfId="20">
  <autoFilter ref="A2:T37"/>
  <tableColumns count="20">
    <tableColumn id="1" name="No.Gral." dataDxfId="19"/>
    <tableColumn id="2" name="No" dataDxfId="18"/>
    <tableColumn id="3" name="FECHA DEL REPORTE" dataDxfId="17"/>
    <tableColumn id="4" name="NO.DE EXPEDIENTE" dataDxfId="16"/>
    <tableColumn id="5" name="CÓDIGO ASEGURADO" dataDxfId="15"/>
    <tableColumn id="6" name="NOMBRE DEL ASEGURADO FALLECIDO" dataDxfId="14"/>
    <tableColumn id="7" name="EDAD" dataDxfId="13"/>
    <tableColumn id="8" name="GÉNERO" dataDxfId="12"/>
    <tableColumn id="9" name="RÉGIMEN" dataDxfId="11"/>
    <tableColumn id="10" name="No. BENEFICIARIOS o HEREDEROS" dataDxfId="10"/>
    <tableColumn id="11" name="S.V.B" dataDxfId="9" dataCellStyle="Moneda"/>
    <tableColumn id="12" name="S.V.O." dataDxfId="8" dataCellStyle="Moneda"/>
    <tableColumn id="13" name="G.F." dataDxfId="7" dataCellStyle="Moneda">
      <calculatedColumnFormula>IF(AND(L3&gt;=5714.29)*(L3&lt;=12000),"(=l3*10%)","0")</calculatedColumnFormula>
    </tableColumn>
    <tableColumn id="14" name="S.V.D." dataDxfId="6" dataCellStyle="Moneda"/>
    <tableColumn id="15" name="SXS" dataDxfId="5" dataCellStyle="Moneda"/>
    <tableColumn id="16" name="S.D.D. (Seguro Decreciente de Deuda)" dataDxfId="4" dataCellStyle="Moneda"/>
    <tableColumn id="17" name="FECHA DE FALLECIMIENTO" dataDxfId="3"/>
    <tableColumn id="18" name="CAUSA DE FALLECIMIENTO" dataDxfId="2"/>
    <tableColumn id="19" name="LUGAR DE FALLECIMIENTO" dataDxfId="1"/>
    <tableColumn id="20" name="REPORTADO EN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0"/>
  <sheetViews>
    <sheetView tabSelected="1" zoomScale="98" zoomScaleNormal="98" workbookViewId="0">
      <selection activeCell="H8" sqref="H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46" t="s">
        <v>101</v>
      </c>
      <c r="C3" s="215">
        <f>'1. RESUMEN DE PAGADOS '!B22+'1. RESUMEN DE PAGADOS '!C22</f>
        <v>0</v>
      </c>
      <c r="D3" s="139"/>
      <c r="E3" s="271">
        <v>61</v>
      </c>
      <c r="F3" s="140"/>
    </row>
    <row r="4" spans="2:9" ht="13.5" thickBot="1" x14ac:dyDescent="0.25"/>
    <row r="5" spans="2:9" ht="39" thickBot="1" x14ac:dyDescent="0.25">
      <c r="B5" s="242" t="s">
        <v>71</v>
      </c>
      <c r="C5" s="133" t="s">
        <v>73</v>
      </c>
      <c r="D5" s="133" t="s">
        <v>100</v>
      </c>
      <c r="E5" s="133" t="s">
        <v>72</v>
      </c>
      <c r="F5" s="218" t="s">
        <v>81</v>
      </c>
    </row>
    <row r="6" spans="2:9" ht="15.75" customHeight="1" x14ac:dyDescent="0.2">
      <c r="B6" s="241" t="s">
        <v>74</v>
      </c>
      <c r="C6" s="135">
        <f>6+11+2+4</f>
        <v>23</v>
      </c>
      <c r="D6" s="135">
        <f>[1]TOTALES!$D$4</f>
        <v>52</v>
      </c>
      <c r="E6" s="224">
        <f>'1. RESUMEN DE PAGADOS '!G11</f>
        <v>97757.08</v>
      </c>
      <c r="F6" s="221">
        <f>E6/E16</f>
        <v>0.31953029735182664</v>
      </c>
    </row>
    <row r="7" spans="2:9" x14ac:dyDescent="0.2">
      <c r="B7" s="172" t="s">
        <v>75</v>
      </c>
      <c r="C7" s="219">
        <f>10+10+7+8</f>
        <v>35</v>
      </c>
      <c r="D7" s="139">
        <f>[1]TOTALES!$D$6</f>
        <v>74</v>
      </c>
      <c r="E7" s="224">
        <f>'1. RESUMEN DE PAGADOS '!H11</f>
        <v>188697.11000000002</v>
      </c>
      <c r="F7" s="222">
        <f>E7/E16</f>
        <v>0.61677828007680202</v>
      </c>
    </row>
    <row r="8" spans="2:9" ht="25.5" x14ac:dyDescent="0.2">
      <c r="B8" s="172" t="s">
        <v>104</v>
      </c>
      <c r="C8" s="219">
        <f>1+1+1+1+1</f>
        <v>5</v>
      </c>
      <c r="D8" s="139">
        <f>7</f>
        <v>7</v>
      </c>
      <c r="E8" s="224">
        <f>'1. RESUMEN DE PAGADOS '!I11</f>
        <v>0</v>
      </c>
      <c r="F8" s="222">
        <f>E8/E16</f>
        <v>0</v>
      </c>
    </row>
    <row r="9" spans="2:9" ht="25.5" x14ac:dyDescent="0.2">
      <c r="B9" s="172" t="s">
        <v>95</v>
      </c>
      <c r="C9" s="220">
        <v>0</v>
      </c>
      <c r="D9" s="216">
        <v>2</v>
      </c>
      <c r="E9" s="224">
        <f>'1. RESUMEN DE PAGADOS '!K11</f>
        <v>0</v>
      </c>
      <c r="F9" s="222">
        <f>E9/E16</f>
        <v>0</v>
      </c>
    </row>
    <row r="10" spans="2:9" x14ac:dyDescent="0.2">
      <c r="B10" s="172" t="s">
        <v>76</v>
      </c>
      <c r="C10" s="139">
        <f>1+1</f>
        <v>2</v>
      </c>
      <c r="D10" s="135">
        <f>[1]TOTALES!$D$12</f>
        <v>3</v>
      </c>
      <c r="E10" s="224">
        <f>'1. RESUMEN DE PAGADOS '!M11</f>
        <v>2571.4300000000003</v>
      </c>
      <c r="F10" s="222">
        <f>E10/E16</f>
        <v>8.405015703408977E-3</v>
      </c>
    </row>
    <row r="11" spans="2:9" x14ac:dyDescent="0.2">
      <c r="B11" s="172" t="s">
        <v>90</v>
      </c>
      <c r="C11" s="139">
        <v>0</v>
      </c>
      <c r="D11" s="139">
        <f>[1]TOTALES!$D$14</f>
        <v>2</v>
      </c>
      <c r="E11" s="225">
        <f>'1. RESUMEN DE PAGADOS '!O11</f>
        <v>0</v>
      </c>
      <c r="F11" s="222">
        <f>E11/E16</f>
        <v>0</v>
      </c>
      <c r="I11" s="127"/>
    </row>
    <row r="12" spans="2:9" ht="13.5" thickBot="1" x14ac:dyDescent="0.25">
      <c r="B12" s="227" t="s">
        <v>93</v>
      </c>
      <c r="C12" s="217">
        <f>C6+C7+C8+C9+C10+C11</f>
        <v>65</v>
      </c>
      <c r="D12" s="217">
        <f>D6+D7+D8+D9+D10+D11</f>
        <v>140</v>
      </c>
      <c r="E12" s="226">
        <f>SUM(E6:E11)</f>
        <v>289025.62</v>
      </c>
      <c r="F12" s="223"/>
    </row>
    <row r="13" spans="2:9" ht="13.5" thickBot="1" x14ac:dyDescent="0.25">
      <c r="B13" s="148" t="s">
        <v>99</v>
      </c>
      <c r="C13" s="212">
        <v>11</v>
      </c>
      <c r="D13" s="230">
        <f>[1]TOTALES!$D$10</f>
        <v>28</v>
      </c>
      <c r="E13" s="145">
        <f>'1. RESUMEN DE PAGADOS '!J11</f>
        <v>5485.7200000000012</v>
      </c>
      <c r="F13" s="168">
        <f>E13/E16</f>
        <v>1.7930708883580226E-2</v>
      </c>
    </row>
    <row r="14" spans="2:9" ht="13.5" thickBot="1" x14ac:dyDescent="0.25">
      <c r="B14" s="147" t="s">
        <v>92</v>
      </c>
      <c r="C14" s="228">
        <v>12</v>
      </c>
      <c r="D14" s="231">
        <v>12</v>
      </c>
      <c r="E14" s="166">
        <f>'1. RESUMEN DE PAGADOS '!N11</f>
        <v>11428.599999999999</v>
      </c>
      <c r="F14" s="170">
        <f>E14/E16</f>
        <v>3.7355697984382159E-2</v>
      </c>
      <c r="I14" s="127"/>
    </row>
    <row r="15" spans="2:9" ht="13.5" thickBot="1" x14ac:dyDescent="0.25">
      <c r="B15" s="232" t="s">
        <v>93</v>
      </c>
      <c r="C15" s="233">
        <f>C13+C14</f>
        <v>23</v>
      </c>
      <c r="D15" s="234">
        <f>D13+D14</f>
        <v>40</v>
      </c>
      <c r="E15" s="229">
        <f>E13+E14</f>
        <v>16914.32</v>
      </c>
      <c r="F15" s="167"/>
    </row>
    <row r="16" spans="2:9" ht="13.5" thickBot="1" x14ac:dyDescent="0.25">
      <c r="B16" s="142" t="s">
        <v>0</v>
      </c>
      <c r="C16" s="126">
        <f>C12+C15</f>
        <v>88</v>
      </c>
      <c r="D16" s="213">
        <f>D12+D15</f>
        <v>180</v>
      </c>
      <c r="E16" s="169">
        <f>E12+E15</f>
        <v>305939.94</v>
      </c>
      <c r="F16" s="143">
        <f>SUM(F6:F14)</f>
        <v>1</v>
      </c>
    </row>
    <row r="17" spans="2:7" ht="15" customHeight="1" thickBot="1" x14ac:dyDescent="0.25">
      <c r="B17" s="348"/>
      <c r="C17" s="349"/>
      <c r="D17" s="349"/>
      <c r="E17" s="349"/>
      <c r="F17" s="350"/>
    </row>
    <row r="18" spans="2:7" ht="39" thickBot="1" x14ac:dyDescent="0.25">
      <c r="B18" s="133" t="s">
        <v>97</v>
      </c>
      <c r="C18" s="133" t="s">
        <v>73</v>
      </c>
      <c r="D18" s="133" t="s">
        <v>103</v>
      </c>
      <c r="E18" s="133" t="s">
        <v>72</v>
      </c>
      <c r="F18" s="133" t="s">
        <v>81</v>
      </c>
    </row>
    <row r="19" spans="2:7" x14ac:dyDescent="0.2">
      <c r="B19" s="134" t="s">
        <v>77</v>
      </c>
      <c r="C19" s="135">
        <f>'3. COMP VR'!B20</f>
        <v>0</v>
      </c>
      <c r="D19" s="212">
        <f>'3. COMP VR'!B9</f>
        <v>56</v>
      </c>
      <c r="E19" s="136">
        <f>'3. COMP VR'!E9+'3. COMP VR'!C9</f>
        <v>46573.770000000004</v>
      </c>
      <c r="F19" s="137">
        <f>E19/E22</f>
        <v>0.36054434460325763</v>
      </c>
    </row>
    <row r="20" spans="2:7" x14ac:dyDescent="0.2">
      <c r="B20" s="144" t="s">
        <v>78</v>
      </c>
      <c r="C20" s="139">
        <f>'4. COMP VP'!C23</f>
        <v>0</v>
      </c>
      <c r="D20" s="212">
        <f>'4. COMP VP'!C12</f>
        <v>46</v>
      </c>
      <c r="E20" s="136">
        <f>'4. COMP VP'!D12+'4. COMP VP'!F12</f>
        <v>76571.510000000009</v>
      </c>
      <c r="F20" s="140">
        <f>E20/E22</f>
        <v>0.59276766489446286</v>
      </c>
    </row>
    <row r="21" spans="2:7" ht="13.5" thickBot="1" x14ac:dyDescent="0.25">
      <c r="B21" s="138" t="s">
        <v>79</v>
      </c>
      <c r="C21" s="139">
        <f>'2. COMPR DEV 30%'!B20</f>
        <v>0</v>
      </c>
      <c r="D21" s="212">
        <f>'2. COMPR DEV 30%'!B9</f>
        <v>16</v>
      </c>
      <c r="E21" s="136">
        <f>'2. COMPR DEV 30%'!C9+'2. COMPR DEV 30%'!E9</f>
        <v>6030.98</v>
      </c>
      <c r="F21" s="141">
        <f>E21/E22</f>
        <v>4.6687990502279592E-2</v>
      </c>
      <c r="G21" s="127"/>
    </row>
    <row r="22" spans="2:7" ht="13.5" thickBot="1" x14ac:dyDescent="0.25">
      <c r="B22" s="142" t="s">
        <v>0</v>
      </c>
      <c r="C22" s="126">
        <f>C19+C20+C21</f>
        <v>0</v>
      </c>
      <c r="D22" s="126">
        <f>D19+D20+D21</f>
        <v>118</v>
      </c>
      <c r="E22" s="128">
        <f>E19+E20+E21</f>
        <v>129176.26000000001</v>
      </c>
      <c r="F22" s="143">
        <f>SUM(F19:F21)</f>
        <v>1.0000000000000002</v>
      </c>
    </row>
    <row r="23" spans="2:7" ht="13.5" customHeight="1" thickBot="1" x14ac:dyDescent="0.25">
      <c r="B23" s="351" t="s">
        <v>80</v>
      </c>
      <c r="C23" s="352"/>
      <c r="D23" s="352"/>
      <c r="E23" s="352"/>
      <c r="F23" s="353"/>
    </row>
    <row r="24" spans="2:7" ht="15.75" customHeight="1" thickBot="1" x14ac:dyDescent="0.25">
      <c r="B24" s="142" t="s">
        <v>60</v>
      </c>
      <c r="C24" s="237">
        <f>C16+C22</f>
        <v>88</v>
      </c>
      <c r="D24" s="237">
        <f>D16+D22</f>
        <v>298</v>
      </c>
      <c r="E24" s="236">
        <f>E22+E16</f>
        <v>435116.2</v>
      </c>
      <c r="F24" s="235"/>
    </row>
    <row r="25" spans="2:7" ht="15" x14ac:dyDescent="0.2">
      <c r="B25" s="190"/>
      <c r="C25" s="190"/>
      <c r="D25" s="190"/>
      <c r="E25" s="190"/>
      <c r="F25" s="191"/>
    </row>
    <row r="26" spans="2:7" ht="15.75" thickBot="1" x14ac:dyDescent="0.25">
      <c r="B26" s="192"/>
      <c r="C26" s="132"/>
      <c r="D26" s="132"/>
      <c r="E26" s="129"/>
      <c r="F26" s="191"/>
    </row>
    <row r="27" spans="2:7" ht="45.75" thickBot="1" x14ac:dyDescent="0.25">
      <c r="B27" s="193" t="s">
        <v>71</v>
      </c>
      <c r="C27" s="194" t="s">
        <v>73</v>
      </c>
      <c r="D27" s="214" t="s">
        <v>102</v>
      </c>
      <c r="E27" s="109" t="s">
        <v>72</v>
      </c>
      <c r="F27" s="193" t="s">
        <v>81</v>
      </c>
    </row>
    <row r="28" spans="2:7" ht="15" x14ac:dyDescent="0.2">
      <c r="B28" s="177" t="s">
        <v>74</v>
      </c>
      <c r="C28" s="179">
        <f>C6</f>
        <v>23</v>
      </c>
      <c r="D28" s="179">
        <f>D6</f>
        <v>52</v>
      </c>
      <c r="E28" s="181">
        <f>E6</f>
        <v>97757.08</v>
      </c>
      <c r="F28" s="184">
        <f>E28/E39</f>
        <v>0.2246689045363055</v>
      </c>
    </row>
    <row r="29" spans="2:7" ht="15" x14ac:dyDescent="0.2">
      <c r="B29" s="171" t="s">
        <v>75</v>
      </c>
      <c r="C29" s="107">
        <f t="shared" ref="C29:E33" si="0">C7</f>
        <v>35</v>
      </c>
      <c r="D29" s="107">
        <f>D7</f>
        <v>74</v>
      </c>
      <c r="E29" s="182">
        <f t="shared" si="0"/>
        <v>188697.11000000002</v>
      </c>
      <c r="F29" s="111">
        <f>E29/E39</f>
        <v>0.43367061488402414</v>
      </c>
    </row>
    <row r="30" spans="2:7" ht="25.5" x14ac:dyDescent="0.2">
      <c r="B30" s="172" t="s">
        <v>98</v>
      </c>
      <c r="C30" s="107">
        <f>C8</f>
        <v>5</v>
      </c>
      <c r="D30" s="107">
        <f>D8</f>
        <v>7</v>
      </c>
      <c r="E30" s="182">
        <f t="shared" si="0"/>
        <v>0</v>
      </c>
      <c r="F30" s="111">
        <f>E30/E39</f>
        <v>0</v>
      </c>
    </row>
    <row r="31" spans="2:7" ht="33.75" customHeight="1" x14ac:dyDescent="0.2">
      <c r="B31" s="171" t="s">
        <v>95</v>
      </c>
      <c r="C31" s="107">
        <f t="shared" si="0"/>
        <v>0</v>
      </c>
      <c r="D31" s="107">
        <f>D9</f>
        <v>2</v>
      </c>
      <c r="E31" s="182">
        <f t="shared" si="0"/>
        <v>0</v>
      </c>
      <c r="F31" s="111">
        <f>E31/E39</f>
        <v>0</v>
      </c>
    </row>
    <row r="32" spans="2:7" ht="15" x14ac:dyDescent="0.2">
      <c r="B32" s="171" t="s">
        <v>76</v>
      </c>
      <c r="C32" s="107">
        <f t="shared" si="0"/>
        <v>2</v>
      </c>
      <c r="D32" s="107">
        <f>D10</f>
        <v>3</v>
      </c>
      <c r="E32" s="182">
        <f>E10</f>
        <v>2571.4300000000003</v>
      </c>
      <c r="F32" s="111">
        <f>E32/E39</f>
        <v>5.9097546816229791E-3</v>
      </c>
    </row>
    <row r="33" spans="2:8" ht="30" x14ac:dyDescent="0.2">
      <c r="B33" s="171" t="s">
        <v>90</v>
      </c>
      <c r="C33" s="107">
        <f t="shared" si="0"/>
        <v>0</v>
      </c>
      <c r="D33" s="107">
        <f>D11</f>
        <v>2</v>
      </c>
      <c r="E33" s="182">
        <f t="shared" si="0"/>
        <v>0</v>
      </c>
      <c r="F33" s="111">
        <f>E33/E39</f>
        <v>0</v>
      </c>
    </row>
    <row r="34" spans="2:8" ht="15" x14ac:dyDescent="0.2">
      <c r="B34" s="171" t="s">
        <v>91</v>
      </c>
      <c r="C34" s="107">
        <f t="shared" ref="C34:E35" si="1">C13</f>
        <v>11</v>
      </c>
      <c r="D34" s="107">
        <f t="shared" si="1"/>
        <v>28</v>
      </c>
      <c r="E34" s="182">
        <f t="shared" si="1"/>
        <v>5485.7200000000012</v>
      </c>
      <c r="F34" s="111">
        <f>E34/E39</f>
        <v>1.2607482782760103E-2</v>
      </c>
    </row>
    <row r="35" spans="2:8" ht="15" x14ac:dyDescent="0.2">
      <c r="B35" s="173" t="s">
        <v>92</v>
      </c>
      <c r="C35" s="180">
        <f t="shared" si="1"/>
        <v>12</v>
      </c>
      <c r="D35" s="180">
        <f t="shared" si="1"/>
        <v>12</v>
      </c>
      <c r="E35" s="182">
        <f t="shared" si="1"/>
        <v>11428.599999999999</v>
      </c>
      <c r="F35" s="111">
        <f>E35/E39</f>
        <v>2.6265627434694457E-2</v>
      </c>
    </row>
    <row r="36" spans="2:8" ht="15" x14ac:dyDescent="0.2">
      <c r="B36" s="238" t="s">
        <v>77</v>
      </c>
      <c r="C36" s="107">
        <f t="shared" ref="C36:E38" si="2">C19</f>
        <v>0</v>
      </c>
      <c r="D36" s="107">
        <f t="shared" si="2"/>
        <v>56</v>
      </c>
      <c r="E36" s="183">
        <f t="shared" si="2"/>
        <v>46573.770000000004</v>
      </c>
      <c r="F36" s="111">
        <f>E36/E39</f>
        <v>0.10703754537293718</v>
      </c>
    </row>
    <row r="37" spans="2:8" ht="15" x14ac:dyDescent="0.2">
      <c r="B37" s="174" t="s">
        <v>78</v>
      </c>
      <c r="C37" s="107">
        <f t="shared" si="2"/>
        <v>0</v>
      </c>
      <c r="D37" s="107">
        <f t="shared" si="2"/>
        <v>46</v>
      </c>
      <c r="E37" s="183">
        <f t="shared" si="2"/>
        <v>76571.510000000009</v>
      </c>
      <c r="F37" s="111">
        <f>E37/E39</f>
        <v>0.17597945100642085</v>
      </c>
    </row>
    <row r="38" spans="2:8" ht="15.75" thickBot="1" x14ac:dyDescent="0.3">
      <c r="B38" s="175" t="s">
        <v>79</v>
      </c>
      <c r="C38" s="185">
        <f t="shared" si="2"/>
        <v>0</v>
      </c>
      <c r="D38" s="185">
        <f t="shared" si="2"/>
        <v>16</v>
      </c>
      <c r="E38" s="186">
        <f t="shared" si="2"/>
        <v>6030.98</v>
      </c>
      <c r="F38" s="176">
        <f>E38/E39</f>
        <v>1.3860619301234936E-2</v>
      </c>
    </row>
    <row r="39" spans="2:8" ht="15.75" thickBot="1" x14ac:dyDescent="0.25">
      <c r="B39" s="178" t="s">
        <v>0</v>
      </c>
      <c r="C39" s="108">
        <f>SUM(C28:C38)</f>
        <v>88</v>
      </c>
      <c r="D39" s="108">
        <f>SUM(D28:D38)</f>
        <v>298</v>
      </c>
      <c r="E39" s="187">
        <f>SUM(E28:E38)</f>
        <v>435116.19999999995</v>
      </c>
      <c r="F39" s="189">
        <f>SUM(F28:F38)</f>
        <v>1.0000000000000002</v>
      </c>
      <c r="G39" s="14"/>
      <c r="H39" s="11"/>
    </row>
    <row r="40" spans="2:8" ht="15" x14ac:dyDescent="0.2">
      <c r="B40" s="110"/>
      <c r="C40" s="110"/>
      <c r="D40" s="110"/>
      <c r="E40" s="110"/>
    </row>
    <row r="41" spans="2:8" x14ac:dyDescent="0.2">
      <c r="B41" s="10"/>
      <c r="C41" s="10"/>
      <c r="D41" s="10"/>
      <c r="E41" s="10"/>
    </row>
    <row r="42" spans="2:8" x14ac:dyDescent="0.2">
      <c r="B42" s="10"/>
      <c r="C42" s="10"/>
      <c r="D42" s="10"/>
      <c r="E42" s="10"/>
    </row>
    <row r="43" spans="2:8" x14ac:dyDescent="0.2">
      <c r="B43" s="10"/>
      <c r="C43" s="10"/>
      <c r="D43" s="10"/>
      <c r="E43" s="10"/>
    </row>
    <row r="44" spans="2:8" x14ac:dyDescent="0.2">
      <c r="B44" s="10"/>
      <c r="C44" s="10"/>
      <c r="D44" s="10"/>
      <c r="E44" s="10"/>
    </row>
    <row r="45" spans="2:8" x14ac:dyDescent="0.2">
      <c r="B45" s="10"/>
      <c r="C45" s="10"/>
      <c r="D45" s="10"/>
      <c r="E45" s="10"/>
    </row>
    <row r="46" spans="2:8" x14ac:dyDescent="0.2">
      <c r="B46" s="10"/>
      <c r="C46" s="10"/>
      <c r="D46" s="10"/>
      <c r="E46" s="10"/>
    </row>
    <row r="47" spans="2:8" x14ac:dyDescent="0.2">
      <c r="B47" s="10"/>
      <c r="C47" s="10"/>
      <c r="D47" s="10"/>
      <c r="E47" s="10"/>
    </row>
    <row r="48" spans="2:8" x14ac:dyDescent="0.2">
      <c r="B48" s="10"/>
      <c r="C48" s="10"/>
      <c r="D48" s="10"/>
      <c r="E48" s="10"/>
    </row>
    <row r="49" spans="2:5" x14ac:dyDescent="0.2">
      <c r="B49" s="10"/>
      <c r="C49" s="10"/>
      <c r="D49" s="10"/>
      <c r="E49" s="10"/>
    </row>
    <row r="50" spans="2:5" x14ac:dyDescent="0.2">
      <c r="B50" s="10"/>
      <c r="C50" s="10"/>
      <c r="D50" s="10"/>
      <c r="E50" s="10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="106" zoomScaleNormal="106" workbookViewId="0">
      <selection activeCell="D11" sqref="D11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98" customWidth="1"/>
    <col min="17" max="17" width="16" style="198" customWidth="1"/>
    <col min="18" max="18" width="15.42578125" style="198" customWidth="1"/>
    <col min="19" max="19" width="11.42578125" style="198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45" t="s">
        <v>96</v>
      </c>
    </row>
    <row r="6" spans="1:22" x14ac:dyDescent="0.2">
      <c r="A6" s="361" t="s">
        <v>88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</row>
    <row r="7" spans="1:22" x14ac:dyDescent="0.2">
      <c r="A7" s="361" t="s">
        <v>127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</row>
    <row r="8" spans="1:22" ht="12.75" customHeight="1" thickBot="1" x14ac:dyDescent="0.25"/>
    <row r="9" spans="1:22" ht="12.75" customHeight="1" thickBot="1" x14ac:dyDescent="0.25">
      <c r="A9" s="366" t="s">
        <v>7</v>
      </c>
      <c r="B9" s="362" t="s">
        <v>113</v>
      </c>
      <c r="C9" s="364" t="s">
        <v>112</v>
      </c>
      <c r="D9" s="364" t="s">
        <v>133</v>
      </c>
      <c r="E9" s="354" t="s">
        <v>89</v>
      </c>
      <c r="F9" s="355"/>
      <c r="G9" s="359" t="s">
        <v>65</v>
      </c>
      <c r="H9" s="356" t="s">
        <v>82</v>
      </c>
      <c r="I9" s="357"/>
      <c r="J9" s="357"/>
      <c r="K9" s="357"/>
      <c r="L9" s="358"/>
      <c r="M9" s="355" t="s">
        <v>66</v>
      </c>
      <c r="N9" s="362" t="s">
        <v>67</v>
      </c>
      <c r="O9" s="354" t="s">
        <v>70</v>
      </c>
      <c r="P9" s="369" t="s">
        <v>1</v>
      </c>
      <c r="T9" s="188"/>
      <c r="U9" s="188"/>
    </row>
    <row r="10" spans="1:22" ht="75.75" customHeight="1" thickBot="1" x14ac:dyDescent="0.25">
      <c r="A10" s="367"/>
      <c r="B10" s="363"/>
      <c r="C10" s="365"/>
      <c r="D10" s="365"/>
      <c r="E10" s="117" t="s">
        <v>86</v>
      </c>
      <c r="F10" s="117" t="s">
        <v>87</v>
      </c>
      <c r="G10" s="360"/>
      <c r="H10" s="118" t="s">
        <v>85</v>
      </c>
      <c r="I10" s="118" t="s">
        <v>94</v>
      </c>
      <c r="J10" s="119" t="s">
        <v>16</v>
      </c>
      <c r="K10" s="112" t="s">
        <v>15</v>
      </c>
      <c r="L10" s="113" t="s">
        <v>83</v>
      </c>
      <c r="M10" s="363"/>
      <c r="N10" s="363"/>
      <c r="O10" s="368"/>
      <c r="P10" s="370"/>
      <c r="Q10" s="199"/>
      <c r="R10" s="198" t="s">
        <v>69</v>
      </c>
      <c r="S10" s="198" t="s">
        <v>108</v>
      </c>
      <c r="T10" s="188"/>
      <c r="U10" s="188"/>
    </row>
    <row r="11" spans="1:22" ht="23.1" customHeight="1" x14ac:dyDescent="0.2">
      <c r="A11" s="115" t="s">
        <v>2</v>
      </c>
      <c r="B11" s="116">
        <f>13+15+9+15</f>
        <v>52</v>
      </c>
      <c r="C11" s="130">
        <f>1+3+2+4</f>
        <v>10</v>
      </c>
      <c r="D11" s="130">
        <f>3+37+36+24+38</f>
        <v>138</v>
      </c>
      <c r="E11" s="116">
        <f>7+9+4+8</f>
        <v>28</v>
      </c>
      <c r="F11" s="116">
        <f>1+9+8+8+7</f>
        <v>33</v>
      </c>
      <c r="G11" s="114">
        <f>(21257.09+0.04)+(40114.3-0.04+0.01+385.71)+(15428.57-0.02)+(19405.7-0.01+0.01+1165.72)</f>
        <v>97757.08</v>
      </c>
      <c r="H11" s="131">
        <f>(47131.44-0.04+0.04+542.85)+(52571.41-0.04+0.04+1000.01)+(26571.43-0.03+0.01)+(58422.8-0.03+0.07+2457.15)</f>
        <v>188697.11000000002</v>
      </c>
      <c r="I11" s="131">
        <v>0</v>
      </c>
      <c r="J11" s="114">
        <f>(300+300+300+300)+(1200)+(285.7+285.72+285.72+285.72)+(200+200+200+200)+(285.72+285.7+285.72+285.72)</f>
        <v>5485.7200000000012</v>
      </c>
      <c r="K11" s="99">
        <v>0</v>
      </c>
      <c r="L11" s="99">
        <v>0</v>
      </c>
      <c r="M11" s="114">
        <f>(342.86+400+400)+(1142.86)+(285.72-0.01)</f>
        <v>2571.4300000000003</v>
      </c>
      <c r="N11" s="131">
        <f>10*1142.86</f>
        <v>11428.599999999999</v>
      </c>
      <c r="O11" s="120">
        <v>0</v>
      </c>
      <c r="P11" s="200">
        <f t="shared" ref="P11:P22" si="0">G11+H11+I11+J11+K11+L11+M11+N11+O11</f>
        <v>305939.94</v>
      </c>
      <c r="Q11" s="201">
        <f>P11+'2. COMPR DEV 30%'!E9+'2. COMPR DEV 30%'!C9+'3. COMP VR'!C9+'3. COMP VR'!E9+'4. COMP VP'!D12+'4. COMP VP'!F12</f>
        <v>435116.20000000007</v>
      </c>
      <c r="R11" s="251" t="s">
        <v>109</v>
      </c>
      <c r="S11" s="252" t="s">
        <v>110</v>
      </c>
      <c r="T11" s="188"/>
      <c r="U11" s="246"/>
      <c r="V11" s="239"/>
    </row>
    <row r="12" spans="1:22" ht="23.1" customHeight="1" x14ac:dyDescent="0.2">
      <c r="A12" s="100" t="s">
        <v>3</v>
      </c>
      <c r="B12" s="116">
        <v>0</v>
      </c>
      <c r="C12" s="130">
        <v>0</v>
      </c>
      <c r="D12" s="130">
        <v>0</v>
      </c>
      <c r="E12" s="116">
        <v>0</v>
      </c>
      <c r="F12" s="116">
        <v>0</v>
      </c>
      <c r="G12" s="114">
        <v>0</v>
      </c>
      <c r="H12" s="131">
        <v>0</v>
      </c>
      <c r="I12" s="131">
        <v>0</v>
      </c>
      <c r="J12" s="114">
        <v>0</v>
      </c>
      <c r="K12" s="99">
        <v>0</v>
      </c>
      <c r="L12" s="99">
        <v>0</v>
      </c>
      <c r="M12" s="114">
        <v>0</v>
      </c>
      <c r="N12" s="131">
        <v>0</v>
      </c>
      <c r="O12" s="120">
        <v>0</v>
      </c>
      <c r="P12" s="200">
        <f t="shared" si="0"/>
        <v>0</v>
      </c>
      <c r="Q12" s="202">
        <f>P12+'2. COMPR DEV 30%'!C10+'2. COMPR DEV 30%'!E10+'3. COMP VR'!C10+'3. COMP VR'!E10+'4. COMP VP'!D13+'4. COMP VP'!F13</f>
        <v>0</v>
      </c>
      <c r="R12" s="203"/>
      <c r="T12" s="188"/>
      <c r="U12" s="246"/>
      <c r="V12" s="239"/>
    </row>
    <row r="13" spans="1:22" ht="23.1" customHeight="1" x14ac:dyDescent="0.2">
      <c r="A13" s="100" t="s">
        <v>4</v>
      </c>
      <c r="B13" s="116">
        <v>0</v>
      </c>
      <c r="C13" s="130">
        <v>0</v>
      </c>
      <c r="D13" s="130">
        <v>0</v>
      </c>
      <c r="E13" s="116">
        <v>0</v>
      </c>
      <c r="F13" s="116">
        <v>0</v>
      </c>
      <c r="G13" s="114">
        <v>0</v>
      </c>
      <c r="H13" s="131">
        <v>0</v>
      </c>
      <c r="I13" s="131">
        <v>0</v>
      </c>
      <c r="J13" s="114">
        <v>0</v>
      </c>
      <c r="K13" s="99">
        <v>0</v>
      </c>
      <c r="L13" s="99">
        <v>0</v>
      </c>
      <c r="M13" s="114">
        <v>0</v>
      </c>
      <c r="N13" s="131">
        <v>0</v>
      </c>
      <c r="O13" s="120">
        <v>0</v>
      </c>
      <c r="P13" s="200">
        <f t="shared" si="0"/>
        <v>0</v>
      </c>
      <c r="Q13" s="202">
        <f>P13+'2. COMPR DEV 30%'!C11+'2. COMPR DEV 30%'!E11+'3. COMP VR'!C11+'3. COMP VR'!E11+'4. COMP VP'!D14+'4. COMP VP'!F14</f>
        <v>0</v>
      </c>
      <c r="R13" s="204"/>
      <c r="T13" s="188"/>
      <c r="U13" s="246"/>
      <c r="V13" s="239"/>
    </row>
    <row r="14" spans="1:22" ht="23.1" customHeight="1" x14ac:dyDescent="0.2">
      <c r="A14" s="100" t="s">
        <v>5</v>
      </c>
      <c r="B14" s="116">
        <v>0</v>
      </c>
      <c r="C14" s="130">
        <v>0</v>
      </c>
      <c r="D14" s="130">
        <v>0</v>
      </c>
      <c r="E14" s="116">
        <v>0</v>
      </c>
      <c r="F14" s="116">
        <v>0</v>
      </c>
      <c r="G14" s="114">
        <v>0</v>
      </c>
      <c r="H14" s="131">
        <v>0</v>
      </c>
      <c r="I14" s="131">
        <v>0</v>
      </c>
      <c r="J14" s="114">
        <v>0</v>
      </c>
      <c r="K14" s="99">
        <v>0</v>
      </c>
      <c r="L14" s="99">
        <v>0</v>
      </c>
      <c r="M14" s="114">
        <v>0</v>
      </c>
      <c r="N14" s="131">
        <v>0</v>
      </c>
      <c r="O14" s="120">
        <v>0</v>
      </c>
      <c r="P14" s="200">
        <f t="shared" si="0"/>
        <v>0</v>
      </c>
      <c r="Q14" s="202">
        <f>P14+'2. COMPR DEV 30%'!C12+'2. COMPR DEV 30%'!E12+'3. COMP VR'!C12+'3. COMP VR'!E12+'4. COMP VP'!D15+'4. COMP VP'!F15</f>
        <v>0</v>
      </c>
      <c r="T14" s="188"/>
      <c r="U14" s="246"/>
      <c r="V14" s="239"/>
    </row>
    <row r="15" spans="1:22" ht="23.1" customHeight="1" x14ac:dyDescent="0.2">
      <c r="A15" s="100" t="s">
        <v>6</v>
      </c>
      <c r="B15" s="116">
        <v>0</v>
      </c>
      <c r="C15" s="130">
        <v>0</v>
      </c>
      <c r="D15" s="130">
        <v>0</v>
      </c>
      <c r="E15" s="116">
        <v>0</v>
      </c>
      <c r="F15" s="116">
        <v>0</v>
      </c>
      <c r="G15" s="114">
        <v>0</v>
      </c>
      <c r="H15" s="131">
        <v>0</v>
      </c>
      <c r="I15" s="131">
        <v>0</v>
      </c>
      <c r="J15" s="114">
        <v>0</v>
      </c>
      <c r="K15" s="99">
        <v>0</v>
      </c>
      <c r="L15" s="99">
        <v>0</v>
      </c>
      <c r="M15" s="114">
        <v>0</v>
      </c>
      <c r="N15" s="131">
        <v>0</v>
      </c>
      <c r="O15" s="120">
        <v>0</v>
      </c>
      <c r="P15" s="200">
        <f t="shared" si="0"/>
        <v>0</v>
      </c>
      <c r="Q15" s="202">
        <f>P15+'2. COMPR DEV 30%'!C13+'2. COMPR DEV 30%'!E13+'3. COMP VR'!C13+'3. COMP VR'!E13+'4. COMP VP'!D16+'4. COMP VP'!F16</f>
        <v>0</v>
      </c>
      <c r="R15" s="203"/>
      <c r="T15" s="188"/>
      <c r="U15" s="246"/>
      <c r="V15" s="239"/>
    </row>
    <row r="16" spans="1:22" ht="23.1" customHeight="1" x14ac:dyDescent="0.2">
      <c r="A16" s="100" t="s">
        <v>8</v>
      </c>
      <c r="B16" s="116">
        <v>0</v>
      </c>
      <c r="C16" s="130">
        <v>0</v>
      </c>
      <c r="D16" s="130">
        <v>0</v>
      </c>
      <c r="E16" s="116">
        <v>0</v>
      </c>
      <c r="F16" s="116">
        <v>0</v>
      </c>
      <c r="G16" s="114">
        <v>0</v>
      </c>
      <c r="H16" s="131">
        <v>0</v>
      </c>
      <c r="I16" s="131">
        <v>0</v>
      </c>
      <c r="J16" s="114">
        <v>0</v>
      </c>
      <c r="K16" s="99">
        <v>0</v>
      </c>
      <c r="L16" s="99">
        <v>0</v>
      </c>
      <c r="M16" s="114">
        <v>0</v>
      </c>
      <c r="N16" s="131">
        <v>0</v>
      </c>
      <c r="O16" s="120">
        <v>0</v>
      </c>
      <c r="P16" s="200">
        <f t="shared" si="0"/>
        <v>0</v>
      </c>
      <c r="Q16" s="202">
        <f>P16+'2. COMPR DEV 30%'!C14+'2. COMPR DEV 30%'!E14+'3. COMP VR'!C14+'3. COMP VR'!E14+'4. COMP VP'!D17+'4. COMP VP'!F17</f>
        <v>0</v>
      </c>
      <c r="T16" s="188"/>
      <c r="U16" s="246"/>
      <c r="V16" s="239"/>
    </row>
    <row r="17" spans="1:24" ht="23.1" customHeight="1" x14ac:dyDescent="0.2">
      <c r="A17" s="100" t="s">
        <v>9</v>
      </c>
      <c r="B17" s="116">
        <v>0</v>
      </c>
      <c r="C17" s="130">
        <v>0</v>
      </c>
      <c r="D17" s="130">
        <v>0</v>
      </c>
      <c r="E17" s="116">
        <v>0</v>
      </c>
      <c r="F17" s="116">
        <v>0</v>
      </c>
      <c r="G17" s="114">
        <v>0</v>
      </c>
      <c r="H17" s="131">
        <v>0</v>
      </c>
      <c r="I17" s="131">
        <v>0</v>
      </c>
      <c r="J17" s="114">
        <v>0</v>
      </c>
      <c r="K17" s="99">
        <v>0</v>
      </c>
      <c r="L17" s="99">
        <v>0</v>
      </c>
      <c r="M17" s="114">
        <v>0</v>
      </c>
      <c r="N17" s="131">
        <v>0</v>
      </c>
      <c r="O17" s="120">
        <v>0</v>
      </c>
      <c r="P17" s="200">
        <f t="shared" si="0"/>
        <v>0</v>
      </c>
      <c r="Q17" s="202">
        <f>P17+'2. COMPR DEV 30%'!C15+'2. COMPR DEV 30%'!E15+'3. COMP VR'!C15+'3. COMP VR'!E15+'4. COMP VP'!D18+'4. COMP VP'!F18</f>
        <v>0</v>
      </c>
      <c r="R17" s="202"/>
      <c r="T17" s="188"/>
      <c r="U17" s="246"/>
      <c r="V17" s="239"/>
    </row>
    <row r="18" spans="1:24" ht="23.1" customHeight="1" x14ac:dyDescent="0.2">
      <c r="A18" s="100" t="s">
        <v>10</v>
      </c>
      <c r="B18" s="116">
        <v>0</v>
      </c>
      <c r="C18" s="130">
        <v>0</v>
      </c>
      <c r="D18" s="130">
        <v>0</v>
      </c>
      <c r="E18" s="116">
        <v>0</v>
      </c>
      <c r="F18" s="116">
        <v>0</v>
      </c>
      <c r="G18" s="114">
        <v>0</v>
      </c>
      <c r="H18" s="131">
        <v>0</v>
      </c>
      <c r="I18" s="131">
        <v>0</v>
      </c>
      <c r="J18" s="114">
        <v>0</v>
      </c>
      <c r="K18" s="99">
        <v>0</v>
      </c>
      <c r="L18" s="99">
        <v>0</v>
      </c>
      <c r="M18" s="114">
        <v>0</v>
      </c>
      <c r="N18" s="131">
        <v>0</v>
      </c>
      <c r="O18" s="120">
        <v>0</v>
      </c>
      <c r="P18" s="200">
        <f t="shared" si="0"/>
        <v>0</v>
      </c>
      <c r="Q18" s="202">
        <f>P18+'2. COMPR DEV 30%'!C16+'2. COMPR DEV 30%'!E16+'3. COMP VR'!C16+'3. COMP VR'!E16+'4. COMP VP'!D19+'4. COMP VP'!F19</f>
        <v>0</v>
      </c>
      <c r="T18" s="188"/>
      <c r="U18" s="246"/>
      <c r="V18" s="239"/>
    </row>
    <row r="19" spans="1:24" ht="23.1" customHeight="1" x14ac:dyDescent="0.2">
      <c r="A19" s="101" t="s">
        <v>11</v>
      </c>
      <c r="B19" s="116">
        <v>0</v>
      </c>
      <c r="C19" s="130">
        <v>0</v>
      </c>
      <c r="D19" s="130">
        <v>0</v>
      </c>
      <c r="E19" s="116">
        <v>0</v>
      </c>
      <c r="F19" s="116">
        <v>0</v>
      </c>
      <c r="G19" s="114">
        <v>0</v>
      </c>
      <c r="H19" s="131">
        <v>0</v>
      </c>
      <c r="I19" s="131">
        <v>0</v>
      </c>
      <c r="J19" s="114">
        <v>0</v>
      </c>
      <c r="K19" s="99">
        <v>0</v>
      </c>
      <c r="L19" s="99">
        <v>0</v>
      </c>
      <c r="M19" s="114">
        <v>0</v>
      </c>
      <c r="N19" s="131">
        <v>0</v>
      </c>
      <c r="O19" s="120">
        <v>0</v>
      </c>
      <c r="P19" s="200">
        <f t="shared" si="0"/>
        <v>0</v>
      </c>
      <c r="Q19" s="202">
        <f>P19+'2. COMPR DEV 30%'!C17+'2. COMPR DEV 30%'!E17+'3. COMP VR'!C17+'3. COMP VR'!E17+'4. COMP VP'!D20+'4. COMP VP'!F20</f>
        <v>0</v>
      </c>
      <c r="R19" s="203"/>
      <c r="T19" s="188"/>
      <c r="U19" s="246"/>
      <c r="V19" s="239"/>
      <c r="X19" s="239"/>
    </row>
    <row r="20" spans="1:24" ht="23.1" customHeight="1" x14ac:dyDescent="0.2">
      <c r="A20" s="102" t="s">
        <v>12</v>
      </c>
      <c r="B20" s="116">
        <v>0</v>
      </c>
      <c r="C20" s="130">
        <v>0</v>
      </c>
      <c r="D20" s="130">
        <v>0</v>
      </c>
      <c r="E20" s="116">
        <v>0</v>
      </c>
      <c r="F20" s="116">
        <v>0</v>
      </c>
      <c r="G20" s="114">
        <v>0</v>
      </c>
      <c r="H20" s="131">
        <v>0</v>
      </c>
      <c r="I20" s="131">
        <v>0</v>
      </c>
      <c r="J20" s="114">
        <v>0</v>
      </c>
      <c r="K20" s="99">
        <v>0</v>
      </c>
      <c r="L20" s="99">
        <v>0</v>
      </c>
      <c r="M20" s="114">
        <v>0</v>
      </c>
      <c r="N20" s="131">
        <v>0</v>
      </c>
      <c r="O20" s="120">
        <v>0</v>
      </c>
      <c r="P20" s="200">
        <f t="shared" si="0"/>
        <v>0</v>
      </c>
      <c r="Q20" s="202">
        <f>P20+'2. COMPR DEV 30%'!C18+'2. COMPR DEV 30%'!E18+'3. COMP VR'!C18+'3. COMP VR'!E18+'4. COMP VP'!D21+'4. COMP VP'!F21</f>
        <v>0</v>
      </c>
      <c r="R20" s="205"/>
      <c r="T20" s="198"/>
      <c r="U20" s="246"/>
      <c r="V20" s="239"/>
    </row>
    <row r="21" spans="1:24" ht="23.1" customHeight="1" x14ac:dyDescent="0.2">
      <c r="A21" s="103" t="s">
        <v>13</v>
      </c>
      <c r="B21" s="116">
        <v>0</v>
      </c>
      <c r="C21" s="130">
        <v>0</v>
      </c>
      <c r="D21" s="130">
        <v>0</v>
      </c>
      <c r="E21" s="116">
        <v>0</v>
      </c>
      <c r="F21" s="116">
        <v>0</v>
      </c>
      <c r="G21" s="114">
        <v>0</v>
      </c>
      <c r="H21" s="131">
        <v>0</v>
      </c>
      <c r="I21" s="131">
        <v>0</v>
      </c>
      <c r="J21" s="114">
        <v>0</v>
      </c>
      <c r="K21" s="99">
        <v>0</v>
      </c>
      <c r="L21" s="99">
        <v>0</v>
      </c>
      <c r="M21" s="114">
        <v>0</v>
      </c>
      <c r="N21" s="131">
        <v>0</v>
      </c>
      <c r="O21" s="120">
        <v>0</v>
      </c>
      <c r="P21" s="200">
        <f t="shared" si="0"/>
        <v>0</v>
      </c>
      <c r="Q21" s="202">
        <f>P21+'2. COMPR DEV 30%'!C19+'2. COMPR DEV 30%'!E19+'3. COMP VR'!C19+'3. COMP VR'!E19+'4. COMP VP'!D22+'4. COMP VP'!F22</f>
        <v>0</v>
      </c>
      <c r="R21" s="203"/>
      <c r="T21" s="198"/>
      <c r="U21" s="246"/>
      <c r="V21" s="239"/>
    </row>
    <row r="22" spans="1:24" ht="23.1" customHeight="1" thickBot="1" x14ac:dyDescent="0.25">
      <c r="A22" s="103" t="s">
        <v>14</v>
      </c>
      <c r="B22" s="116">
        <v>0</v>
      </c>
      <c r="C22" s="130">
        <v>0</v>
      </c>
      <c r="D22" s="130">
        <v>0</v>
      </c>
      <c r="E22" s="116">
        <v>0</v>
      </c>
      <c r="F22" s="116">
        <v>0</v>
      </c>
      <c r="G22" s="114">
        <v>0</v>
      </c>
      <c r="H22" s="131">
        <v>0</v>
      </c>
      <c r="I22" s="131">
        <v>0</v>
      </c>
      <c r="J22" s="114">
        <v>0</v>
      </c>
      <c r="K22" s="99">
        <v>0</v>
      </c>
      <c r="L22" s="99">
        <v>0</v>
      </c>
      <c r="M22" s="114">
        <v>0</v>
      </c>
      <c r="N22" s="131">
        <v>0</v>
      </c>
      <c r="O22" s="120">
        <v>0</v>
      </c>
      <c r="P22" s="200">
        <f t="shared" si="0"/>
        <v>0</v>
      </c>
      <c r="Q22" s="202">
        <f>P22+'2. COMPR DEV 30%'!C20+'2. COMPR DEV 30%'!E20+'3. COMP VR'!C20+'3. COMP VR'!E20+'4. COMP VP'!D23+'4. COMP VP'!F23</f>
        <v>0</v>
      </c>
      <c r="R22" s="202"/>
      <c r="T22" s="198"/>
      <c r="U22" s="246"/>
      <c r="V22" s="239"/>
    </row>
    <row r="23" spans="1:24" ht="27.75" customHeight="1" thickBot="1" x14ac:dyDescent="0.25">
      <c r="A23" s="121" t="s">
        <v>0</v>
      </c>
      <c r="B23" s="122">
        <f t="shared" ref="B23:I23" si="1">SUM(B11:B22)</f>
        <v>52</v>
      </c>
      <c r="C23" s="122">
        <f t="shared" si="1"/>
        <v>10</v>
      </c>
      <c r="D23" s="122">
        <f t="shared" si="1"/>
        <v>138</v>
      </c>
      <c r="E23" s="122">
        <f t="shared" si="1"/>
        <v>28</v>
      </c>
      <c r="F23" s="122">
        <f t="shared" si="1"/>
        <v>33</v>
      </c>
      <c r="G23" s="123">
        <f t="shared" si="1"/>
        <v>97757.08</v>
      </c>
      <c r="H23" s="123">
        <f t="shared" si="1"/>
        <v>188697.11000000002</v>
      </c>
      <c r="I23" s="123">
        <f t="shared" si="1"/>
        <v>0</v>
      </c>
      <c r="J23" s="123">
        <f t="shared" ref="J23:O23" si="2">SUM(J11:J22)</f>
        <v>5485.7200000000012</v>
      </c>
      <c r="K23" s="123">
        <f t="shared" si="2"/>
        <v>0</v>
      </c>
      <c r="L23" s="123">
        <f t="shared" si="2"/>
        <v>0</v>
      </c>
      <c r="M23" s="123">
        <f t="shared" si="2"/>
        <v>2571.4300000000003</v>
      </c>
      <c r="N23" s="123">
        <f t="shared" si="2"/>
        <v>11428.599999999999</v>
      </c>
      <c r="O23" s="124">
        <f t="shared" si="2"/>
        <v>0</v>
      </c>
      <c r="P23" s="206">
        <f>G23+H23+I23+J23+K23+L23+M23+N23+O23</f>
        <v>305939.94</v>
      </c>
      <c r="Q23" s="207">
        <f>SUM(Q11:Q22)</f>
        <v>435116.20000000007</v>
      </c>
      <c r="T23" s="188"/>
      <c r="U23" s="246"/>
      <c r="V23" s="239"/>
    </row>
    <row r="24" spans="1:24" s="198" customFormat="1" x14ac:dyDescent="0.2">
      <c r="A24" s="89" t="s">
        <v>116</v>
      </c>
      <c r="B24" s="247"/>
      <c r="C24" s="247"/>
      <c r="D24" s="247"/>
      <c r="E24" s="247"/>
      <c r="F24" s="247"/>
      <c r="G24" s="211"/>
      <c r="H24" s="247"/>
      <c r="I24" s="247"/>
      <c r="J24" s="247"/>
      <c r="K24" s="247"/>
      <c r="L24" s="247"/>
      <c r="M24" s="211"/>
      <c r="N24" s="1" t="s">
        <v>130</v>
      </c>
      <c r="O24" s="211"/>
      <c r="Q24" s="201">
        <f>SUM(Q11:Q23)-Q23</f>
        <v>435116.20000000007</v>
      </c>
      <c r="R24" s="203"/>
    </row>
    <row r="25" spans="1:24" s="198" customFormat="1" x14ac:dyDescent="0.2">
      <c r="A25" s="5" t="s">
        <v>84</v>
      </c>
      <c r="B25" s="88"/>
      <c r="C25" s="247"/>
      <c r="D25" s="247"/>
      <c r="E25" s="247"/>
      <c r="F25" s="247"/>
      <c r="G25" s="211"/>
      <c r="H25" s="247"/>
      <c r="I25" s="247"/>
      <c r="J25" s="247"/>
      <c r="K25" s="247"/>
      <c r="L25" s="247"/>
      <c r="M25" s="211"/>
      <c r="N25" s="211"/>
      <c r="O25" s="211"/>
      <c r="P25" s="208"/>
      <c r="Q25" s="203"/>
      <c r="V25" s="203"/>
    </row>
    <row r="26" spans="1:24" s="198" customFormat="1" x14ac:dyDescent="0.2">
      <c r="B26" s="249"/>
      <c r="C26" s="247"/>
      <c r="D26" s="247"/>
      <c r="E26" s="247"/>
      <c r="F26" s="247"/>
      <c r="G26" s="211"/>
      <c r="H26" s="247"/>
      <c r="I26" s="247"/>
      <c r="J26" s="247"/>
      <c r="K26" s="247"/>
      <c r="L26" s="247"/>
      <c r="M26" s="211"/>
      <c r="N26" s="211"/>
      <c r="O26" s="211"/>
      <c r="P26" s="203"/>
      <c r="Q26" s="240"/>
      <c r="V26" s="203"/>
    </row>
    <row r="27" spans="1:24" s="198" customFormat="1" x14ac:dyDescent="0.2">
      <c r="A27" s="247"/>
      <c r="B27" s="249"/>
      <c r="C27" s="247"/>
      <c r="D27" s="247"/>
      <c r="E27" s="247"/>
      <c r="F27" s="247"/>
      <c r="G27" s="211"/>
      <c r="H27" s="247"/>
      <c r="I27" s="247"/>
      <c r="J27" s="247"/>
      <c r="K27" s="247"/>
      <c r="L27" s="247"/>
      <c r="M27" s="211"/>
      <c r="N27" s="211"/>
      <c r="O27" s="211"/>
      <c r="P27" s="203"/>
      <c r="Q27" s="203"/>
    </row>
    <row r="28" spans="1:24" s="198" customFormat="1" x14ac:dyDescent="0.2">
      <c r="A28" s="88" t="s">
        <v>68</v>
      </c>
      <c r="B28" s="249"/>
      <c r="C28" s="248"/>
      <c r="D28" s="248"/>
      <c r="E28" s="248"/>
      <c r="F28" s="248"/>
      <c r="G28" s="88"/>
      <c r="H28" s="248"/>
      <c r="I28" s="248"/>
      <c r="J28" s="248"/>
      <c r="K28" s="248"/>
      <c r="L28" s="248"/>
      <c r="M28" s="88"/>
      <c r="N28" s="88"/>
      <c r="O28" s="88"/>
      <c r="P28" s="88"/>
      <c r="Q28" s="203"/>
    </row>
    <row r="29" spans="1:24" s="198" customFormat="1" x14ac:dyDescent="0.2">
      <c r="A29" s="248"/>
      <c r="B29" s="249"/>
      <c r="C29" s="247"/>
      <c r="D29" s="247"/>
      <c r="E29" s="247"/>
      <c r="F29" s="247"/>
      <c r="G29" s="211"/>
      <c r="H29" s="247"/>
      <c r="I29" s="247"/>
      <c r="J29" s="247"/>
      <c r="K29" s="247"/>
      <c r="L29" s="247"/>
      <c r="M29" s="211"/>
      <c r="N29" s="211"/>
      <c r="O29" s="211"/>
      <c r="Q29" s="240"/>
      <c r="U29" s="203"/>
    </row>
    <row r="30" spans="1:24" s="198" customFormat="1" x14ac:dyDescent="0.2">
      <c r="A30" s="248"/>
      <c r="B30" s="88"/>
      <c r="C30" s="248"/>
      <c r="D30" s="248"/>
      <c r="E30" s="248"/>
      <c r="F30" s="248"/>
      <c r="G30" s="88"/>
      <c r="H30" s="248"/>
      <c r="I30" s="248"/>
      <c r="J30" s="248"/>
      <c r="K30" s="248"/>
      <c r="L30" s="248"/>
      <c r="M30" s="88"/>
      <c r="N30" s="88"/>
      <c r="O30" s="88"/>
      <c r="P30" s="88"/>
      <c r="Q30" s="240"/>
    </row>
    <row r="31" spans="1:24" s="198" customFormat="1" x14ac:dyDescent="0.2">
      <c r="A31" s="248"/>
      <c r="B31" s="88"/>
      <c r="C31" s="248"/>
      <c r="D31" s="248"/>
      <c r="E31" s="248"/>
      <c r="F31" s="248"/>
      <c r="G31" s="88"/>
      <c r="H31" s="248"/>
      <c r="I31" s="248"/>
      <c r="J31" s="248"/>
      <c r="K31" s="248"/>
      <c r="L31" s="248"/>
      <c r="M31" s="88"/>
      <c r="N31" s="88"/>
      <c r="O31" s="88"/>
      <c r="P31" s="88"/>
    </row>
    <row r="32" spans="1:24" s="198" customFormat="1" x14ac:dyDescent="0.2">
      <c r="A32" s="248"/>
      <c r="B32" s="88"/>
      <c r="C32" s="248"/>
      <c r="D32" s="248"/>
      <c r="E32" s="248"/>
      <c r="F32" s="248"/>
      <c r="G32" s="7" t="s">
        <v>117</v>
      </c>
      <c r="H32" s="258"/>
      <c r="I32" s="259"/>
      <c r="J32" s="260"/>
      <c r="K32" s="260"/>
      <c r="L32" s="4"/>
      <c r="M32" s="7" t="s">
        <v>63</v>
      </c>
      <c r="N32" s="258"/>
      <c r="O32" s="259"/>
      <c r="P32" s="209"/>
    </row>
    <row r="33" spans="1:18" s="198" customFormat="1" x14ac:dyDescent="0.2">
      <c r="A33" s="248"/>
      <c r="B33" s="88"/>
      <c r="D33" s="248"/>
      <c r="E33" s="248"/>
      <c r="F33" s="248"/>
      <c r="G33" s="15"/>
      <c r="H33" s="8" t="s">
        <v>118</v>
      </c>
      <c r="I33" s="1"/>
      <c r="J33" s="5"/>
      <c r="K33" s="5"/>
      <c r="L33" s="4"/>
      <c r="M33" s="15"/>
      <c r="N33" s="8" t="s">
        <v>120</v>
      </c>
      <c r="O33" s="1"/>
    </row>
    <row r="34" spans="1:18" s="198" customFormat="1" x14ac:dyDescent="0.2">
      <c r="A34" s="248"/>
      <c r="B34" s="88"/>
      <c r="C34" s="248"/>
      <c r="D34" s="248"/>
      <c r="E34" s="248"/>
      <c r="F34" s="248"/>
      <c r="G34" s="3"/>
      <c r="H34" s="261" t="s">
        <v>121</v>
      </c>
      <c r="I34" s="1"/>
      <c r="J34" s="2"/>
      <c r="K34" s="2"/>
      <c r="L34" s="1"/>
      <c r="M34" s="3"/>
      <c r="N34" s="261" t="s">
        <v>119</v>
      </c>
      <c r="O34" s="1"/>
      <c r="Q34" s="250"/>
    </row>
    <row r="35" spans="1:18" x14ac:dyDescent="0.2">
      <c r="A35" s="5"/>
      <c r="B35" s="243"/>
      <c r="C35" s="244"/>
      <c r="D35" s="244"/>
      <c r="E35" s="244"/>
      <c r="F35" s="244"/>
      <c r="G35" s="188"/>
      <c r="H35" s="244"/>
      <c r="I35" s="244"/>
      <c r="J35" s="2"/>
      <c r="K35" s="2"/>
      <c r="L35" s="2"/>
      <c r="Q35" s="250"/>
      <c r="R35" s="203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210"/>
      <c r="Q36" s="250"/>
    </row>
    <row r="37" spans="1:18" x14ac:dyDescent="0.2">
      <c r="A37" s="5"/>
      <c r="B37" s="3"/>
      <c r="C37" s="12"/>
      <c r="D37" s="12"/>
      <c r="E37" s="12"/>
      <c r="F37" s="12"/>
      <c r="G37" s="104"/>
      <c r="H37" s="12"/>
      <c r="I37" s="12"/>
      <c r="J37" s="12"/>
      <c r="K37" s="12"/>
      <c r="L37" s="12"/>
      <c r="M37" s="3"/>
      <c r="N37" s="3"/>
      <c r="O37" s="3"/>
      <c r="P37" s="210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104"/>
      <c r="H39" s="2"/>
      <c r="I39" s="2"/>
      <c r="J39" s="2"/>
      <c r="K39" s="2"/>
      <c r="L39" s="2"/>
    </row>
    <row r="40" spans="1:18" x14ac:dyDescent="0.2">
      <c r="A40" s="13"/>
      <c r="B40" s="13"/>
      <c r="C40" s="13"/>
      <c r="D40" s="13"/>
      <c r="E40" s="18"/>
      <c r="H40" s="239"/>
    </row>
    <row r="41" spans="1:18" x14ac:dyDescent="0.2">
      <c r="A41" s="13"/>
      <c r="B41" s="13"/>
      <c r="C41" s="13"/>
      <c r="D41" s="13"/>
      <c r="E41" s="18"/>
    </row>
    <row r="42" spans="1:18" x14ac:dyDescent="0.2">
      <c r="A42" s="13"/>
      <c r="B42" s="13"/>
      <c r="C42" s="13"/>
      <c r="D42" s="13"/>
      <c r="E42" s="16"/>
      <c r="F42" s="3"/>
      <c r="N42" s="3"/>
      <c r="O42" s="3"/>
      <c r="P42" s="211"/>
    </row>
    <row r="43" spans="1:18" x14ac:dyDescent="0.2">
      <c r="A43" s="13"/>
      <c r="B43" s="13"/>
      <c r="C43" s="13"/>
      <c r="D43" s="13"/>
      <c r="E43" s="18"/>
    </row>
    <row r="44" spans="1:18" x14ac:dyDescent="0.2">
      <c r="A44" s="13"/>
      <c r="B44" s="13"/>
      <c r="C44" s="13"/>
      <c r="D44" s="13"/>
      <c r="E44" s="18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M16" sqref="M16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7" t="s">
        <v>107</v>
      </c>
    </row>
    <row r="3" spans="1:11" ht="15" x14ac:dyDescent="0.25">
      <c r="A3" s="46"/>
      <c r="B3" s="46"/>
      <c r="C3" s="46"/>
      <c r="H3" s="46"/>
      <c r="I3" s="46"/>
      <c r="J3" s="46"/>
      <c r="K3" s="45"/>
    </row>
    <row r="4" spans="1:11" s="9" customFormat="1" ht="9" x14ac:dyDescent="0.15">
      <c r="A4" s="371" t="s">
        <v>38</v>
      </c>
      <c r="B4" s="371"/>
      <c r="C4" s="371"/>
      <c r="D4" s="371"/>
      <c r="E4" s="371"/>
      <c r="F4" s="87"/>
      <c r="G4" s="371" t="s">
        <v>38</v>
      </c>
      <c r="H4" s="371"/>
      <c r="I4" s="371"/>
      <c r="J4" s="371"/>
      <c r="K4" s="371"/>
    </row>
    <row r="5" spans="1:11" s="9" customFormat="1" ht="9" x14ac:dyDescent="0.15">
      <c r="A5" s="371" t="s">
        <v>39</v>
      </c>
      <c r="B5" s="371"/>
      <c r="C5" s="371"/>
      <c r="D5" s="371"/>
      <c r="E5" s="371"/>
      <c r="F5" s="87"/>
      <c r="G5" s="371" t="s">
        <v>39</v>
      </c>
      <c r="H5" s="371"/>
      <c r="I5" s="371"/>
      <c r="J5" s="371"/>
      <c r="K5" s="371"/>
    </row>
    <row r="6" spans="1:11" s="9" customFormat="1" ht="9" x14ac:dyDescent="0.15">
      <c r="A6" s="375" t="s">
        <v>122</v>
      </c>
      <c r="B6" s="375"/>
      <c r="C6" s="375"/>
      <c r="D6" s="375"/>
      <c r="E6" s="375"/>
      <c r="F6" s="87"/>
      <c r="G6" s="375" t="s">
        <v>129</v>
      </c>
      <c r="H6" s="375"/>
      <c r="I6" s="375"/>
      <c r="J6" s="375"/>
      <c r="K6" s="375"/>
    </row>
    <row r="7" spans="1:11" ht="15" customHeight="1" x14ac:dyDescent="0.25">
      <c r="A7" s="92"/>
      <c r="B7" s="372" t="s">
        <v>123</v>
      </c>
      <c r="C7" s="373"/>
      <c r="D7" s="373"/>
      <c r="E7" s="374"/>
      <c r="F7" s="45"/>
      <c r="G7" s="48"/>
      <c r="H7" s="376" t="s">
        <v>128</v>
      </c>
      <c r="I7" s="377"/>
      <c r="J7" s="377"/>
      <c r="K7" s="378"/>
    </row>
    <row r="8" spans="1:11" ht="77.25" customHeight="1" x14ac:dyDescent="0.25">
      <c r="A8" s="93" t="s">
        <v>40</v>
      </c>
      <c r="B8" s="94" t="s">
        <v>62</v>
      </c>
      <c r="C8" s="95" t="s">
        <v>42</v>
      </c>
      <c r="D8" s="96" t="s">
        <v>43</v>
      </c>
      <c r="E8" s="97" t="s">
        <v>44</v>
      </c>
      <c r="F8" s="45"/>
      <c r="G8" s="49" t="s">
        <v>40</v>
      </c>
      <c r="H8" s="22" t="s">
        <v>62</v>
      </c>
      <c r="I8" s="50" t="s">
        <v>42</v>
      </c>
      <c r="J8" s="51" t="s">
        <v>43</v>
      </c>
      <c r="K8" s="52" t="s">
        <v>44</v>
      </c>
    </row>
    <row r="9" spans="1:11" ht="15" x14ac:dyDescent="0.25">
      <c r="A9" s="149" t="s">
        <v>27</v>
      </c>
      <c r="B9" s="150">
        <f>6+6+3+1</f>
        <v>16</v>
      </c>
      <c r="C9" s="151">
        <f>232.33+240.99+71+58.76</f>
        <v>603.08000000000004</v>
      </c>
      <c r="D9" s="151">
        <f>7744.51+8033.19+2366.96+1958.58</f>
        <v>20103.239999999998</v>
      </c>
      <c r="E9" s="152">
        <f>2091.02+2168.98+639.09+528.81</f>
        <v>5427.9</v>
      </c>
      <c r="F9" s="45"/>
      <c r="G9" s="53" t="s">
        <v>27</v>
      </c>
      <c r="H9" s="150">
        <v>25</v>
      </c>
      <c r="I9" s="151">
        <v>857.02</v>
      </c>
      <c r="J9" s="151">
        <v>28566.57</v>
      </c>
      <c r="K9" s="152">
        <v>7712.96</v>
      </c>
    </row>
    <row r="10" spans="1:11" ht="15" x14ac:dyDescent="0.25">
      <c r="A10" s="149" t="s">
        <v>28</v>
      </c>
      <c r="B10" s="150">
        <v>0</v>
      </c>
      <c r="C10" s="151">
        <v>0</v>
      </c>
      <c r="D10" s="151">
        <v>0</v>
      </c>
      <c r="E10" s="152">
        <v>0</v>
      </c>
      <c r="F10" s="45"/>
      <c r="G10" s="53" t="s">
        <v>28</v>
      </c>
      <c r="H10" s="150">
        <v>25</v>
      </c>
      <c r="I10" s="153">
        <v>911.44</v>
      </c>
      <c r="J10" s="153">
        <v>12434.68</v>
      </c>
      <c r="K10" s="152">
        <v>8202.7500000000018</v>
      </c>
    </row>
    <row r="11" spans="1:11" ht="15" x14ac:dyDescent="0.25">
      <c r="A11" s="149" t="s">
        <v>29</v>
      </c>
      <c r="B11" s="150">
        <v>0</v>
      </c>
      <c r="C11" s="151">
        <v>0</v>
      </c>
      <c r="D11" s="151">
        <v>0</v>
      </c>
      <c r="E11" s="152">
        <v>0</v>
      </c>
      <c r="F11" s="45"/>
      <c r="G11" s="53" t="s">
        <v>29</v>
      </c>
      <c r="H11" s="150">
        <v>23</v>
      </c>
      <c r="I11" s="153">
        <v>895.42000000000007</v>
      </c>
      <c r="J11" s="262">
        <v>29846.589999999997</v>
      </c>
      <c r="K11" s="263">
        <v>8058.5500000000011</v>
      </c>
    </row>
    <row r="12" spans="1:11" ht="15" x14ac:dyDescent="0.25">
      <c r="A12" s="149" t="s">
        <v>30</v>
      </c>
      <c r="B12" s="150">
        <v>0</v>
      </c>
      <c r="C12" s="153">
        <v>0</v>
      </c>
      <c r="D12" s="153">
        <v>0</v>
      </c>
      <c r="E12" s="152">
        <v>0</v>
      </c>
      <c r="F12" s="45"/>
      <c r="G12" s="53" t="s">
        <v>30</v>
      </c>
      <c r="H12" s="150">
        <v>10</v>
      </c>
      <c r="I12" s="153">
        <v>269.23</v>
      </c>
      <c r="J12" s="153">
        <v>8973.65</v>
      </c>
      <c r="K12" s="152">
        <v>2422.86</v>
      </c>
    </row>
    <row r="13" spans="1:11" ht="15" x14ac:dyDescent="0.25">
      <c r="A13" s="149" t="s">
        <v>31</v>
      </c>
      <c r="B13" s="150">
        <v>0</v>
      </c>
      <c r="C13" s="151">
        <v>0</v>
      </c>
      <c r="D13" s="151">
        <v>0</v>
      </c>
      <c r="E13" s="152">
        <v>0</v>
      </c>
      <c r="F13" s="45"/>
      <c r="G13" s="53" t="s">
        <v>31</v>
      </c>
      <c r="H13" s="150">
        <v>14</v>
      </c>
      <c r="I13" s="153">
        <v>548.13</v>
      </c>
      <c r="J13" s="153">
        <v>18270.580000000002</v>
      </c>
      <c r="K13" s="152">
        <v>4933.05</v>
      </c>
    </row>
    <row r="14" spans="1:11" ht="15" x14ac:dyDescent="0.25">
      <c r="A14" s="149" t="s">
        <v>32</v>
      </c>
      <c r="B14" s="150">
        <v>0</v>
      </c>
      <c r="C14" s="151">
        <v>0</v>
      </c>
      <c r="D14" s="151">
        <v>0</v>
      </c>
      <c r="E14" s="152">
        <v>0</v>
      </c>
      <c r="F14" s="45"/>
      <c r="G14" s="53" t="s">
        <v>32</v>
      </c>
      <c r="H14" s="150">
        <v>16</v>
      </c>
      <c r="I14" s="153">
        <v>743.39</v>
      </c>
      <c r="J14" s="153">
        <v>24779.439999999999</v>
      </c>
      <c r="K14" s="152">
        <v>6690.45</v>
      </c>
    </row>
    <row r="15" spans="1:11" ht="15" x14ac:dyDescent="0.25">
      <c r="A15" s="154" t="s">
        <v>33</v>
      </c>
      <c r="B15" s="150">
        <v>0</v>
      </c>
      <c r="C15" s="153">
        <v>0</v>
      </c>
      <c r="D15" s="153">
        <v>0</v>
      </c>
      <c r="E15" s="152">
        <v>0</v>
      </c>
      <c r="F15" s="45"/>
      <c r="G15" s="53" t="s">
        <v>33</v>
      </c>
      <c r="H15" s="150">
        <v>17</v>
      </c>
      <c r="I15" s="153">
        <v>489.1</v>
      </c>
      <c r="J15" s="153">
        <v>16302.849999999999</v>
      </c>
      <c r="K15" s="152">
        <v>4401.7700000000004</v>
      </c>
    </row>
    <row r="16" spans="1:11" ht="15" x14ac:dyDescent="0.25">
      <c r="A16" s="149" t="s">
        <v>34</v>
      </c>
      <c r="B16" s="150">
        <v>0</v>
      </c>
      <c r="C16" s="151">
        <v>0</v>
      </c>
      <c r="D16" s="151">
        <v>0</v>
      </c>
      <c r="E16" s="152">
        <v>0</v>
      </c>
      <c r="F16" s="45"/>
      <c r="G16" s="53" t="s">
        <v>34</v>
      </c>
      <c r="H16" s="150">
        <v>23</v>
      </c>
      <c r="I16" s="153">
        <v>808.94</v>
      </c>
      <c r="J16" s="153">
        <v>26964.11</v>
      </c>
      <c r="K16" s="152">
        <v>7280.2999999999993</v>
      </c>
    </row>
    <row r="17" spans="1:13" ht="15" x14ac:dyDescent="0.25">
      <c r="A17" s="149" t="s">
        <v>45</v>
      </c>
      <c r="B17" s="150">
        <v>0</v>
      </c>
      <c r="C17" s="151">
        <v>0</v>
      </c>
      <c r="D17" s="151">
        <v>0</v>
      </c>
      <c r="E17" s="152">
        <v>0</v>
      </c>
      <c r="F17" s="45"/>
      <c r="G17" s="53" t="s">
        <v>45</v>
      </c>
      <c r="H17" s="150">
        <v>33</v>
      </c>
      <c r="I17" s="153">
        <v>1020.5999999999999</v>
      </c>
      <c r="J17" s="153">
        <v>34019.47</v>
      </c>
      <c r="K17" s="152">
        <v>9185.25</v>
      </c>
    </row>
    <row r="18" spans="1:13" ht="15" x14ac:dyDescent="0.25">
      <c r="A18" s="149" t="s">
        <v>35</v>
      </c>
      <c r="B18" s="150">
        <v>0</v>
      </c>
      <c r="C18" s="151">
        <v>0</v>
      </c>
      <c r="D18" s="151">
        <v>0</v>
      </c>
      <c r="E18" s="152">
        <v>0</v>
      </c>
      <c r="F18" s="45"/>
      <c r="G18" s="53" t="s">
        <v>35</v>
      </c>
      <c r="H18" s="150">
        <v>23</v>
      </c>
      <c r="I18" s="153">
        <v>937.36</v>
      </c>
      <c r="J18" s="153">
        <v>31244.399999999998</v>
      </c>
      <c r="K18" s="152">
        <v>8435.9599999999991</v>
      </c>
    </row>
    <row r="19" spans="1:13" ht="15" x14ac:dyDescent="0.25">
      <c r="A19" s="149" t="s">
        <v>36</v>
      </c>
      <c r="B19" s="150">
        <v>0</v>
      </c>
      <c r="C19" s="151">
        <v>0</v>
      </c>
      <c r="D19" s="151">
        <v>0</v>
      </c>
      <c r="E19" s="152">
        <v>0</v>
      </c>
      <c r="F19" s="45"/>
      <c r="G19" s="53" t="s">
        <v>36</v>
      </c>
      <c r="H19" s="150">
        <v>19</v>
      </c>
      <c r="I19" s="153">
        <v>705.8900000000001</v>
      </c>
      <c r="J19" s="153">
        <v>23529.39</v>
      </c>
      <c r="K19" s="152">
        <v>6352.91</v>
      </c>
    </row>
    <row r="20" spans="1:13" ht="15" x14ac:dyDescent="0.25">
      <c r="A20" s="149" t="s">
        <v>37</v>
      </c>
      <c r="B20" s="150">
        <v>0</v>
      </c>
      <c r="C20" s="151">
        <v>0</v>
      </c>
      <c r="D20" s="151">
        <v>0</v>
      </c>
      <c r="E20" s="152">
        <v>0</v>
      </c>
      <c r="F20" s="45"/>
      <c r="G20" s="53" t="s">
        <v>37</v>
      </c>
      <c r="H20" s="150">
        <v>20</v>
      </c>
      <c r="I20" s="153">
        <v>761.49</v>
      </c>
      <c r="J20" s="153">
        <v>25382.79</v>
      </c>
      <c r="K20" s="152">
        <v>6853.34</v>
      </c>
    </row>
    <row r="21" spans="1:13" ht="15" x14ac:dyDescent="0.25">
      <c r="A21" s="155" t="s">
        <v>0</v>
      </c>
      <c r="B21" s="156">
        <f>SUM(B9:B20)</f>
        <v>16</v>
      </c>
      <c r="C21" s="157">
        <f>SUM(C9:C20)</f>
        <v>603.08000000000004</v>
      </c>
      <c r="D21" s="158">
        <f>SUM(D9:D20)</f>
        <v>20103.239999999998</v>
      </c>
      <c r="E21" s="159">
        <f>SUM(E9:E20)</f>
        <v>5427.9</v>
      </c>
      <c r="F21" s="45"/>
      <c r="G21" s="54" t="s">
        <v>0</v>
      </c>
      <c r="H21" s="62">
        <v>248</v>
      </c>
      <c r="I21" s="85">
        <v>8948.01</v>
      </c>
      <c r="J21" s="264">
        <v>280314.51999999996</v>
      </c>
      <c r="K21" s="86">
        <v>80530.149999999994</v>
      </c>
    </row>
    <row r="22" spans="1:13" ht="15" x14ac:dyDescent="0.25">
      <c r="A22" s="90" t="s">
        <v>116</v>
      </c>
      <c r="B22" s="47"/>
      <c r="C22" s="47"/>
      <c r="D22" s="47"/>
      <c r="F22" s="45"/>
      <c r="G22" s="55"/>
      <c r="H22" s="47"/>
      <c r="I22" s="1" t="s">
        <v>130</v>
      </c>
    </row>
    <row r="23" spans="1:13" ht="15" x14ac:dyDescent="0.25">
      <c r="A23" s="47"/>
      <c r="B23" s="47"/>
      <c r="C23" s="47"/>
      <c r="D23" s="47"/>
      <c r="E23" s="47"/>
      <c r="F23" s="45"/>
      <c r="G23" s="47"/>
      <c r="H23" s="47"/>
      <c r="I23" s="47"/>
      <c r="J23" s="47"/>
      <c r="K23" s="47"/>
    </row>
    <row r="24" spans="1:13" ht="15" x14ac:dyDescent="0.25">
      <c r="A24" s="56"/>
      <c r="B24" s="47"/>
      <c r="C24" s="57"/>
      <c r="D24" s="105"/>
      <c r="E24" s="47"/>
      <c r="F24" s="45"/>
      <c r="G24" s="56"/>
      <c r="H24" s="47"/>
      <c r="I24" s="47"/>
      <c r="J24" s="47"/>
      <c r="K24" s="47"/>
      <c r="M24" s="42"/>
    </row>
    <row r="25" spans="1:13" x14ac:dyDescent="0.2">
      <c r="A25" s="47"/>
      <c r="B25" s="7" t="s">
        <v>117</v>
      </c>
      <c r="C25" s="258"/>
      <c r="D25" s="259"/>
      <c r="E25" s="260"/>
      <c r="F25" s="260"/>
      <c r="G25" s="4"/>
      <c r="H25" s="7" t="s">
        <v>63</v>
      </c>
      <c r="I25" s="258"/>
      <c r="J25" s="259"/>
      <c r="K25" s="209"/>
    </row>
    <row r="26" spans="1:13" x14ac:dyDescent="0.2">
      <c r="A26" s="56"/>
      <c r="B26" s="15"/>
      <c r="C26" s="8" t="s">
        <v>118</v>
      </c>
      <c r="D26" s="1"/>
      <c r="E26" s="5"/>
      <c r="F26" s="5"/>
      <c r="G26" s="4"/>
      <c r="H26" s="15"/>
      <c r="I26" s="8" t="s">
        <v>120</v>
      </c>
      <c r="J26" s="1"/>
      <c r="K26" s="198"/>
    </row>
    <row r="27" spans="1:13" x14ac:dyDescent="0.2">
      <c r="A27" s="47"/>
      <c r="B27" s="3"/>
      <c r="C27" s="261" t="s">
        <v>121</v>
      </c>
      <c r="D27" s="1"/>
      <c r="E27" s="2"/>
      <c r="F27" s="2"/>
      <c r="G27" s="1"/>
      <c r="H27" s="3"/>
      <c r="I27" s="261" t="s">
        <v>119</v>
      </c>
      <c r="J27" s="1"/>
      <c r="K27" s="198"/>
    </row>
    <row r="28" spans="1:13" ht="15" x14ac:dyDescent="0.25">
      <c r="A28" s="45"/>
      <c r="B28" s="45"/>
      <c r="C28" s="58"/>
      <c r="E28" s="45"/>
      <c r="F28" s="47"/>
      <c r="G28" s="45"/>
      <c r="H28" s="45"/>
      <c r="I28" s="47"/>
      <c r="J28" s="47"/>
      <c r="K28" s="45"/>
    </row>
    <row r="29" spans="1:13" ht="15" x14ac:dyDescent="0.25">
      <c r="A29" s="45"/>
      <c r="B29" s="45"/>
      <c r="C29" s="47"/>
      <c r="E29" s="45"/>
      <c r="F29" s="59"/>
      <c r="G29" s="45"/>
      <c r="H29" s="45"/>
      <c r="I29" s="47"/>
      <c r="J29" s="47"/>
      <c r="K29" s="45"/>
    </row>
    <row r="30" spans="1:13" ht="15" x14ac:dyDescent="0.25">
      <c r="A30" s="60"/>
      <c r="B30" s="45"/>
      <c r="C30" s="47"/>
      <c r="D30" s="42"/>
      <c r="E30" s="45"/>
      <c r="F30" s="56"/>
      <c r="G30" s="60"/>
      <c r="H30" s="45"/>
      <c r="I30" s="47"/>
      <c r="J30" s="47"/>
      <c r="K30" s="45"/>
    </row>
    <row r="31" spans="1:13" ht="15" x14ac:dyDescent="0.25">
      <c r="A31" s="58"/>
      <c r="B31" s="45"/>
      <c r="C31" s="58"/>
      <c r="D31" s="58"/>
      <c r="E31" s="58"/>
      <c r="F31" s="45"/>
      <c r="G31" s="45"/>
      <c r="H31" s="45"/>
      <c r="I31" s="45"/>
      <c r="J31" s="45"/>
      <c r="K31" s="45"/>
    </row>
    <row r="32" spans="1:13" ht="15" x14ac:dyDescent="0.25">
      <c r="A32" s="45"/>
      <c r="B32" s="45"/>
      <c r="C32" s="45"/>
      <c r="D32" s="45"/>
      <c r="E32" s="45"/>
    </row>
    <row r="33" spans="1:5" ht="15" x14ac:dyDescent="0.25">
      <c r="A33" s="45"/>
      <c r="B33" s="45"/>
      <c r="C33" s="45"/>
      <c r="D33" s="45"/>
      <c r="E33" s="45"/>
    </row>
    <row r="34" spans="1:5" ht="15" x14ac:dyDescent="0.25">
      <c r="A34" s="45"/>
      <c r="B34" s="45"/>
      <c r="C34" s="45"/>
      <c r="D34" s="45"/>
      <c r="E34" s="45"/>
    </row>
    <row r="35" spans="1:5" ht="15" x14ac:dyDescent="0.25">
      <c r="A35" s="47"/>
      <c r="B35" s="45"/>
      <c r="C35" s="45"/>
      <c r="D35" s="45"/>
      <c r="E35" s="45"/>
    </row>
    <row r="36" spans="1:5" x14ac:dyDescent="0.2">
      <c r="A36" s="61"/>
      <c r="B36" s="47"/>
      <c r="C36" s="47"/>
      <c r="D36" s="47"/>
      <c r="E36" s="47"/>
    </row>
    <row r="37" spans="1:5" ht="15" x14ac:dyDescent="0.25">
      <c r="A37" s="45"/>
      <c r="B37" s="58"/>
      <c r="C37" s="58"/>
      <c r="D37" s="58"/>
      <c r="E37" s="47"/>
    </row>
    <row r="38" spans="1:5" ht="15" x14ac:dyDescent="0.25">
      <c r="A38" s="45"/>
      <c r="B38" s="58"/>
      <c r="C38" s="58"/>
      <c r="D38" s="58"/>
      <c r="E38" s="47"/>
    </row>
    <row r="39" spans="1:5" x14ac:dyDescent="0.2">
      <c r="A39" s="47"/>
      <c r="B39" s="47"/>
      <c r="C39" s="47"/>
      <c r="D39" s="47"/>
      <c r="E39" s="47"/>
    </row>
    <row r="40" spans="1:5" x14ac:dyDescent="0.2">
      <c r="A40" s="47"/>
      <c r="B40" s="47"/>
      <c r="C40" s="47"/>
      <c r="D40" s="47"/>
      <c r="E40" s="47"/>
    </row>
    <row r="41" spans="1:5" x14ac:dyDescent="0.2">
      <c r="A41" s="47"/>
      <c r="B41" s="47"/>
      <c r="C41" s="47"/>
      <c r="D41" s="47"/>
      <c r="E41" s="47"/>
    </row>
    <row r="42" spans="1:5" x14ac:dyDescent="0.2">
      <c r="A42" s="47"/>
      <c r="B42" s="47"/>
      <c r="C42" s="47"/>
      <c r="D42" s="47"/>
      <c r="E42" s="47"/>
    </row>
    <row r="43" spans="1:5" x14ac:dyDescent="0.2">
      <c r="A43" s="47"/>
      <c r="B43" s="47"/>
      <c r="C43" s="47"/>
      <c r="D43" s="47"/>
      <c r="E43" s="47"/>
    </row>
    <row r="44" spans="1:5" x14ac:dyDescent="0.2">
      <c r="A44" s="47"/>
      <c r="B44" s="47"/>
      <c r="C44" s="47"/>
      <c r="D44" s="47"/>
      <c r="E44" s="47"/>
    </row>
    <row r="45" spans="1:5" x14ac:dyDescent="0.2">
      <c r="A45" s="47"/>
      <c r="B45" s="47"/>
      <c r="C45" s="47"/>
      <c r="D45" s="47"/>
      <c r="E45" s="47"/>
    </row>
    <row r="46" spans="1:5" x14ac:dyDescent="0.2">
      <c r="A46" s="47"/>
      <c r="B46" s="47"/>
      <c r="C46" s="47"/>
      <c r="D46" s="47"/>
      <c r="E46" s="47"/>
    </row>
    <row r="47" spans="1:5" x14ac:dyDescent="0.2">
      <c r="A47" s="47"/>
      <c r="B47" s="47"/>
      <c r="C47" s="47"/>
      <c r="D47" s="47"/>
      <c r="E47" s="47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E23" sqref="E2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7" t="s">
        <v>115</v>
      </c>
    </row>
    <row r="4" spans="1:14" x14ac:dyDescent="0.2">
      <c r="A4" s="379" t="s">
        <v>46</v>
      </c>
      <c r="B4" s="379"/>
      <c r="C4" s="379"/>
      <c r="D4" s="379"/>
      <c r="E4" s="379"/>
      <c r="F4" s="1"/>
      <c r="G4" s="379" t="s">
        <v>46</v>
      </c>
      <c r="H4" s="379"/>
      <c r="I4" s="379"/>
      <c r="J4" s="379"/>
      <c r="K4" s="379"/>
    </row>
    <row r="5" spans="1:14" x14ac:dyDescent="0.2">
      <c r="A5" s="379" t="s">
        <v>124</v>
      </c>
      <c r="B5" s="379"/>
      <c r="C5" s="379"/>
      <c r="D5" s="379"/>
      <c r="E5" s="379"/>
      <c r="F5" s="1"/>
      <c r="G5" s="379" t="s">
        <v>132</v>
      </c>
      <c r="H5" s="379"/>
      <c r="I5" s="379"/>
      <c r="J5" s="379"/>
      <c r="K5" s="379"/>
    </row>
    <row r="6" spans="1:14" x14ac:dyDescent="0.2">
      <c r="A6" s="43"/>
      <c r="B6" s="43"/>
      <c r="C6" s="43"/>
      <c r="D6" s="43"/>
      <c r="E6" s="43"/>
      <c r="F6" s="1"/>
      <c r="G6" s="43"/>
      <c r="H6" s="43"/>
      <c r="I6" s="43"/>
      <c r="J6" s="43"/>
      <c r="K6" s="43"/>
    </row>
    <row r="7" spans="1:14" ht="12.75" customHeight="1" x14ac:dyDescent="0.2">
      <c r="A7" s="21"/>
      <c r="B7" s="372" t="str">
        <f>'2. COMPR DEV 30%'!B7:E7</f>
        <v>DEL 01 DE ENERO AL 31 DE DICIEMBRE DEL AÑO 2022</v>
      </c>
      <c r="C7" s="373"/>
      <c r="D7" s="373"/>
      <c r="E7" s="374"/>
      <c r="G7" s="21"/>
      <c r="H7" s="380" t="s">
        <v>128</v>
      </c>
      <c r="I7" s="381"/>
      <c r="J7" s="381"/>
      <c r="K7" s="382"/>
    </row>
    <row r="8" spans="1:14" ht="45" x14ac:dyDescent="0.2">
      <c r="A8" s="33" t="s">
        <v>40</v>
      </c>
      <c r="B8" s="22" t="s">
        <v>41</v>
      </c>
      <c r="C8" s="23" t="s">
        <v>42</v>
      </c>
      <c r="D8" s="98" t="s">
        <v>43</v>
      </c>
      <c r="E8" s="24" t="s">
        <v>44</v>
      </c>
      <c r="G8" s="33" t="s">
        <v>40</v>
      </c>
      <c r="H8" s="63" t="s">
        <v>41</v>
      </c>
      <c r="I8" s="35" t="s">
        <v>42</v>
      </c>
      <c r="J8" s="35" t="s">
        <v>43</v>
      </c>
      <c r="K8" s="64" t="s">
        <v>44</v>
      </c>
    </row>
    <row r="9" spans="1:14" x14ac:dyDescent="0.2">
      <c r="A9" s="160" t="s">
        <v>27</v>
      </c>
      <c r="B9" s="161">
        <f>6+14+12+24</f>
        <v>56</v>
      </c>
      <c r="C9" s="162">
        <f>8.12+14.53+8.48+22.13</f>
        <v>53.26</v>
      </c>
      <c r="D9" s="162">
        <f>4728.27+10811.43+13975.72+19573.03</f>
        <v>49088.45</v>
      </c>
      <c r="E9" s="162">
        <f>4350.58+9856.94+13277.77+19035.22</f>
        <v>46520.51</v>
      </c>
      <c r="G9" s="29" t="s">
        <v>27</v>
      </c>
      <c r="H9" s="161">
        <v>83</v>
      </c>
      <c r="I9" s="162">
        <v>115.64000000000001</v>
      </c>
      <c r="J9" s="162">
        <v>83311.760000000009</v>
      </c>
      <c r="K9" s="162">
        <v>78765.06</v>
      </c>
      <c r="L9" s="42"/>
      <c r="M9" s="42"/>
    </row>
    <row r="10" spans="1:14" x14ac:dyDescent="0.2">
      <c r="A10" s="160" t="s">
        <v>28</v>
      </c>
      <c r="B10" s="161">
        <v>0</v>
      </c>
      <c r="C10" s="162">
        <v>0</v>
      </c>
      <c r="D10" s="162">
        <v>0</v>
      </c>
      <c r="E10" s="162">
        <v>0</v>
      </c>
      <c r="F10" s="125"/>
      <c r="G10" s="25" t="s">
        <v>28</v>
      </c>
      <c r="H10" s="164">
        <v>85</v>
      </c>
      <c r="I10" s="270">
        <v>166.46000000000004</v>
      </c>
      <c r="J10" s="270">
        <v>82953.849999999991</v>
      </c>
      <c r="K10" s="269">
        <v>79310.16</v>
      </c>
      <c r="L10" s="11"/>
      <c r="M10" s="11"/>
    </row>
    <row r="11" spans="1:14" x14ac:dyDescent="0.2">
      <c r="A11" s="160" t="s">
        <v>29</v>
      </c>
      <c r="B11" s="161">
        <v>0</v>
      </c>
      <c r="C11" s="162">
        <v>0</v>
      </c>
      <c r="D11" s="162">
        <v>0</v>
      </c>
      <c r="E11" s="162">
        <v>0</v>
      </c>
      <c r="G11" s="66" t="s">
        <v>29</v>
      </c>
      <c r="H11" s="164">
        <v>99</v>
      </c>
      <c r="I11" s="270">
        <v>130.04000000000002</v>
      </c>
      <c r="J11" s="270">
        <v>99120.49</v>
      </c>
      <c r="K11" s="269">
        <v>94341.91</v>
      </c>
      <c r="L11" s="67"/>
      <c r="M11" s="68"/>
    </row>
    <row r="12" spans="1:14" x14ac:dyDescent="0.2">
      <c r="A12" s="160" t="s">
        <v>30</v>
      </c>
      <c r="B12" s="161">
        <v>0</v>
      </c>
      <c r="C12" s="162">
        <v>0</v>
      </c>
      <c r="D12" s="162">
        <v>0</v>
      </c>
      <c r="E12" s="162">
        <v>0</v>
      </c>
      <c r="G12" s="29" t="s">
        <v>30</v>
      </c>
      <c r="H12" s="164">
        <v>62</v>
      </c>
      <c r="I12" s="270">
        <v>71.45</v>
      </c>
      <c r="J12" s="270">
        <v>54884.89</v>
      </c>
      <c r="K12" s="269">
        <v>50897.62</v>
      </c>
      <c r="L12" s="68"/>
      <c r="M12" s="69"/>
    </row>
    <row r="13" spans="1:14" x14ac:dyDescent="0.2">
      <c r="A13" s="160" t="s">
        <v>31</v>
      </c>
      <c r="B13" s="161">
        <v>0</v>
      </c>
      <c r="C13" s="162">
        <v>0</v>
      </c>
      <c r="D13" s="162">
        <v>0</v>
      </c>
      <c r="E13" s="162">
        <v>0</v>
      </c>
      <c r="G13" s="29" t="s">
        <v>31</v>
      </c>
      <c r="H13" s="164">
        <v>96</v>
      </c>
      <c r="I13" s="270">
        <v>85.09</v>
      </c>
      <c r="J13" s="270">
        <v>85567.81</v>
      </c>
      <c r="K13" s="269">
        <v>75952.350000000006</v>
      </c>
      <c r="L13" s="42"/>
      <c r="M13" s="68"/>
    </row>
    <row r="14" spans="1:14" x14ac:dyDescent="0.2">
      <c r="A14" s="160" t="s">
        <v>32</v>
      </c>
      <c r="B14" s="161">
        <v>0</v>
      </c>
      <c r="C14" s="162">
        <v>0</v>
      </c>
      <c r="D14" s="162">
        <v>0</v>
      </c>
      <c r="E14" s="162">
        <v>0</v>
      </c>
      <c r="G14" s="29" t="s">
        <v>32</v>
      </c>
      <c r="H14" s="164">
        <v>82</v>
      </c>
      <c r="I14" s="270">
        <v>85.36</v>
      </c>
      <c r="J14" s="270">
        <v>73274.09</v>
      </c>
      <c r="K14" s="269">
        <v>69752.92</v>
      </c>
      <c r="L14" s="68"/>
      <c r="M14" s="70"/>
      <c r="N14" s="42"/>
    </row>
    <row r="15" spans="1:14" x14ac:dyDescent="0.2">
      <c r="A15" s="163" t="s">
        <v>33</v>
      </c>
      <c r="B15" s="161">
        <v>0</v>
      </c>
      <c r="C15" s="162">
        <v>0</v>
      </c>
      <c r="D15" s="162">
        <v>0</v>
      </c>
      <c r="E15" s="162">
        <v>0</v>
      </c>
      <c r="G15" s="29" t="s">
        <v>33</v>
      </c>
      <c r="H15" s="164">
        <v>75</v>
      </c>
      <c r="I15" s="270">
        <v>118.37</v>
      </c>
      <c r="J15" s="270">
        <v>73737.26999999999</v>
      </c>
      <c r="K15" s="269">
        <v>67993.59</v>
      </c>
      <c r="L15" s="42"/>
      <c r="M15" s="70"/>
      <c r="N15" s="42"/>
    </row>
    <row r="16" spans="1:14" x14ac:dyDescent="0.2">
      <c r="A16" s="160" t="s">
        <v>34</v>
      </c>
      <c r="B16" s="161">
        <v>0</v>
      </c>
      <c r="C16" s="162">
        <v>0</v>
      </c>
      <c r="D16" s="162">
        <v>0</v>
      </c>
      <c r="E16" s="162">
        <v>0</v>
      </c>
      <c r="G16" s="29" t="s">
        <v>34</v>
      </c>
      <c r="H16" s="164">
        <v>82</v>
      </c>
      <c r="I16" s="270">
        <v>142.56</v>
      </c>
      <c r="J16" s="270">
        <v>88260.59</v>
      </c>
      <c r="K16" s="269">
        <v>83459.06</v>
      </c>
      <c r="L16" s="71"/>
      <c r="M16" s="11"/>
      <c r="N16" s="42"/>
    </row>
    <row r="17" spans="1:14" x14ac:dyDescent="0.2">
      <c r="A17" s="160" t="s">
        <v>45</v>
      </c>
      <c r="B17" s="161">
        <v>0</v>
      </c>
      <c r="C17" s="162">
        <v>0</v>
      </c>
      <c r="D17" s="162">
        <v>0</v>
      </c>
      <c r="E17" s="162">
        <v>0</v>
      </c>
      <c r="G17" s="29" t="s">
        <v>45</v>
      </c>
      <c r="H17" s="164">
        <v>76</v>
      </c>
      <c r="I17" s="270">
        <v>77.539999999999992</v>
      </c>
      <c r="J17" s="270">
        <v>65717.95</v>
      </c>
      <c r="K17" s="269">
        <v>59994.15</v>
      </c>
      <c r="L17" s="68"/>
      <c r="M17" s="11"/>
      <c r="N17" s="42"/>
    </row>
    <row r="18" spans="1:14" x14ac:dyDescent="0.2">
      <c r="A18" s="160" t="s">
        <v>35</v>
      </c>
      <c r="B18" s="161">
        <v>0</v>
      </c>
      <c r="C18" s="162">
        <v>0</v>
      </c>
      <c r="D18" s="162">
        <v>0</v>
      </c>
      <c r="E18" s="162">
        <v>0</v>
      </c>
      <c r="G18" s="29" t="s">
        <v>35</v>
      </c>
      <c r="H18" s="164">
        <v>91</v>
      </c>
      <c r="I18" s="270">
        <v>108.77000000000001</v>
      </c>
      <c r="J18" s="270">
        <v>91407.44</v>
      </c>
      <c r="K18" s="269">
        <v>85501.53</v>
      </c>
      <c r="L18" s="68"/>
      <c r="M18" s="72"/>
      <c r="N18" s="42"/>
    </row>
    <row r="19" spans="1:14" x14ac:dyDescent="0.2">
      <c r="A19" s="160" t="s">
        <v>36</v>
      </c>
      <c r="B19" s="161">
        <v>0</v>
      </c>
      <c r="C19" s="162">
        <v>0</v>
      </c>
      <c r="D19" s="162">
        <v>0</v>
      </c>
      <c r="E19" s="162">
        <v>0</v>
      </c>
      <c r="G19" s="29" t="s">
        <v>36</v>
      </c>
      <c r="H19" s="164">
        <v>113</v>
      </c>
      <c r="I19" s="270">
        <v>140.94</v>
      </c>
      <c r="J19" s="270">
        <v>102316.38</v>
      </c>
      <c r="K19" s="269">
        <v>93843.42</v>
      </c>
      <c r="L19" s="72"/>
      <c r="M19" s="11"/>
      <c r="N19" s="42"/>
    </row>
    <row r="20" spans="1:14" x14ac:dyDescent="0.2">
      <c r="A20" s="160" t="s">
        <v>37</v>
      </c>
      <c r="B20" s="161">
        <v>0</v>
      </c>
      <c r="C20" s="162">
        <v>0</v>
      </c>
      <c r="D20" s="162">
        <v>0</v>
      </c>
      <c r="E20" s="162">
        <v>0</v>
      </c>
      <c r="G20" s="29" t="s">
        <v>37</v>
      </c>
      <c r="H20" s="164">
        <v>103</v>
      </c>
      <c r="I20" s="270">
        <v>168.64</v>
      </c>
      <c r="J20" s="270">
        <v>104655.48</v>
      </c>
      <c r="K20" s="269">
        <v>99934.23000000001</v>
      </c>
      <c r="L20" s="42"/>
      <c r="M20" s="68"/>
      <c r="N20" s="42"/>
    </row>
    <row r="21" spans="1:14" x14ac:dyDescent="0.2">
      <c r="A21" s="31" t="s">
        <v>0</v>
      </c>
      <c r="B21" s="73">
        <f>SUM(B9:B20)</f>
        <v>56</v>
      </c>
      <c r="C21" s="106">
        <f>SUM(C9:C20)</f>
        <v>53.26</v>
      </c>
      <c r="D21" s="106">
        <f>SUM(D9:D20)</f>
        <v>49088.45</v>
      </c>
      <c r="E21" s="106">
        <f>SUM(E9:E20)</f>
        <v>46520.51</v>
      </c>
      <c r="G21" s="31" t="s">
        <v>0</v>
      </c>
      <c r="H21" s="74">
        <v>1047</v>
      </c>
      <c r="I21" s="75">
        <v>1410.8600000000001</v>
      </c>
      <c r="J21" s="75">
        <v>1005207.9999999999</v>
      </c>
      <c r="K21" s="75">
        <v>939746</v>
      </c>
      <c r="L21" s="11"/>
      <c r="M21" s="11"/>
      <c r="N21" s="42"/>
    </row>
    <row r="22" spans="1:14" x14ac:dyDescent="0.2">
      <c r="A22" s="89" t="s">
        <v>116</v>
      </c>
      <c r="B22" s="1"/>
      <c r="C22" s="1"/>
      <c r="D22" s="1"/>
      <c r="E22" s="6"/>
      <c r="G22" s="27"/>
      <c r="H22" s="1"/>
      <c r="I22" s="1" t="s">
        <v>130</v>
      </c>
      <c r="J22" s="1"/>
    </row>
    <row r="23" spans="1:14" x14ac:dyDescent="0.2">
      <c r="A23" s="88"/>
      <c r="B23" s="14"/>
    </row>
    <row r="24" spans="1:14" x14ac:dyDescent="0.2">
      <c r="A24" s="88"/>
      <c r="B24" s="1"/>
      <c r="C24" s="1"/>
      <c r="D24" s="1"/>
      <c r="E24" s="1"/>
      <c r="F24" s="1"/>
    </row>
    <row r="25" spans="1:14" x14ac:dyDescent="0.2">
      <c r="A25" s="88"/>
      <c r="B25" s="15"/>
      <c r="C25" s="1"/>
      <c r="D25" s="1"/>
      <c r="E25" s="1"/>
      <c r="F25" s="1"/>
    </row>
    <row r="26" spans="1:14" x14ac:dyDescent="0.2">
      <c r="A26" s="4"/>
      <c r="B26" s="17"/>
      <c r="C26" s="1"/>
      <c r="D26" s="1"/>
      <c r="F26" s="1"/>
      <c r="J26" s="1"/>
    </row>
    <row r="27" spans="1:14" x14ac:dyDescent="0.2">
      <c r="A27" s="4"/>
      <c r="B27" s="44"/>
      <c r="C27" s="257"/>
      <c r="D27" s="257"/>
      <c r="E27" s="257"/>
      <c r="F27" s="1"/>
    </row>
    <row r="28" spans="1:14" x14ac:dyDescent="0.2">
      <c r="A28" s="4"/>
      <c r="B28" s="7" t="s">
        <v>117</v>
      </c>
      <c r="C28" s="258"/>
      <c r="D28" s="259"/>
      <c r="E28" s="260"/>
      <c r="F28" s="260"/>
      <c r="G28" s="4"/>
      <c r="H28" s="7" t="s">
        <v>63</v>
      </c>
      <c r="I28" s="258"/>
      <c r="J28" s="259"/>
      <c r="K28" s="209"/>
    </row>
    <row r="29" spans="1:14" x14ac:dyDescent="0.2">
      <c r="A29" s="4"/>
      <c r="B29" s="15"/>
      <c r="C29" s="8" t="s">
        <v>118</v>
      </c>
      <c r="D29" s="1"/>
      <c r="E29" s="5"/>
      <c r="F29" s="5"/>
      <c r="G29" s="4"/>
      <c r="H29" s="15"/>
      <c r="I29" s="8" t="s">
        <v>120</v>
      </c>
      <c r="J29" s="1"/>
      <c r="K29" s="198"/>
    </row>
    <row r="30" spans="1:14" x14ac:dyDescent="0.2">
      <c r="A30" s="4"/>
      <c r="B30" s="3"/>
      <c r="C30" s="261" t="s">
        <v>121</v>
      </c>
      <c r="D30" s="1"/>
      <c r="E30" s="2"/>
      <c r="F30" s="2"/>
      <c r="G30" s="1"/>
      <c r="H30" s="3"/>
      <c r="I30" s="261" t="s">
        <v>119</v>
      </c>
      <c r="J30" s="1"/>
      <c r="K30" s="198"/>
    </row>
    <row r="31" spans="1:14" x14ac:dyDescent="0.2">
      <c r="A31" s="76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6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workbookViewId="0">
      <selection activeCell="O25" sqref="O25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7" t="s">
        <v>114</v>
      </c>
    </row>
    <row r="5" spans="1:15" x14ac:dyDescent="0.2">
      <c r="B5" s="19"/>
    </row>
    <row r="6" spans="1:15" x14ac:dyDescent="0.2">
      <c r="B6" s="20"/>
      <c r="C6" s="20"/>
      <c r="D6" s="20"/>
      <c r="E6" s="20"/>
    </row>
    <row r="7" spans="1:15" x14ac:dyDescent="0.2">
      <c r="B7" s="20"/>
      <c r="C7" s="20"/>
      <c r="D7" s="20"/>
      <c r="E7" s="20"/>
    </row>
    <row r="8" spans="1:15" x14ac:dyDescent="0.2">
      <c r="B8" s="379" t="s">
        <v>47</v>
      </c>
      <c r="C8" s="379"/>
      <c r="D8" s="379"/>
      <c r="E8" s="379"/>
      <c r="F8" s="379"/>
      <c r="G8" s="1"/>
      <c r="H8" s="379" t="s">
        <v>47</v>
      </c>
      <c r="I8" s="379"/>
      <c r="J8" s="379"/>
      <c r="K8" s="379"/>
      <c r="L8" s="379"/>
    </row>
    <row r="9" spans="1:15" x14ac:dyDescent="0.2">
      <c r="B9" s="383" t="s">
        <v>125</v>
      </c>
      <c r="C9" s="383"/>
      <c r="D9" s="383"/>
      <c r="E9" s="383"/>
      <c r="F9" s="383"/>
      <c r="G9" s="1"/>
      <c r="H9" s="383" t="s">
        <v>131</v>
      </c>
      <c r="I9" s="383"/>
      <c r="J9" s="383"/>
      <c r="K9" s="383"/>
      <c r="L9" s="383"/>
    </row>
    <row r="10" spans="1:15" ht="12.75" customHeight="1" x14ac:dyDescent="0.2">
      <c r="B10" s="21"/>
      <c r="C10" s="372" t="s">
        <v>126</v>
      </c>
      <c r="D10" s="373"/>
      <c r="E10" s="373"/>
      <c r="F10" s="374"/>
      <c r="H10" s="21"/>
      <c r="I10" s="380" t="s">
        <v>128</v>
      </c>
      <c r="J10" s="381"/>
      <c r="K10" s="381"/>
      <c r="L10" s="384"/>
    </row>
    <row r="11" spans="1:15" ht="45" x14ac:dyDescent="0.2">
      <c r="B11" s="33" t="s">
        <v>40</v>
      </c>
      <c r="C11" s="40" t="s">
        <v>61</v>
      </c>
      <c r="D11" s="35" t="s">
        <v>42</v>
      </c>
      <c r="E11" s="253" t="s">
        <v>43</v>
      </c>
      <c r="F11" s="255" t="s">
        <v>48</v>
      </c>
      <c r="H11" s="33" t="s">
        <v>40</v>
      </c>
      <c r="I11" s="40" t="s">
        <v>61</v>
      </c>
      <c r="J11" s="35" t="s">
        <v>42</v>
      </c>
      <c r="K11" s="35" t="s">
        <v>43</v>
      </c>
      <c r="L11" s="28" t="s">
        <v>48</v>
      </c>
      <c r="N11" s="197"/>
    </row>
    <row r="12" spans="1:15" x14ac:dyDescent="0.2">
      <c r="A12" s="195"/>
      <c r="B12" s="29" t="s">
        <v>27</v>
      </c>
      <c r="C12" s="38">
        <f>9+19+5+13</f>
        <v>46</v>
      </c>
      <c r="D12" s="162">
        <f>57.24+183.18+41.57+116.58</f>
        <v>398.57</v>
      </c>
      <c r="E12" s="162">
        <f>10856.4+33025.8+8155.8+20548.8</f>
        <v>72586.8</v>
      </c>
      <c r="F12" s="162">
        <f>11371.35+34673.99+8529.87+21597.73</f>
        <v>76172.94</v>
      </c>
      <c r="H12" s="29" t="s">
        <v>27</v>
      </c>
      <c r="I12" s="38">
        <v>47</v>
      </c>
      <c r="J12" s="265">
        <v>394.84000000000003</v>
      </c>
      <c r="K12" s="265">
        <v>90036.48000000001</v>
      </c>
      <c r="L12" s="266">
        <v>96748.079999999987</v>
      </c>
      <c r="M12" s="91"/>
      <c r="N12" s="70"/>
      <c r="O12" s="42"/>
    </row>
    <row r="13" spans="1:15" x14ac:dyDescent="0.2">
      <c r="A13" s="195"/>
      <c r="B13" s="29" t="s">
        <v>28</v>
      </c>
      <c r="C13" s="38">
        <v>0</v>
      </c>
      <c r="D13" s="36">
        <v>0</v>
      </c>
      <c r="E13" s="254">
        <v>0</v>
      </c>
      <c r="F13" s="256">
        <v>0</v>
      </c>
      <c r="H13" s="29" t="s">
        <v>28</v>
      </c>
      <c r="I13" s="164">
        <v>42</v>
      </c>
      <c r="J13" s="267">
        <v>356.93000000000006</v>
      </c>
      <c r="K13" s="267">
        <v>65469.229999999996</v>
      </c>
      <c r="L13" s="165">
        <v>68785.97</v>
      </c>
      <c r="M13" s="91"/>
      <c r="N13" s="68"/>
      <c r="O13" s="42"/>
    </row>
    <row r="14" spans="1:15" x14ac:dyDescent="0.2">
      <c r="A14" s="195"/>
      <c r="B14" s="29" t="s">
        <v>29</v>
      </c>
      <c r="C14" s="38">
        <v>0</v>
      </c>
      <c r="D14" s="36">
        <v>0</v>
      </c>
      <c r="E14" s="36">
        <v>0</v>
      </c>
      <c r="F14" s="30">
        <v>0</v>
      </c>
      <c r="H14" s="29" t="s">
        <v>29</v>
      </c>
      <c r="I14" s="164">
        <v>85</v>
      </c>
      <c r="J14" s="267">
        <v>609.20000000000005</v>
      </c>
      <c r="K14" s="267">
        <v>122088.59999999999</v>
      </c>
      <c r="L14" s="165">
        <v>128533.81</v>
      </c>
      <c r="M14" s="91"/>
      <c r="N14" s="67"/>
      <c r="O14" s="11"/>
    </row>
    <row r="15" spans="1:15" x14ac:dyDescent="0.2">
      <c r="A15" s="195"/>
      <c r="B15" s="29" t="s">
        <v>30</v>
      </c>
      <c r="C15" s="38">
        <v>0</v>
      </c>
      <c r="D15" s="36">
        <v>0</v>
      </c>
      <c r="E15" s="36">
        <v>0</v>
      </c>
      <c r="F15" s="30">
        <v>0</v>
      </c>
      <c r="H15" s="29" t="s">
        <v>30</v>
      </c>
      <c r="I15" s="164">
        <v>116</v>
      </c>
      <c r="J15" s="268">
        <v>970.55</v>
      </c>
      <c r="K15" s="268">
        <v>184753.2</v>
      </c>
      <c r="L15" s="269">
        <v>193886.79</v>
      </c>
      <c r="M15" s="77"/>
      <c r="N15" s="70"/>
      <c r="O15" s="11"/>
    </row>
    <row r="16" spans="1:15" x14ac:dyDescent="0.2">
      <c r="A16" s="195"/>
      <c r="B16" s="29" t="s">
        <v>31</v>
      </c>
      <c r="C16" s="38">
        <v>0</v>
      </c>
      <c r="D16" s="36">
        <v>0</v>
      </c>
      <c r="E16" s="36">
        <v>0</v>
      </c>
      <c r="F16" s="30">
        <v>0</v>
      </c>
      <c r="H16" s="29" t="s">
        <v>31</v>
      </c>
      <c r="I16" s="164">
        <v>124</v>
      </c>
      <c r="J16" s="267">
        <v>1019.6600000000001</v>
      </c>
      <c r="K16" s="267">
        <v>190551.96</v>
      </c>
      <c r="L16" s="165">
        <v>200123.46000000002</v>
      </c>
      <c r="M16" s="68"/>
      <c r="N16" s="67"/>
      <c r="O16" s="11"/>
    </row>
    <row r="17" spans="1:16" x14ac:dyDescent="0.2">
      <c r="A17" s="195"/>
      <c r="B17" s="29" t="s">
        <v>32</v>
      </c>
      <c r="C17" s="38">
        <v>0</v>
      </c>
      <c r="D17" s="36">
        <v>0</v>
      </c>
      <c r="E17" s="36">
        <v>0</v>
      </c>
      <c r="F17" s="30">
        <v>0</v>
      </c>
      <c r="H17" s="29" t="s">
        <v>32</v>
      </c>
      <c r="I17" s="164">
        <v>78</v>
      </c>
      <c r="J17" s="267">
        <v>515.70000000000005</v>
      </c>
      <c r="K17" s="267">
        <v>93701.400000000009</v>
      </c>
      <c r="L17" s="165">
        <v>98341.62</v>
      </c>
      <c r="M17" s="68"/>
      <c r="N17" s="67"/>
      <c r="O17" s="11"/>
    </row>
    <row r="18" spans="1:16" x14ac:dyDescent="0.2">
      <c r="A18" s="195"/>
      <c r="B18" s="25" t="s">
        <v>49</v>
      </c>
      <c r="C18" s="38">
        <v>0</v>
      </c>
      <c r="D18" s="36">
        <v>0</v>
      </c>
      <c r="E18" s="36">
        <v>0</v>
      </c>
      <c r="F18" s="30">
        <v>0</v>
      </c>
      <c r="G18" s="78"/>
      <c r="H18" s="79" t="s">
        <v>49</v>
      </c>
      <c r="I18" s="164">
        <v>104</v>
      </c>
      <c r="J18" s="267">
        <v>776.40000000000009</v>
      </c>
      <c r="K18" s="267">
        <v>143984.12</v>
      </c>
      <c r="L18" s="165">
        <v>151223.74</v>
      </c>
      <c r="M18" s="42"/>
      <c r="N18" s="67"/>
      <c r="O18" s="42"/>
    </row>
    <row r="19" spans="1:16" x14ac:dyDescent="0.2">
      <c r="A19" s="195"/>
      <c r="B19" s="65" t="s">
        <v>34</v>
      </c>
      <c r="C19" s="38">
        <v>0</v>
      </c>
      <c r="D19" s="36">
        <v>0</v>
      </c>
      <c r="E19" s="36">
        <v>0</v>
      </c>
      <c r="F19" s="30">
        <v>0</v>
      </c>
      <c r="H19" s="66" t="s">
        <v>34</v>
      </c>
      <c r="I19" s="164">
        <v>82</v>
      </c>
      <c r="J19" s="267">
        <v>717.84</v>
      </c>
      <c r="K19" s="267">
        <v>137550.51</v>
      </c>
      <c r="L19" s="165">
        <v>144996.56999999998</v>
      </c>
      <c r="M19" s="42"/>
      <c r="N19" s="11"/>
      <c r="O19" s="11"/>
    </row>
    <row r="20" spans="1:16" x14ac:dyDescent="0.2">
      <c r="A20" s="195"/>
      <c r="B20" s="65" t="s">
        <v>45</v>
      </c>
      <c r="C20" s="38">
        <v>0</v>
      </c>
      <c r="D20" s="36">
        <v>0</v>
      </c>
      <c r="E20" s="36">
        <v>0</v>
      </c>
      <c r="F20" s="30">
        <v>0</v>
      </c>
      <c r="H20" s="29" t="s">
        <v>45</v>
      </c>
      <c r="I20" s="164">
        <v>87</v>
      </c>
      <c r="J20" s="267">
        <v>649.84</v>
      </c>
      <c r="K20" s="267">
        <v>116931.48000000001</v>
      </c>
      <c r="L20" s="165">
        <v>122778.89</v>
      </c>
      <c r="M20" s="80"/>
      <c r="N20" s="71"/>
      <c r="O20" s="68"/>
      <c r="P20" s="11"/>
    </row>
    <row r="21" spans="1:16" x14ac:dyDescent="0.2">
      <c r="A21" s="195"/>
      <c r="B21" s="29" t="s">
        <v>35</v>
      </c>
      <c r="C21" s="38">
        <v>0</v>
      </c>
      <c r="D21" s="36">
        <v>0</v>
      </c>
      <c r="E21" s="36">
        <v>0</v>
      </c>
      <c r="F21" s="30">
        <v>0</v>
      </c>
      <c r="H21" s="29" t="s">
        <v>35</v>
      </c>
      <c r="I21" s="164">
        <v>78</v>
      </c>
      <c r="J21" s="267">
        <v>584.67999999999995</v>
      </c>
      <c r="K21" s="267">
        <v>109804.79999999999</v>
      </c>
      <c r="L21" s="165">
        <v>115415.43</v>
      </c>
      <c r="M21" s="68"/>
      <c r="N21" s="42"/>
      <c r="O21" s="11"/>
    </row>
    <row r="22" spans="1:16" x14ac:dyDescent="0.2">
      <c r="A22" s="195"/>
      <c r="B22" s="29" t="s">
        <v>36</v>
      </c>
      <c r="C22" s="38">
        <v>0</v>
      </c>
      <c r="D22" s="36">
        <v>0</v>
      </c>
      <c r="E22" s="36">
        <v>0</v>
      </c>
      <c r="F22" s="30">
        <v>0</v>
      </c>
      <c r="H22" s="29" t="s">
        <v>36</v>
      </c>
      <c r="I22" s="164">
        <v>85</v>
      </c>
      <c r="J22" s="267">
        <v>637.45000000000005</v>
      </c>
      <c r="K22" s="267">
        <v>137100.24</v>
      </c>
      <c r="L22" s="165">
        <v>146791.25</v>
      </c>
      <c r="M22" s="81"/>
      <c r="N22" s="82"/>
      <c r="O22" s="11"/>
      <c r="P22" s="1"/>
    </row>
    <row r="23" spans="1:16" x14ac:dyDescent="0.2">
      <c r="A23" s="195"/>
      <c r="B23" s="29" t="s">
        <v>37</v>
      </c>
      <c r="C23" s="38">
        <v>0</v>
      </c>
      <c r="D23" s="36">
        <v>0</v>
      </c>
      <c r="E23" s="36">
        <v>0</v>
      </c>
      <c r="F23" s="30">
        <v>0</v>
      </c>
      <c r="H23" s="29" t="s">
        <v>37</v>
      </c>
      <c r="I23" s="164">
        <v>65</v>
      </c>
      <c r="J23" s="267">
        <v>500.15999999999997</v>
      </c>
      <c r="K23" s="267">
        <v>100520.67</v>
      </c>
      <c r="L23" s="165">
        <v>106928.54000000001</v>
      </c>
      <c r="M23" s="68"/>
      <c r="N23" s="11"/>
      <c r="O23" s="11"/>
    </row>
    <row r="24" spans="1:16" x14ac:dyDescent="0.2">
      <c r="A24" s="195"/>
      <c r="B24" s="31" t="s">
        <v>0</v>
      </c>
      <c r="C24" s="39">
        <f>SUM(C12:C23)</f>
        <v>46</v>
      </c>
      <c r="D24" s="37">
        <f>SUM(D12:D23)</f>
        <v>398.57</v>
      </c>
      <c r="E24" s="83">
        <f>SUM(E12:E23)</f>
        <v>72586.8</v>
      </c>
      <c r="F24" s="32">
        <f>SUM(F12:F23)</f>
        <v>76172.94</v>
      </c>
      <c r="H24" s="31" t="s">
        <v>0</v>
      </c>
      <c r="I24" s="39">
        <v>993</v>
      </c>
      <c r="J24" s="37">
        <v>7733.2500000000009</v>
      </c>
      <c r="K24" s="83">
        <v>1492492.69</v>
      </c>
      <c r="L24" s="32">
        <v>1574554.15</v>
      </c>
      <c r="M24" s="42"/>
      <c r="N24" s="84"/>
      <c r="O24" s="11"/>
    </row>
    <row r="25" spans="1:16" x14ac:dyDescent="0.2">
      <c r="A25" s="195"/>
      <c r="B25" s="196" t="s">
        <v>116</v>
      </c>
      <c r="C25" s="195"/>
      <c r="D25" s="195"/>
      <c r="E25" s="195"/>
      <c r="F25" s="195"/>
      <c r="I25" s="4"/>
      <c r="J25" s="1" t="s">
        <v>130</v>
      </c>
      <c r="L25" s="7"/>
      <c r="M25" s="42"/>
    </row>
    <row r="26" spans="1:16" x14ac:dyDescent="0.2">
      <c r="A26" s="195"/>
      <c r="B26" s="195"/>
      <c r="C26" s="195"/>
      <c r="D26" s="195"/>
      <c r="E26" s="195"/>
      <c r="F26" s="195"/>
      <c r="I26" s="4"/>
      <c r="N26" s="11"/>
    </row>
    <row r="27" spans="1:16" x14ac:dyDescent="0.2">
      <c r="A27" s="4"/>
      <c r="B27" s="88"/>
      <c r="C27" s="1"/>
      <c r="D27" s="1"/>
      <c r="E27" s="1"/>
      <c r="F27" s="1"/>
      <c r="G27" s="1"/>
    </row>
    <row r="28" spans="1:16" x14ac:dyDescent="0.2">
      <c r="B28" s="88"/>
    </row>
    <row r="29" spans="1:16" x14ac:dyDescent="0.2">
      <c r="B29" s="88"/>
      <c r="E29" s="14"/>
      <c r="N29" s="11"/>
    </row>
    <row r="30" spans="1:16" x14ac:dyDescent="0.2">
      <c r="B30" s="1"/>
      <c r="D30" s="3"/>
      <c r="E30" s="3"/>
    </row>
    <row r="31" spans="1:16" x14ac:dyDescent="0.2">
      <c r="B31" s="1"/>
      <c r="C31" s="7" t="s">
        <v>117</v>
      </c>
      <c r="D31" s="258"/>
      <c r="E31" s="259"/>
      <c r="F31" s="260"/>
      <c r="G31" s="260"/>
      <c r="H31" s="4"/>
      <c r="I31" s="7" t="s">
        <v>63</v>
      </c>
      <c r="J31" s="258"/>
      <c r="K31" s="259"/>
      <c r="L31" s="209"/>
    </row>
    <row r="32" spans="1:16" x14ac:dyDescent="0.2">
      <c r="A32" s="1"/>
      <c r="B32" s="34"/>
      <c r="C32" s="15"/>
      <c r="D32" s="8" t="s">
        <v>118</v>
      </c>
      <c r="E32" s="1"/>
      <c r="F32" s="5"/>
      <c r="G32" s="5"/>
      <c r="H32" s="4"/>
      <c r="I32" s="15"/>
      <c r="J32" s="8" t="s">
        <v>120</v>
      </c>
      <c r="K32" s="1"/>
      <c r="L32" s="198"/>
      <c r="M32" s="4"/>
    </row>
    <row r="33" spans="1:13" x14ac:dyDescent="0.2">
      <c r="A33" s="41"/>
      <c r="B33" s="41"/>
      <c r="C33" s="3"/>
      <c r="D33" s="261" t="s">
        <v>121</v>
      </c>
      <c r="E33" s="1"/>
      <c r="F33" s="2"/>
      <c r="G33" s="2"/>
      <c r="H33" s="1"/>
      <c r="I33" s="3"/>
      <c r="J33" s="261" t="s">
        <v>119</v>
      </c>
      <c r="K33" s="1"/>
      <c r="L33" s="198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8"/>
  <sheetViews>
    <sheetView workbookViewId="0">
      <selection activeCell="B1" sqref="B1:U1"/>
    </sheetView>
  </sheetViews>
  <sheetFormatPr baseColWidth="10" defaultRowHeight="12.75" x14ac:dyDescent="0.2"/>
  <cols>
    <col min="6" max="6" width="15.7109375" bestFit="1" customWidth="1"/>
  </cols>
  <sheetData>
    <row r="1" spans="1:21" ht="18" x14ac:dyDescent="0.2">
      <c r="A1" s="284"/>
      <c r="B1" s="385" t="s">
        <v>134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</row>
    <row r="2" spans="1:21" ht="48.75" x14ac:dyDescent="0.2">
      <c r="A2" s="285" t="s">
        <v>135</v>
      </c>
      <c r="B2" s="286" t="s">
        <v>136</v>
      </c>
      <c r="C2" s="286" t="s">
        <v>137</v>
      </c>
      <c r="D2" s="287" t="s">
        <v>50</v>
      </c>
      <c r="E2" s="286" t="s">
        <v>138</v>
      </c>
      <c r="F2" s="288" t="s">
        <v>139</v>
      </c>
      <c r="G2" s="289" t="s">
        <v>51</v>
      </c>
      <c r="H2" s="286" t="s">
        <v>140</v>
      </c>
      <c r="I2" s="290" t="s">
        <v>18</v>
      </c>
      <c r="J2" s="291" t="s">
        <v>141</v>
      </c>
      <c r="K2" s="292" t="s">
        <v>52</v>
      </c>
      <c r="L2" s="292" t="s">
        <v>53</v>
      </c>
      <c r="M2" s="292" t="s">
        <v>142</v>
      </c>
      <c r="N2" s="292" t="s">
        <v>54</v>
      </c>
      <c r="O2" s="292" t="s">
        <v>55</v>
      </c>
      <c r="P2" s="293" t="s">
        <v>143</v>
      </c>
      <c r="Q2" s="294" t="s">
        <v>106</v>
      </c>
      <c r="R2" s="295" t="s">
        <v>56</v>
      </c>
      <c r="S2" s="290" t="s">
        <v>17</v>
      </c>
      <c r="T2" s="296" t="s">
        <v>64</v>
      </c>
      <c r="U2" s="297"/>
    </row>
    <row r="3" spans="1:21" ht="45" x14ac:dyDescent="0.2">
      <c r="A3" s="298">
        <v>1</v>
      </c>
      <c r="B3" s="299">
        <v>1</v>
      </c>
      <c r="C3" s="300">
        <v>44564</v>
      </c>
      <c r="D3" s="301" t="s">
        <v>144</v>
      </c>
      <c r="E3" s="302" t="s">
        <v>145</v>
      </c>
      <c r="F3" s="303" t="s">
        <v>146</v>
      </c>
      <c r="G3" s="299">
        <v>79</v>
      </c>
      <c r="H3" s="299" t="s">
        <v>147</v>
      </c>
      <c r="I3" s="299" t="s">
        <v>22</v>
      </c>
      <c r="J3" s="304">
        <v>4</v>
      </c>
      <c r="K3" s="305">
        <v>3428.57</v>
      </c>
      <c r="L3" s="305">
        <v>0</v>
      </c>
      <c r="M3" s="305">
        <f>IF(Tabla1[[#This Row],[S.V.O.]]&gt;11428.57,1200,IF(Tabla1[[#This Row],[S.V.O.]]&lt;5714.29,0,Tabla1[[#This Row],[S.V.O.]]*0.1))</f>
        <v>0</v>
      </c>
      <c r="N3" s="305">
        <v>0</v>
      </c>
      <c r="O3" s="305">
        <v>0</v>
      </c>
      <c r="P3" s="305">
        <v>0</v>
      </c>
      <c r="Q3" s="306">
        <v>44522</v>
      </c>
      <c r="R3" s="307" t="s">
        <v>105</v>
      </c>
      <c r="S3" s="308" t="s">
        <v>23</v>
      </c>
      <c r="T3" s="308" t="s">
        <v>148</v>
      </c>
      <c r="U3" s="309"/>
    </row>
    <row r="4" spans="1:21" ht="54" x14ac:dyDescent="0.2">
      <c r="A4" s="310">
        <v>2</v>
      </c>
      <c r="B4" s="299">
        <v>2</v>
      </c>
      <c r="C4" s="300">
        <v>44564</v>
      </c>
      <c r="D4" s="301" t="s">
        <v>149</v>
      </c>
      <c r="E4" s="302" t="s">
        <v>150</v>
      </c>
      <c r="F4" s="303" t="s">
        <v>151</v>
      </c>
      <c r="G4" s="299">
        <v>58</v>
      </c>
      <c r="H4" s="299" t="s">
        <v>152</v>
      </c>
      <c r="I4" s="299" t="s">
        <v>20</v>
      </c>
      <c r="J4" s="304">
        <v>2</v>
      </c>
      <c r="K4" s="305">
        <v>3428.57</v>
      </c>
      <c r="L4" s="305">
        <v>30000</v>
      </c>
      <c r="M4" s="305">
        <f>IF(Tabla1[[#This Row],[S.V.O.]]&gt;11428.57,1200,IF(Tabla1[[#This Row],[S.V.O.]]&lt;5714.29,0,Tabla1[[#This Row],[S.V.O.]]*0.1))</f>
        <v>1200</v>
      </c>
      <c r="N4" s="305">
        <v>0</v>
      </c>
      <c r="O4" s="305">
        <v>1142.8599999999999</v>
      </c>
      <c r="P4" s="305">
        <v>0</v>
      </c>
      <c r="Q4" s="306">
        <v>44521</v>
      </c>
      <c r="R4" s="311" t="s">
        <v>153</v>
      </c>
      <c r="S4" s="308" t="s">
        <v>25</v>
      </c>
      <c r="T4" s="308" t="s">
        <v>25</v>
      </c>
      <c r="U4" s="309"/>
    </row>
    <row r="5" spans="1:21" ht="45.75" x14ac:dyDescent="0.2">
      <c r="A5" s="310">
        <v>3</v>
      </c>
      <c r="B5" s="299">
        <v>3</v>
      </c>
      <c r="C5" s="300">
        <v>44564</v>
      </c>
      <c r="D5" s="301" t="s">
        <v>154</v>
      </c>
      <c r="E5" s="302" t="s">
        <v>155</v>
      </c>
      <c r="F5" s="303" t="s">
        <v>156</v>
      </c>
      <c r="G5" s="299">
        <v>83</v>
      </c>
      <c r="H5" s="299" t="s">
        <v>147</v>
      </c>
      <c r="I5" s="299" t="s">
        <v>22</v>
      </c>
      <c r="J5" s="304">
        <v>4</v>
      </c>
      <c r="K5" s="305">
        <v>0</v>
      </c>
      <c r="L5" s="305">
        <v>3428.57</v>
      </c>
      <c r="M5" s="305">
        <f>IF(Tabla1[[#This Row],[S.V.O.]]&gt;11428.57,1200,IF(Tabla1[[#This Row],[S.V.O.]]&lt;5714.29,0,Tabla1[[#This Row],[S.V.O.]]*0.1))</f>
        <v>0</v>
      </c>
      <c r="N5" s="305">
        <v>0</v>
      </c>
      <c r="O5" s="305">
        <v>0</v>
      </c>
      <c r="P5" s="305">
        <v>0</v>
      </c>
      <c r="Q5" s="306">
        <v>44478</v>
      </c>
      <c r="R5" s="312" t="s">
        <v>157</v>
      </c>
      <c r="S5" s="308" t="s">
        <v>24</v>
      </c>
      <c r="T5" s="308" t="s">
        <v>24</v>
      </c>
      <c r="U5" s="309"/>
    </row>
    <row r="6" spans="1:21" ht="27.75" x14ac:dyDescent="0.2">
      <c r="A6" s="310">
        <v>4</v>
      </c>
      <c r="B6" s="299">
        <v>4</v>
      </c>
      <c r="C6" s="300">
        <v>44564</v>
      </c>
      <c r="D6" s="301" t="s">
        <v>158</v>
      </c>
      <c r="E6" s="302" t="s">
        <v>159</v>
      </c>
      <c r="F6" s="303" t="s">
        <v>160</v>
      </c>
      <c r="G6" s="299">
        <v>79</v>
      </c>
      <c r="H6" s="299" t="s">
        <v>152</v>
      </c>
      <c r="I6" s="299" t="s">
        <v>22</v>
      </c>
      <c r="J6" s="304">
        <v>3</v>
      </c>
      <c r="K6" s="305">
        <v>0</v>
      </c>
      <c r="L6" s="305">
        <v>3428.57</v>
      </c>
      <c r="M6" s="305">
        <f>IF(Tabla1[[#This Row],[S.V.O.]]&gt;11428.57,1200,IF(Tabla1[[#This Row],[S.V.O.]]&lt;5714.29,0,Tabla1[[#This Row],[S.V.O.]]*0.1))</f>
        <v>0</v>
      </c>
      <c r="N6" s="305">
        <v>0</v>
      </c>
      <c r="O6" s="305">
        <v>1142.8599999999999</v>
      </c>
      <c r="P6" s="305">
        <v>0</v>
      </c>
      <c r="Q6" s="306">
        <v>44529</v>
      </c>
      <c r="R6" s="312" t="s">
        <v>161</v>
      </c>
      <c r="S6" s="308" t="s">
        <v>25</v>
      </c>
      <c r="T6" s="308" t="s">
        <v>25</v>
      </c>
      <c r="U6" s="309"/>
    </row>
    <row r="7" spans="1:21" ht="99" x14ac:dyDescent="0.2">
      <c r="A7" s="310">
        <v>5</v>
      </c>
      <c r="B7" s="299">
        <v>5</v>
      </c>
      <c r="C7" s="300">
        <v>44564</v>
      </c>
      <c r="D7" s="301" t="s">
        <v>162</v>
      </c>
      <c r="E7" s="302" t="s">
        <v>163</v>
      </c>
      <c r="F7" s="303" t="s">
        <v>164</v>
      </c>
      <c r="G7" s="299">
        <v>54</v>
      </c>
      <c r="H7" s="299" t="s">
        <v>147</v>
      </c>
      <c r="I7" s="299" t="s">
        <v>20</v>
      </c>
      <c r="J7" s="304">
        <v>2</v>
      </c>
      <c r="K7" s="305">
        <v>3428.57</v>
      </c>
      <c r="L7" s="305">
        <v>0</v>
      </c>
      <c r="M7" s="305">
        <f>IF(Tabla1[[#This Row],[S.V.O.]]&gt;11428.57,1200,IF(Tabla1[[#This Row],[S.V.O.]]&lt;5714.29,0,Tabla1[[#This Row],[S.V.O.]]*0.1))</f>
        <v>0</v>
      </c>
      <c r="N7" s="305">
        <v>1714.57</v>
      </c>
      <c r="O7" s="305">
        <v>0</v>
      </c>
      <c r="P7" s="305">
        <v>0</v>
      </c>
      <c r="Q7" s="306">
        <v>44515</v>
      </c>
      <c r="R7" s="311" t="s">
        <v>165</v>
      </c>
      <c r="S7" s="308" t="s">
        <v>59</v>
      </c>
      <c r="T7" s="308" t="s">
        <v>59</v>
      </c>
      <c r="U7" s="309"/>
    </row>
    <row r="8" spans="1:21" ht="36" x14ac:dyDescent="0.2">
      <c r="A8" s="310">
        <v>6</v>
      </c>
      <c r="B8" s="299">
        <v>6</v>
      </c>
      <c r="C8" s="300">
        <v>44564</v>
      </c>
      <c r="D8" s="301" t="s">
        <v>166</v>
      </c>
      <c r="E8" s="302" t="s">
        <v>167</v>
      </c>
      <c r="F8" s="303" t="s">
        <v>168</v>
      </c>
      <c r="G8" s="299">
        <v>73</v>
      </c>
      <c r="H8" s="299" t="s">
        <v>152</v>
      </c>
      <c r="I8" s="299" t="s">
        <v>22</v>
      </c>
      <c r="J8" s="304">
        <v>2</v>
      </c>
      <c r="K8" s="305">
        <v>0</v>
      </c>
      <c r="L8" s="305">
        <v>3428.57</v>
      </c>
      <c r="M8" s="305">
        <f>IF(Tabla1[[#This Row],[S.V.O.]]&gt;11428.57,1200,IF(Tabla1[[#This Row],[S.V.O.]]&lt;5714.29,0,Tabla1[[#This Row],[S.V.O.]]*0.1))</f>
        <v>0</v>
      </c>
      <c r="N8" s="305">
        <v>0</v>
      </c>
      <c r="O8" s="305">
        <v>0</v>
      </c>
      <c r="P8" s="305">
        <v>0</v>
      </c>
      <c r="Q8" s="306">
        <v>44190</v>
      </c>
      <c r="R8" s="311" t="s">
        <v>169</v>
      </c>
      <c r="S8" s="308" t="s">
        <v>170</v>
      </c>
      <c r="T8" s="308" t="s">
        <v>59</v>
      </c>
      <c r="U8" s="309"/>
    </row>
    <row r="9" spans="1:21" ht="63" x14ac:dyDescent="0.2">
      <c r="A9" s="310">
        <v>7</v>
      </c>
      <c r="B9" s="299">
        <v>7</v>
      </c>
      <c r="C9" s="300">
        <v>44564</v>
      </c>
      <c r="D9" s="301" t="s">
        <v>171</v>
      </c>
      <c r="E9" s="302" t="s">
        <v>172</v>
      </c>
      <c r="F9" s="303" t="s">
        <v>173</v>
      </c>
      <c r="G9" s="299">
        <v>67</v>
      </c>
      <c r="H9" s="299" t="s">
        <v>152</v>
      </c>
      <c r="I9" s="299" t="s">
        <v>20</v>
      </c>
      <c r="J9" s="304">
        <v>1</v>
      </c>
      <c r="K9" s="305">
        <v>3428.57</v>
      </c>
      <c r="L9" s="305">
        <v>0</v>
      </c>
      <c r="M9" s="305">
        <f>IF(Tabla1[[#This Row],[S.V.O.]]&gt;11428.57,1200,IF(Tabla1[[#This Row],[S.V.O.]]&lt;5714.29,0,Tabla1[[#This Row],[S.V.O.]]*0.1))</f>
        <v>0</v>
      </c>
      <c r="N9" s="305">
        <v>0</v>
      </c>
      <c r="O9" s="305">
        <v>0</v>
      </c>
      <c r="P9" s="305">
        <v>0</v>
      </c>
      <c r="Q9" s="306">
        <v>44518</v>
      </c>
      <c r="R9" s="311" t="s">
        <v>174</v>
      </c>
      <c r="S9" s="308" t="s">
        <v>59</v>
      </c>
      <c r="T9" s="308" t="s">
        <v>59</v>
      </c>
      <c r="U9" s="309"/>
    </row>
    <row r="10" spans="1:21" ht="117" x14ac:dyDescent="0.2">
      <c r="A10" s="310">
        <v>8</v>
      </c>
      <c r="B10" s="299">
        <v>8</v>
      </c>
      <c r="C10" s="313">
        <v>44565</v>
      </c>
      <c r="D10" s="314" t="s">
        <v>175</v>
      </c>
      <c r="E10" s="302" t="s">
        <v>176</v>
      </c>
      <c r="F10" s="303" t="s">
        <v>177</v>
      </c>
      <c r="G10" s="299">
        <v>75</v>
      </c>
      <c r="H10" s="299" t="s">
        <v>147</v>
      </c>
      <c r="I10" s="299" t="s">
        <v>22</v>
      </c>
      <c r="J10" s="304">
        <v>3</v>
      </c>
      <c r="K10" s="305">
        <v>0</v>
      </c>
      <c r="L10" s="305">
        <v>3428.57</v>
      </c>
      <c r="M10" s="305">
        <f>IF(Tabla1[[#This Row],[S.V.O.]]&gt;11428.57,1200,IF(Tabla1[[#This Row],[S.V.O.]]&lt;5714.29,0,Tabla1[[#This Row],[S.V.O.]]*0.1))</f>
        <v>0</v>
      </c>
      <c r="N10" s="305">
        <v>0</v>
      </c>
      <c r="O10" s="305">
        <v>0</v>
      </c>
      <c r="P10" s="305">
        <v>0</v>
      </c>
      <c r="Q10" s="306">
        <v>44518</v>
      </c>
      <c r="R10" s="311" t="s">
        <v>178</v>
      </c>
      <c r="S10" s="308" t="s">
        <v>57</v>
      </c>
      <c r="T10" s="308" t="s">
        <v>57</v>
      </c>
      <c r="U10" s="309"/>
    </row>
    <row r="11" spans="1:21" ht="45" x14ac:dyDescent="0.2">
      <c r="A11" s="310">
        <v>9</v>
      </c>
      <c r="B11" s="299">
        <v>9</v>
      </c>
      <c r="C11" s="300">
        <v>44565</v>
      </c>
      <c r="D11" s="301" t="s">
        <v>179</v>
      </c>
      <c r="E11" s="302" t="s">
        <v>180</v>
      </c>
      <c r="F11" s="303" t="s">
        <v>181</v>
      </c>
      <c r="G11" s="299">
        <v>81</v>
      </c>
      <c r="H11" s="299" t="s">
        <v>147</v>
      </c>
      <c r="I11" s="299" t="s">
        <v>22</v>
      </c>
      <c r="J11" s="304">
        <v>5</v>
      </c>
      <c r="K11" s="305">
        <v>0</v>
      </c>
      <c r="L11" s="305">
        <v>3428.57</v>
      </c>
      <c r="M11" s="305">
        <f>IF(Tabla1[[#This Row],[S.V.O.]]&gt;11428.57,1200,IF(Tabla1[[#This Row],[S.V.O.]]&lt;5714.29,0,Tabla1[[#This Row],[S.V.O.]]*0.1))</f>
        <v>0</v>
      </c>
      <c r="N11" s="305">
        <v>0</v>
      </c>
      <c r="O11" s="305">
        <v>0</v>
      </c>
      <c r="P11" s="305">
        <v>0</v>
      </c>
      <c r="Q11" s="306">
        <v>44488</v>
      </c>
      <c r="R11" s="311" t="s">
        <v>182</v>
      </c>
      <c r="S11" s="308" t="s">
        <v>57</v>
      </c>
      <c r="T11" s="308" t="s">
        <v>57</v>
      </c>
      <c r="U11" s="309"/>
    </row>
    <row r="12" spans="1:21" ht="90" x14ac:dyDescent="0.2">
      <c r="A12" s="310">
        <v>10</v>
      </c>
      <c r="B12" s="299">
        <v>10</v>
      </c>
      <c r="C12" s="300">
        <v>44566</v>
      </c>
      <c r="D12" s="301" t="s">
        <v>183</v>
      </c>
      <c r="E12" s="302" t="s">
        <v>184</v>
      </c>
      <c r="F12" s="303" t="s">
        <v>185</v>
      </c>
      <c r="G12" s="299">
        <v>60</v>
      </c>
      <c r="H12" s="299" t="s">
        <v>152</v>
      </c>
      <c r="I12" s="299" t="s">
        <v>20</v>
      </c>
      <c r="J12" s="304">
        <v>2</v>
      </c>
      <c r="K12" s="305">
        <v>3428.57</v>
      </c>
      <c r="L12" s="305">
        <v>0</v>
      </c>
      <c r="M12" s="305">
        <f>IF(Tabla1[[#This Row],[S.V.O.]]&gt;11428.57,1200,IF(Tabla1[[#This Row],[S.V.O.]]&lt;5714.29,0,Tabla1[[#This Row],[S.V.O.]]*0.1))</f>
        <v>0</v>
      </c>
      <c r="N12" s="305">
        <v>2285.71</v>
      </c>
      <c r="O12" s="305">
        <v>0</v>
      </c>
      <c r="P12" s="305">
        <v>0</v>
      </c>
      <c r="Q12" s="306">
        <v>44535</v>
      </c>
      <c r="R12" s="311" t="s">
        <v>186</v>
      </c>
      <c r="S12" s="315" t="s">
        <v>187</v>
      </c>
      <c r="T12" s="308" t="s">
        <v>57</v>
      </c>
      <c r="U12" s="309"/>
    </row>
    <row r="13" spans="1:21" ht="36" x14ac:dyDescent="0.2">
      <c r="A13" s="310">
        <v>11</v>
      </c>
      <c r="B13" s="299">
        <v>11</v>
      </c>
      <c r="C13" s="300">
        <v>44566</v>
      </c>
      <c r="D13" s="301" t="s">
        <v>188</v>
      </c>
      <c r="E13" s="302" t="s">
        <v>189</v>
      </c>
      <c r="F13" s="303" t="s">
        <v>190</v>
      </c>
      <c r="G13" s="299">
        <v>60</v>
      </c>
      <c r="H13" s="299" t="s">
        <v>147</v>
      </c>
      <c r="I13" s="299" t="s">
        <v>20</v>
      </c>
      <c r="J13" s="304">
        <v>4</v>
      </c>
      <c r="K13" s="305">
        <v>3428.57</v>
      </c>
      <c r="L13" s="305">
        <v>30000</v>
      </c>
      <c r="M13" s="305">
        <v>1200</v>
      </c>
      <c r="N13" s="305">
        <v>0</v>
      </c>
      <c r="O13" s="305">
        <v>1142.8599999999999</v>
      </c>
      <c r="P13" s="305">
        <v>0</v>
      </c>
      <c r="Q13" s="306">
        <v>44478</v>
      </c>
      <c r="R13" s="311" t="s">
        <v>191</v>
      </c>
      <c r="S13" s="308" t="s">
        <v>57</v>
      </c>
      <c r="T13" s="316" t="s">
        <v>58</v>
      </c>
      <c r="U13" s="309"/>
    </row>
    <row r="14" spans="1:21" ht="36" x14ac:dyDescent="0.2">
      <c r="A14" s="310">
        <v>12</v>
      </c>
      <c r="B14" s="299">
        <v>12</v>
      </c>
      <c r="C14" s="300">
        <v>44567</v>
      </c>
      <c r="D14" s="301" t="s">
        <v>192</v>
      </c>
      <c r="E14" s="302" t="s">
        <v>193</v>
      </c>
      <c r="F14" s="303" t="s">
        <v>194</v>
      </c>
      <c r="G14" s="299">
        <v>35</v>
      </c>
      <c r="H14" s="299" t="s">
        <v>147</v>
      </c>
      <c r="I14" s="299" t="s">
        <v>21</v>
      </c>
      <c r="J14" s="304">
        <v>1</v>
      </c>
      <c r="K14" s="305">
        <v>3428.57</v>
      </c>
      <c r="L14" s="305"/>
      <c r="M14" s="305">
        <v>0</v>
      </c>
      <c r="N14" s="305">
        <v>0</v>
      </c>
      <c r="O14" s="305">
        <v>0</v>
      </c>
      <c r="P14" s="305">
        <v>0</v>
      </c>
      <c r="Q14" s="306">
        <v>44533</v>
      </c>
      <c r="R14" s="311" t="s">
        <v>195</v>
      </c>
      <c r="S14" s="308" t="s">
        <v>57</v>
      </c>
      <c r="T14" s="316" t="s">
        <v>58</v>
      </c>
      <c r="U14" s="309"/>
    </row>
    <row r="15" spans="1:21" ht="48" x14ac:dyDescent="0.2">
      <c r="A15" s="310">
        <v>13</v>
      </c>
      <c r="B15" s="299">
        <v>13</v>
      </c>
      <c r="C15" s="300">
        <v>44571</v>
      </c>
      <c r="D15" s="301" t="s">
        <v>196</v>
      </c>
      <c r="E15" s="302" t="s">
        <v>197</v>
      </c>
      <c r="F15" s="303" t="s">
        <v>198</v>
      </c>
      <c r="G15" s="299">
        <v>53</v>
      </c>
      <c r="H15" s="299" t="s">
        <v>152</v>
      </c>
      <c r="I15" s="299" t="s">
        <v>20</v>
      </c>
      <c r="J15" s="304">
        <v>5</v>
      </c>
      <c r="K15" s="305">
        <v>3428.57</v>
      </c>
      <c r="L15" s="305">
        <v>3428.57</v>
      </c>
      <c r="M15" s="305">
        <f>IF(Tabla1[[#This Row],[S.V.O.]]&gt;11428.57,1200,IF(Tabla1[[#This Row],[S.V.O.]]&lt;5714.29,0,Tabla1[[#This Row],[S.V.O.]]*0.1))</f>
        <v>0</v>
      </c>
      <c r="N15" s="305">
        <v>0</v>
      </c>
      <c r="O15" s="305">
        <v>1142.8599999999999</v>
      </c>
      <c r="P15" s="305">
        <v>0</v>
      </c>
      <c r="Q15" s="306">
        <v>44552</v>
      </c>
      <c r="R15" s="311" t="s">
        <v>199</v>
      </c>
      <c r="S15" s="308" t="s">
        <v>57</v>
      </c>
      <c r="T15" s="308" t="s">
        <v>59</v>
      </c>
      <c r="U15" s="309"/>
    </row>
    <row r="16" spans="1:21" ht="63" x14ac:dyDescent="0.2">
      <c r="A16" s="317">
        <v>14</v>
      </c>
      <c r="B16" s="318">
        <v>14</v>
      </c>
      <c r="C16" s="319">
        <v>44574</v>
      </c>
      <c r="D16" s="320" t="s">
        <v>200</v>
      </c>
      <c r="E16" s="321" t="s">
        <v>201</v>
      </c>
      <c r="F16" s="322" t="s">
        <v>202</v>
      </c>
      <c r="G16" s="318">
        <v>58</v>
      </c>
      <c r="H16" s="318" t="s">
        <v>152</v>
      </c>
      <c r="I16" s="318" t="s">
        <v>21</v>
      </c>
      <c r="J16" s="323">
        <v>3</v>
      </c>
      <c r="K16" s="324">
        <v>3428.57</v>
      </c>
      <c r="L16" s="324">
        <v>0</v>
      </c>
      <c r="M16" s="305">
        <f>IF(Tabla1[[#This Row],[S.V.O.]]&gt;11428.57,1200,IF(Tabla1[[#This Row],[S.V.O.]]&lt;5714.29,0,Tabla1[[#This Row],[S.V.O.]]*0.1))</f>
        <v>0</v>
      </c>
      <c r="N16" s="324">
        <v>1142.8599999999999</v>
      </c>
      <c r="O16" s="305">
        <v>1142.8599999999999</v>
      </c>
      <c r="P16" s="324">
        <v>0</v>
      </c>
      <c r="Q16" s="325">
        <v>44466</v>
      </c>
      <c r="R16" s="326" t="s">
        <v>203</v>
      </c>
      <c r="S16" s="308" t="s">
        <v>57</v>
      </c>
      <c r="T16" s="308" t="s">
        <v>57</v>
      </c>
      <c r="U16" s="309"/>
    </row>
    <row r="17" spans="1:21" ht="45" x14ac:dyDescent="0.2">
      <c r="A17" s="317">
        <v>15</v>
      </c>
      <c r="B17" s="318">
        <v>15</v>
      </c>
      <c r="C17" s="319">
        <v>44575</v>
      </c>
      <c r="D17" s="301" t="s">
        <v>204</v>
      </c>
      <c r="E17" s="321" t="s">
        <v>205</v>
      </c>
      <c r="F17" s="322" t="s">
        <v>206</v>
      </c>
      <c r="G17" s="318">
        <v>80</v>
      </c>
      <c r="H17" s="318" t="s">
        <v>152</v>
      </c>
      <c r="I17" s="318" t="s">
        <v>22</v>
      </c>
      <c r="J17" s="323">
        <v>1</v>
      </c>
      <c r="K17" s="305">
        <v>3428.57</v>
      </c>
      <c r="L17" s="305">
        <v>0</v>
      </c>
      <c r="M17" s="305">
        <f>IF(Tabla1[[#This Row],[S.V.O.]]&gt;11428.57,1200,IF(Tabla1[[#This Row],[S.V.O.]]&lt;5714.29,0,Tabla1[[#This Row],[S.V.O.]]*0.1))</f>
        <v>0</v>
      </c>
      <c r="N17" s="305">
        <v>0</v>
      </c>
      <c r="O17" s="305">
        <v>0</v>
      </c>
      <c r="P17" s="305">
        <v>0</v>
      </c>
      <c r="Q17" s="325">
        <v>44557</v>
      </c>
      <c r="R17" s="326" t="s">
        <v>207</v>
      </c>
      <c r="S17" s="308" t="s">
        <v>57</v>
      </c>
      <c r="T17" s="308" t="s">
        <v>57</v>
      </c>
      <c r="U17" s="327"/>
    </row>
    <row r="18" spans="1:21" ht="24" x14ac:dyDescent="0.2">
      <c r="A18" s="317">
        <v>16</v>
      </c>
      <c r="B18" s="318">
        <v>16</v>
      </c>
      <c r="C18" s="319">
        <v>44575</v>
      </c>
      <c r="D18" s="301" t="s">
        <v>208</v>
      </c>
      <c r="E18" s="321" t="s">
        <v>209</v>
      </c>
      <c r="F18" s="322" t="s">
        <v>210</v>
      </c>
      <c r="G18" s="318">
        <v>56</v>
      </c>
      <c r="H18" s="318" t="s">
        <v>147</v>
      </c>
      <c r="I18" s="318" t="s">
        <v>20</v>
      </c>
      <c r="J18" s="323">
        <v>4</v>
      </c>
      <c r="K18" s="305">
        <v>3428.57</v>
      </c>
      <c r="L18" s="324">
        <v>11428.57</v>
      </c>
      <c r="M18" s="305">
        <f>IF(Tabla1[[#This Row],[S.V.O.]]&gt;11428.57,1200,IF(Tabla1[[#This Row],[S.V.O.]]&lt;5714.29,0,Tabla1[[#This Row],[S.V.O.]]*0.1))</f>
        <v>1142.857</v>
      </c>
      <c r="N18" s="305">
        <v>0</v>
      </c>
      <c r="O18" s="305">
        <v>1142.8599999999999</v>
      </c>
      <c r="P18" s="305">
        <v>0</v>
      </c>
      <c r="Q18" s="325">
        <v>44368</v>
      </c>
      <c r="R18" s="326" t="s">
        <v>211</v>
      </c>
      <c r="S18" s="328" t="s">
        <v>59</v>
      </c>
      <c r="T18" s="308" t="s">
        <v>19</v>
      </c>
      <c r="U18" s="327"/>
    </row>
    <row r="19" spans="1:21" ht="36" x14ac:dyDescent="0.2">
      <c r="A19" s="317">
        <v>17</v>
      </c>
      <c r="B19" s="318">
        <v>17</v>
      </c>
      <c r="C19" s="319">
        <v>44575</v>
      </c>
      <c r="D19" s="301" t="s">
        <v>212</v>
      </c>
      <c r="E19" s="321" t="s">
        <v>213</v>
      </c>
      <c r="F19" s="322" t="s">
        <v>214</v>
      </c>
      <c r="G19" s="318">
        <v>57</v>
      </c>
      <c r="H19" s="318" t="s">
        <v>152</v>
      </c>
      <c r="I19" s="318" t="s">
        <v>20</v>
      </c>
      <c r="J19" s="323">
        <v>4</v>
      </c>
      <c r="K19" s="305">
        <v>3428.57</v>
      </c>
      <c r="L19" s="324">
        <v>5714.29</v>
      </c>
      <c r="M19" s="305">
        <f>IF(Tabla1[[#This Row],[S.V.O.]]&gt;11428.57,1200,IF(Tabla1[[#This Row],[S.V.O.]]&lt;5714.29,0,Tabla1[[#This Row],[S.V.O.]]*0.1))</f>
        <v>571.42899999999997</v>
      </c>
      <c r="N19" s="305">
        <v>0</v>
      </c>
      <c r="O19" s="305">
        <v>1142.8599999999999</v>
      </c>
      <c r="P19" s="305">
        <v>0</v>
      </c>
      <c r="Q19" s="325">
        <v>44394</v>
      </c>
      <c r="R19" s="326" t="s">
        <v>26</v>
      </c>
      <c r="S19" s="308" t="s">
        <v>57</v>
      </c>
      <c r="T19" s="308" t="s">
        <v>57</v>
      </c>
      <c r="U19" s="327"/>
    </row>
    <row r="20" spans="1:21" ht="48" x14ac:dyDescent="0.2">
      <c r="A20" s="317">
        <v>18</v>
      </c>
      <c r="B20" s="318">
        <v>18</v>
      </c>
      <c r="C20" s="319">
        <v>44575</v>
      </c>
      <c r="D20" s="301" t="s">
        <v>215</v>
      </c>
      <c r="E20" s="321" t="s">
        <v>216</v>
      </c>
      <c r="F20" s="322" t="s">
        <v>217</v>
      </c>
      <c r="G20" s="318">
        <v>57</v>
      </c>
      <c r="H20" s="318" t="s">
        <v>152</v>
      </c>
      <c r="I20" s="318" t="s">
        <v>20</v>
      </c>
      <c r="J20" s="323">
        <v>4</v>
      </c>
      <c r="K20" s="305">
        <v>3428.57</v>
      </c>
      <c r="L20" s="324">
        <v>8000</v>
      </c>
      <c r="M20" s="305">
        <f>IF(Tabla1[[#This Row],[S.V.O.]]&gt;11428.57,1200,IF(Tabla1[[#This Row],[S.V.O.]]&lt;5714.29,0,Tabla1[[#This Row],[S.V.O.]]*0.1))</f>
        <v>800</v>
      </c>
      <c r="N20" s="305">
        <v>0</v>
      </c>
      <c r="O20" s="305">
        <v>1142.8599999999999</v>
      </c>
      <c r="P20" s="305">
        <v>0</v>
      </c>
      <c r="Q20" s="325">
        <v>44456</v>
      </c>
      <c r="R20" s="326" t="s">
        <v>218</v>
      </c>
      <c r="S20" s="308"/>
      <c r="T20" s="308"/>
      <c r="U20" s="329" t="s">
        <v>219</v>
      </c>
    </row>
    <row r="21" spans="1:21" ht="36" x14ac:dyDescent="0.2">
      <c r="A21" s="317">
        <v>19</v>
      </c>
      <c r="B21" s="318">
        <v>19</v>
      </c>
      <c r="C21" s="300">
        <v>44575</v>
      </c>
      <c r="D21" s="301" t="s">
        <v>220</v>
      </c>
      <c r="E21" s="302" t="s">
        <v>221</v>
      </c>
      <c r="F21" s="303" t="s">
        <v>222</v>
      </c>
      <c r="G21" s="299">
        <v>93</v>
      </c>
      <c r="H21" s="299" t="s">
        <v>152</v>
      </c>
      <c r="I21" s="299" t="s">
        <v>22</v>
      </c>
      <c r="J21" s="304">
        <v>3</v>
      </c>
      <c r="K21" s="330">
        <v>0</v>
      </c>
      <c r="L21" s="330">
        <v>1142.8599999999999</v>
      </c>
      <c r="M21" s="330">
        <v>0</v>
      </c>
      <c r="N21" s="330">
        <v>0</v>
      </c>
      <c r="O21" s="330">
        <v>0</v>
      </c>
      <c r="P21" s="330">
        <v>0</v>
      </c>
      <c r="Q21" s="306">
        <v>44545</v>
      </c>
      <c r="R21" s="311" t="s">
        <v>223</v>
      </c>
      <c r="S21" s="308" t="s">
        <v>57</v>
      </c>
      <c r="T21" s="308" t="s">
        <v>57</v>
      </c>
      <c r="U21" s="327"/>
    </row>
    <row r="22" spans="1:21" ht="36" x14ac:dyDescent="0.2">
      <c r="A22" s="317">
        <v>20</v>
      </c>
      <c r="B22" s="318">
        <v>20</v>
      </c>
      <c r="C22" s="319">
        <v>44575</v>
      </c>
      <c r="D22" s="320" t="s">
        <v>224</v>
      </c>
      <c r="E22" s="331" t="s">
        <v>225</v>
      </c>
      <c r="F22" s="332" t="s">
        <v>226</v>
      </c>
      <c r="G22" s="333">
        <v>79</v>
      </c>
      <c r="H22" s="333" t="s">
        <v>147</v>
      </c>
      <c r="I22" s="333" t="s">
        <v>22</v>
      </c>
      <c r="J22" s="334">
        <v>2</v>
      </c>
      <c r="K22" s="335">
        <v>0</v>
      </c>
      <c r="L22" s="335">
        <v>3428.57</v>
      </c>
      <c r="M22" s="335">
        <v>0</v>
      </c>
      <c r="N22" s="335">
        <v>0</v>
      </c>
      <c r="O22" s="273">
        <v>1142.8599999999999</v>
      </c>
      <c r="P22" s="335">
        <v>0</v>
      </c>
      <c r="Q22" s="325">
        <v>44564</v>
      </c>
      <c r="R22" s="326" t="s">
        <v>227</v>
      </c>
      <c r="S22" s="308" t="s">
        <v>57</v>
      </c>
      <c r="T22" s="308" t="s">
        <v>57</v>
      </c>
      <c r="U22" s="327"/>
    </row>
    <row r="23" spans="1:21" ht="36" x14ac:dyDescent="0.2">
      <c r="A23" s="317">
        <v>21</v>
      </c>
      <c r="B23" s="318">
        <v>21</v>
      </c>
      <c r="C23" s="319">
        <v>44575</v>
      </c>
      <c r="D23" s="301" t="s">
        <v>228</v>
      </c>
      <c r="E23" s="321" t="s">
        <v>229</v>
      </c>
      <c r="F23" s="322" t="s">
        <v>230</v>
      </c>
      <c r="G23" s="318">
        <v>37</v>
      </c>
      <c r="H23" s="318" t="s">
        <v>147</v>
      </c>
      <c r="I23" s="318" t="s">
        <v>20</v>
      </c>
      <c r="J23" s="323">
        <v>1</v>
      </c>
      <c r="K23" s="305">
        <v>3428.57</v>
      </c>
      <c r="L23" s="305">
        <v>0</v>
      </c>
      <c r="M23" s="305">
        <f>IF(Tabla1[[#This Row],[S.V.O.]]&gt;11428.57,1200,IF(Tabla1[[#This Row],[S.V.O.]]&lt;5714.29,0,Tabla1[[#This Row],[S.V.O.]]*0.1))</f>
        <v>0</v>
      </c>
      <c r="N23" s="305">
        <v>0</v>
      </c>
      <c r="O23" s="305">
        <v>0</v>
      </c>
      <c r="P23" s="305">
        <v>0</v>
      </c>
      <c r="Q23" s="325">
        <v>43893</v>
      </c>
      <c r="R23" s="326" t="s">
        <v>105</v>
      </c>
      <c r="S23" s="328" t="s">
        <v>59</v>
      </c>
      <c r="T23" s="328" t="s">
        <v>59</v>
      </c>
      <c r="U23" s="327"/>
    </row>
    <row r="24" spans="1:21" ht="126" x14ac:dyDescent="0.2">
      <c r="A24" s="317">
        <v>22</v>
      </c>
      <c r="B24" s="318">
        <v>22</v>
      </c>
      <c r="C24" s="319">
        <v>44575</v>
      </c>
      <c r="D24" s="301" t="s">
        <v>231</v>
      </c>
      <c r="E24" s="321" t="s">
        <v>232</v>
      </c>
      <c r="F24" s="322" t="s">
        <v>233</v>
      </c>
      <c r="G24" s="318">
        <v>78</v>
      </c>
      <c r="H24" s="318" t="s">
        <v>147</v>
      </c>
      <c r="I24" s="318" t="s">
        <v>20</v>
      </c>
      <c r="J24" s="323">
        <v>1</v>
      </c>
      <c r="K24" s="305">
        <v>3428.57</v>
      </c>
      <c r="L24" s="305">
        <v>0</v>
      </c>
      <c r="M24" s="305">
        <f>IF(Tabla1[[#This Row],[S.V.O.]]&gt;11428.57,1200,IF(Tabla1[[#This Row],[S.V.O.]]&lt;5714.29,0,Tabla1[[#This Row],[S.V.O.]]*0.1))</f>
        <v>0</v>
      </c>
      <c r="N24" s="305">
        <v>0</v>
      </c>
      <c r="O24" s="305">
        <v>0</v>
      </c>
      <c r="P24" s="305">
        <v>0</v>
      </c>
      <c r="Q24" s="325">
        <v>44516</v>
      </c>
      <c r="R24" s="326" t="s">
        <v>234</v>
      </c>
      <c r="S24" s="308" t="s">
        <v>57</v>
      </c>
      <c r="T24" s="308" t="s">
        <v>59</v>
      </c>
      <c r="U24" s="327"/>
    </row>
    <row r="25" spans="1:21" ht="24" x14ac:dyDescent="0.2">
      <c r="A25" s="317">
        <v>23</v>
      </c>
      <c r="B25" s="318">
        <v>23</v>
      </c>
      <c r="C25" s="319">
        <v>44575</v>
      </c>
      <c r="D25" s="301" t="s">
        <v>235</v>
      </c>
      <c r="E25" s="321" t="s">
        <v>236</v>
      </c>
      <c r="F25" s="322" t="s">
        <v>237</v>
      </c>
      <c r="G25" s="318">
        <v>90</v>
      </c>
      <c r="H25" s="318" t="s">
        <v>152</v>
      </c>
      <c r="I25" s="318" t="s">
        <v>22</v>
      </c>
      <c r="J25" s="323">
        <v>4</v>
      </c>
      <c r="K25" s="305">
        <v>0</v>
      </c>
      <c r="L25" s="324">
        <v>1142.8599999999999</v>
      </c>
      <c r="M25" s="305">
        <f>IF(Tabla1[[#This Row],[S.V.O.]]&gt;11428.57,1200,IF(Tabla1[[#This Row],[S.V.O.]]&lt;5714.29,0,Tabla1[[#This Row],[S.V.O.]]*0.1))</f>
        <v>0</v>
      </c>
      <c r="N25" s="305">
        <v>0</v>
      </c>
      <c r="O25" s="305">
        <v>0</v>
      </c>
      <c r="P25" s="305">
        <v>0</v>
      </c>
      <c r="Q25" s="325">
        <v>44059</v>
      </c>
      <c r="R25" s="326" t="s">
        <v>238</v>
      </c>
      <c r="S25" s="308" t="s">
        <v>59</v>
      </c>
      <c r="T25" s="308" t="s">
        <v>59</v>
      </c>
      <c r="U25" s="327"/>
    </row>
    <row r="26" spans="1:21" ht="36" x14ac:dyDescent="0.2">
      <c r="A26" s="317">
        <v>24</v>
      </c>
      <c r="B26" s="318">
        <v>24</v>
      </c>
      <c r="C26" s="319">
        <v>44575</v>
      </c>
      <c r="D26" s="301" t="s">
        <v>239</v>
      </c>
      <c r="E26" s="321" t="s">
        <v>240</v>
      </c>
      <c r="F26" s="322" t="s">
        <v>241</v>
      </c>
      <c r="G26" s="318">
        <v>51</v>
      </c>
      <c r="H26" s="318" t="s">
        <v>147</v>
      </c>
      <c r="I26" s="318" t="s">
        <v>20</v>
      </c>
      <c r="J26" s="323">
        <v>5</v>
      </c>
      <c r="K26" s="305">
        <v>3428.57</v>
      </c>
      <c r="L26" s="305">
        <v>0</v>
      </c>
      <c r="M26" s="305">
        <f>IF(Tabla1[[#This Row],[S.V.O.]]&gt;11428.57,1200,IF(Tabla1[[#This Row],[S.V.O.]]&lt;5714.29,0,Tabla1[[#This Row],[S.V.O.]]*0.1))</f>
        <v>0</v>
      </c>
      <c r="N26" s="305">
        <v>0</v>
      </c>
      <c r="O26" s="305">
        <v>0</v>
      </c>
      <c r="P26" s="305">
        <v>0</v>
      </c>
      <c r="Q26" s="325">
        <v>44452</v>
      </c>
      <c r="R26" s="326" t="s">
        <v>242</v>
      </c>
      <c r="S26" s="308" t="s">
        <v>24</v>
      </c>
      <c r="T26" s="308" t="s">
        <v>24</v>
      </c>
      <c r="U26" s="327"/>
    </row>
    <row r="27" spans="1:21" ht="36" x14ac:dyDescent="0.2">
      <c r="A27" s="317">
        <v>25</v>
      </c>
      <c r="B27" s="318">
        <v>25</v>
      </c>
      <c r="C27" s="319">
        <v>44578</v>
      </c>
      <c r="D27" s="320" t="s">
        <v>243</v>
      </c>
      <c r="E27" s="331" t="s">
        <v>244</v>
      </c>
      <c r="F27" s="332" t="s">
        <v>245</v>
      </c>
      <c r="G27" s="333">
        <v>52</v>
      </c>
      <c r="H27" s="333" t="s">
        <v>147</v>
      </c>
      <c r="I27" s="333" t="s">
        <v>20</v>
      </c>
      <c r="J27" s="334">
        <v>1</v>
      </c>
      <c r="K27" s="335">
        <v>3428.57</v>
      </c>
      <c r="L27" s="335">
        <v>0</v>
      </c>
      <c r="M27" s="305">
        <f>IF(Tabla1[[#This Row],[S.V.O.]]&gt;11428.57,1200,IF(Tabla1[[#This Row],[S.V.O.]]&lt;5714.29,0,Tabla1[[#This Row],[S.V.O.]]*0.1))</f>
        <v>0</v>
      </c>
      <c r="N27" s="335">
        <v>0</v>
      </c>
      <c r="O27" s="305">
        <v>0</v>
      </c>
      <c r="P27" s="335">
        <v>0</v>
      </c>
      <c r="Q27" s="325">
        <v>43083</v>
      </c>
      <c r="R27" s="326" t="s">
        <v>246</v>
      </c>
      <c r="S27" s="308" t="s">
        <v>57</v>
      </c>
      <c r="T27" s="308" t="s">
        <v>57</v>
      </c>
      <c r="U27" s="327"/>
    </row>
    <row r="28" spans="1:21" ht="24" x14ac:dyDescent="0.2">
      <c r="A28" s="317">
        <v>26</v>
      </c>
      <c r="B28" s="318">
        <v>26</v>
      </c>
      <c r="C28" s="336">
        <v>44579</v>
      </c>
      <c r="D28" s="337" t="s">
        <v>247</v>
      </c>
      <c r="E28" s="338" t="s">
        <v>248</v>
      </c>
      <c r="F28" s="339" t="s">
        <v>249</v>
      </c>
      <c r="G28" s="340">
        <v>79</v>
      </c>
      <c r="H28" s="340" t="s">
        <v>147</v>
      </c>
      <c r="I28" s="340" t="s">
        <v>22</v>
      </c>
      <c r="J28" s="341">
        <v>1</v>
      </c>
      <c r="K28" s="342">
        <v>0</v>
      </c>
      <c r="L28" s="342">
        <v>3428.57</v>
      </c>
      <c r="M28" s="305">
        <f>IF(Tabla1[[#This Row],[S.V.O.]]&gt;11428.57,1200,IF(Tabla1[[#This Row],[S.V.O.]]&lt;5714.29,0,Tabla1[[#This Row],[S.V.O.]]*0.1))</f>
        <v>0</v>
      </c>
      <c r="N28" s="342">
        <v>0</v>
      </c>
      <c r="O28" s="273">
        <v>1142.8599999999999</v>
      </c>
      <c r="P28" s="342">
        <v>0</v>
      </c>
      <c r="Q28" s="343">
        <v>44526</v>
      </c>
      <c r="R28" s="344" t="s">
        <v>111</v>
      </c>
      <c r="S28" s="308" t="s">
        <v>57</v>
      </c>
      <c r="T28" s="308" t="s">
        <v>57</v>
      </c>
      <c r="U28" s="327"/>
    </row>
    <row r="29" spans="1:21" ht="81" x14ac:dyDescent="0.2">
      <c r="A29" s="317">
        <v>27</v>
      </c>
      <c r="B29" s="318">
        <v>27</v>
      </c>
      <c r="C29" s="319">
        <v>44580</v>
      </c>
      <c r="D29" s="337" t="s">
        <v>250</v>
      </c>
      <c r="E29" s="321" t="s">
        <v>251</v>
      </c>
      <c r="F29" s="322" t="s">
        <v>252</v>
      </c>
      <c r="G29" s="318">
        <v>89</v>
      </c>
      <c r="H29" s="318" t="s">
        <v>147</v>
      </c>
      <c r="I29" s="318" t="s">
        <v>22</v>
      </c>
      <c r="J29" s="323">
        <v>1</v>
      </c>
      <c r="K29" s="305">
        <v>0</v>
      </c>
      <c r="L29" s="324">
        <v>1142.8599999999999</v>
      </c>
      <c r="M29" s="305">
        <f>IF(Tabla1[[#This Row],[S.V.O.]]&gt;11428.57,1200,IF(Tabla1[[#This Row],[S.V.O.]]&lt;5714.29,0,Tabla1[[#This Row],[S.V.O.]]*0.1))</f>
        <v>0</v>
      </c>
      <c r="N29" s="342">
        <v>0</v>
      </c>
      <c r="O29" s="305">
        <v>0</v>
      </c>
      <c r="P29" s="335">
        <v>0</v>
      </c>
      <c r="Q29" s="325">
        <v>44544</v>
      </c>
      <c r="R29" s="326" t="s">
        <v>253</v>
      </c>
      <c r="S29" s="308" t="s">
        <v>57</v>
      </c>
      <c r="T29" s="308" t="s">
        <v>59</v>
      </c>
      <c r="U29" s="327"/>
    </row>
    <row r="30" spans="1:21" ht="36" x14ac:dyDescent="0.2">
      <c r="A30" s="317">
        <v>28</v>
      </c>
      <c r="B30" s="318">
        <v>28</v>
      </c>
      <c r="C30" s="319">
        <v>44587</v>
      </c>
      <c r="D30" s="337" t="s">
        <v>254</v>
      </c>
      <c r="E30" s="321" t="s">
        <v>255</v>
      </c>
      <c r="F30" s="322" t="s">
        <v>256</v>
      </c>
      <c r="G30" s="318">
        <v>80</v>
      </c>
      <c r="H30" s="318" t="s">
        <v>152</v>
      </c>
      <c r="I30" s="318" t="s">
        <v>22</v>
      </c>
      <c r="J30" s="323">
        <v>2</v>
      </c>
      <c r="K30" s="305">
        <v>0</v>
      </c>
      <c r="L30" s="324">
        <v>3428.57</v>
      </c>
      <c r="M30" s="305">
        <f>IF(Tabla1[[#This Row],[S.V.O.]]&gt;11428.57,1200,IF(Tabla1[[#This Row],[S.V.O.]]&lt;5714.29,0,Tabla1[[#This Row],[S.V.O.]]*0.1))</f>
        <v>0</v>
      </c>
      <c r="N30" s="342">
        <v>0</v>
      </c>
      <c r="O30" s="305">
        <v>0</v>
      </c>
      <c r="P30" s="335">
        <v>0</v>
      </c>
      <c r="Q30" s="325">
        <v>44571</v>
      </c>
      <c r="R30" s="326" t="s">
        <v>257</v>
      </c>
      <c r="S30" s="308" t="s">
        <v>57</v>
      </c>
      <c r="T30" s="308" t="s">
        <v>57</v>
      </c>
      <c r="U30" s="327"/>
    </row>
    <row r="31" spans="1:21" ht="63" x14ac:dyDescent="0.2">
      <c r="A31" s="317">
        <v>29</v>
      </c>
      <c r="B31" s="318">
        <v>29</v>
      </c>
      <c r="C31" s="319">
        <v>44588</v>
      </c>
      <c r="D31" s="337" t="s">
        <v>258</v>
      </c>
      <c r="E31" s="321" t="s">
        <v>259</v>
      </c>
      <c r="F31" s="322" t="s">
        <v>260</v>
      </c>
      <c r="G31" s="318">
        <v>66</v>
      </c>
      <c r="H31" s="318" t="s">
        <v>152</v>
      </c>
      <c r="I31" s="318" t="s">
        <v>20</v>
      </c>
      <c r="J31" s="323">
        <v>2</v>
      </c>
      <c r="K31" s="305">
        <v>3428.57</v>
      </c>
      <c r="L31" s="335">
        <v>0</v>
      </c>
      <c r="M31" s="305">
        <f>IF(Tabla1[[#This Row],[S.V.O.]]&gt;11428.57,1200,IF(Tabla1[[#This Row],[S.V.O.]]&lt;5714.29,0,Tabla1[[#This Row],[S.V.O.]]*0.1))</f>
        <v>0</v>
      </c>
      <c r="N31" s="335">
        <v>0</v>
      </c>
      <c r="O31" s="305">
        <v>0</v>
      </c>
      <c r="P31" s="335">
        <v>0</v>
      </c>
      <c r="Q31" s="325">
        <v>44275</v>
      </c>
      <c r="R31" s="326" t="s">
        <v>261</v>
      </c>
      <c r="S31" s="308" t="s">
        <v>57</v>
      </c>
      <c r="T31" s="308" t="s">
        <v>57</v>
      </c>
      <c r="U31" s="327"/>
    </row>
    <row r="32" spans="1:21" ht="126" x14ac:dyDescent="0.2">
      <c r="A32" s="317">
        <v>30</v>
      </c>
      <c r="B32" s="318">
        <v>30</v>
      </c>
      <c r="C32" s="319">
        <v>44588</v>
      </c>
      <c r="D32" s="337" t="s">
        <v>262</v>
      </c>
      <c r="E32" s="345" t="s">
        <v>263</v>
      </c>
      <c r="F32" s="346" t="s">
        <v>264</v>
      </c>
      <c r="G32" s="318">
        <v>51</v>
      </c>
      <c r="H32" s="318" t="s">
        <v>147</v>
      </c>
      <c r="I32" s="318" t="s">
        <v>20</v>
      </c>
      <c r="J32" s="323">
        <v>4</v>
      </c>
      <c r="K32" s="305">
        <v>3428.57</v>
      </c>
      <c r="L32" s="335">
        <v>0</v>
      </c>
      <c r="M32" s="305">
        <f>IF(Tabla1[[#This Row],[S.V.O.]]&gt;11428.57,1200,IF(Tabla1[[#This Row],[S.V.O.]]&lt;5714.29,0,Tabla1[[#This Row],[S.V.O.]]*0.1))</f>
        <v>0</v>
      </c>
      <c r="N32" s="335">
        <v>0</v>
      </c>
      <c r="O32" s="305">
        <v>0</v>
      </c>
      <c r="P32" s="335">
        <v>0</v>
      </c>
      <c r="Q32" s="325">
        <v>44105</v>
      </c>
      <c r="R32" s="326" t="s">
        <v>265</v>
      </c>
      <c r="S32" s="328" t="s">
        <v>266</v>
      </c>
      <c r="T32" s="347" t="s">
        <v>57</v>
      </c>
      <c r="U32" s="327"/>
    </row>
    <row r="33" spans="1:21" ht="48" x14ac:dyDescent="0.2">
      <c r="A33" s="317">
        <v>31</v>
      </c>
      <c r="B33" s="318">
        <v>31</v>
      </c>
      <c r="C33" s="319">
        <v>44592</v>
      </c>
      <c r="D33" s="337" t="s">
        <v>267</v>
      </c>
      <c r="E33" s="321" t="s">
        <v>268</v>
      </c>
      <c r="F33" s="322" t="s">
        <v>269</v>
      </c>
      <c r="G33" s="318">
        <v>64</v>
      </c>
      <c r="H33" s="318" t="s">
        <v>152</v>
      </c>
      <c r="I33" s="318" t="s">
        <v>22</v>
      </c>
      <c r="J33" s="323">
        <v>3</v>
      </c>
      <c r="K33" s="305">
        <v>0</v>
      </c>
      <c r="L33" s="324">
        <v>3428.57</v>
      </c>
      <c r="M33" s="305">
        <f>IF(Tabla1[[#This Row],[S.V.O.]]&gt;11428.57,1200,IF(Tabla1[[#This Row],[S.V.O.]]&lt;5714.29,0,Tabla1[[#This Row],[S.V.O.]]*0.1))</f>
        <v>0</v>
      </c>
      <c r="N33" s="335">
        <v>0</v>
      </c>
      <c r="O33" s="305">
        <v>1142.8599999999999</v>
      </c>
      <c r="P33" s="335">
        <v>0</v>
      </c>
      <c r="Q33" s="325">
        <v>44565</v>
      </c>
      <c r="R33" s="326" t="s">
        <v>270</v>
      </c>
      <c r="S33" s="308" t="s">
        <v>25</v>
      </c>
      <c r="T33" s="308" t="s">
        <v>25</v>
      </c>
      <c r="U33" s="327"/>
    </row>
    <row r="34" spans="1:21" ht="54" x14ac:dyDescent="0.2">
      <c r="A34" s="317">
        <v>32</v>
      </c>
      <c r="B34" s="318">
        <v>32</v>
      </c>
      <c r="C34" s="319">
        <v>44592</v>
      </c>
      <c r="D34" s="337" t="s">
        <v>271</v>
      </c>
      <c r="E34" s="321" t="s">
        <v>272</v>
      </c>
      <c r="F34" s="322" t="s">
        <v>273</v>
      </c>
      <c r="G34" s="318">
        <v>68</v>
      </c>
      <c r="H34" s="318" t="s">
        <v>152</v>
      </c>
      <c r="I34" s="318" t="s">
        <v>22</v>
      </c>
      <c r="J34" s="323">
        <v>2</v>
      </c>
      <c r="K34" s="305">
        <v>0</v>
      </c>
      <c r="L34" s="324">
        <v>11428.57</v>
      </c>
      <c r="M34" s="305">
        <f>IF(Tabla1[[#This Row],[S.V.O.]]&gt;11428.57,1200,IF(Tabla1[[#This Row],[S.V.O.]]&lt;5714.29,0,Tabla1[[#This Row],[S.V.O.]]*0.1))</f>
        <v>1142.857</v>
      </c>
      <c r="N34" s="335">
        <v>0</v>
      </c>
      <c r="O34" s="305">
        <v>1142.8599999999999</v>
      </c>
      <c r="P34" s="335">
        <v>0</v>
      </c>
      <c r="Q34" s="325">
        <v>44530</v>
      </c>
      <c r="R34" s="326" t="s">
        <v>274</v>
      </c>
      <c r="S34" s="308" t="s">
        <v>24</v>
      </c>
      <c r="T34" s="308" t="s">
        <v>24</v>
      </c>
      <c r="U34" s="327"/>
    </row>
    <row r="35" spans="1:21" ht="108" x14ac:dyDescent="0.2">
      <c r="A35" s="317">
        <v>33</v>
      </c>
      <c r="B35" s="318">
        <v>33</v>
      </c>
      <c r="C35" s="319">
        <v>44592</v>
      </c>
      <c r="D35" s="337" t="s">
        <v>275</v>
      </c>
      <c r="E35" s="321" t="s">
        <v>276</v>
      </c>
      <c r="F35" s="322" t="s">
        <v>277</v>
      </c>
      <c r="G35" s="318">
        <v>58</v>
      </c>
      <c r="H35" s="318" t="s">
        <v>152</v>
      </c>
      <c r="I35" s="318" t="s">
        <v>20</v>
      </c>
      <c r="J35" s="323">
        <v>3</v>
      </c>
      <c r="K35" s="305">
        <v>3428.57</v>
      </c>
      <c r="L35" s="335">
        <v>0</v>
      </c>
      <c r="M35" s="305">
        <f>IF(Tabla1[[#This Row],[S.V.O.]]&gt;11428.57,1200,IF(Tabla1[[#This Row],[S.V.O.]]&lt;5714.29,0,Tabla1[[#This Row],[S.V.O.]]*0.1))</f>
        <v>0</v>
      </c>
      <c r="N35" s="335">
        <v>0</v>
      </c>
      <c r="O35" s="305">
        <v>0</v>
      </c>
      <c r="P35" s="335">
        <v>0</v>
      </c>
      <c r="Q35" s="325">
        <v>44542</v>
      </c>
      <c r="R35" s="326" t="s">
        <v>278</v>
      </c>
      <c r="S35" s="308" t="s">
        <v>25</v>
      </c>
      <c r="T35" s="308" t="s">
        <v>25</v>
      </c>
      <c r="U35" s="327"/>
    </row>
    <row r="36" spans="1:21" ht="36" x14ac:dyDescent="0.2">
      <c r="A36" s="317">
        <v>34</v>
      </c>
      <c r="B36" s="318">
        <v>34</v>
      </c>
      <c r="C36" s="319">
        <v>44592</v>
      </c>
      <c r="D36" s="337" t="s">
        <v>279</v>
      </c>
      <c r="E36" s="321" t="s">
        <v>280</v>
      </c>
      <c r="F36" s="322" t="s">
        <v>281</v>
      </c>
      <c r="G36" s="318">
        <v>75</v>
      </c>
      <c r="H36" s="318" t="s">
        <v>147</v>
      </c>
      <c r="I36" s="318" t="s">
        <v>22</v>
      </c>
      <c r="J36" s="323">
        <v>3</v>
      </c>
      <c r="K36" s="305">
        <v>0</v>
      </c>
      <c r="L36" s="324">
        <v>3428.57</v>
      </c>
      <c r="M36" s="305">
        <f>IF(Tabla1[[#This Row],[S.V.O.]]&gt;11428.57,1200,IF(Tabla1[[#This Row],[S.V.O.]]&lt;5714.29,0,Tabla1[[#This Row],[S.V.O.]]*0.1))</f>
        <v>0</v>
      </c>
      <c r="N36" s="335">
        <v>0</v>
      </c>
      <c r="O36" s="305">
        <v>0</v>
      </c>
      <c r="P36" s="335">
        <v>0</v>
      </c>
      <c r="Q36" s="325">
        <v>44343</v>
      </c>
      <c r="R36" s="326" t="s">
        <v>282</v>
      </c>
      <c r="S36" s="308" t="s">
        <v>25</v>
      </c>
      <c r="T36" s="308" t="s">
        <v>25</v>
      </c>
      <c r="U36" s="327"/>
    </row>
    <row r="37" spans="1:21" ht="54" x14ac:dyDescent="0.2">
      <c r="A37" s="317">
        <v>35</v>
      </c>
      <c r="B37" s="318">
        <v>35</v>
      </c>
      <c r="C37" s="319">
        <v>44592</v>
      </c>
      <c r="D37" s="337" t="s">
        <v>283</v>
      </c>
      <c r="E37" s="321" t="s">
        <v>284</v>
      </c>
      <c r="F37" s="322" t="s">
        <v>285</v>
      </c>
      <c r="G37" s="318">
        <v>91</v>
      </c>
      <c r="H37" s="318" t="s">
        <v>152</v>
      </c>
      <c r="I37" s="318" t="s">
        <v>22</v>
      </c>
      <c r="J37" s="323">
        <v>1</v>
      </c>
      <c r="K37" s="305">
        <v>0</v>
      </c>
      <c r="L37" s="324">
        <v>3428.57</v>
      </c>
      <c r="M37" s="305">
        <f>IF(Tabla1[[#This Row],[S.V.O.]]&gt;11428.57,1200,IF(Tabla1[[#This Row],[S.V.O.]]&lt;5714.29,0,Tabla1[[#This Row],[S.V.O.]]*0.1))</f>
        <v>0</v>
      </c>
      <c r="N37" s="335">
        <v>0</v>
      </c>
      <c r="O37" s="305">
        <v>0</v>
      </c>
      <c r="P37" s="335">
        <v>0</v>
      </c>
      <c r="Q37" s="325">
        <v>43131</v>
      </c>
      <c r="R37" s="326" t="s">
        <v>286</v>
      </c>
      <c r="S37" s="308" t="s">
        <v>57</v>
      </c>
      <c r="T37" s="308" t="s">
        <v>57</v>
      </c>
      <c r="U37" s="327"/>
    </row>
    <row r="38" spans="1:21" x14ac:dyDescent="0.2">
      <c r="A38" s="274"/>
      <c r="B38" s="275"/>
      <c r="C38" s="272"/>
      <c r="D38" s="276"/>
      <c r="E38" s="277"/>
      <c r="F38" s="278"/>
      <c r="G38" s="275"/>
      <c r="H38" s="275"/>
      <c r="I38" s="275"/>
      <c r="J38" s="279"/>
      <c r="K38" s="280"/>
      <c r="L38" s="280"/>
      <c r="M38" s="280"/>
      <c r="N38" s="280"/>
      <c r="O38" s="280"/>
      <c r="P38" s="280"/>
      <c r="Q38" s="281"/>
      <c r="R38" s="282"/>
      <c r="S38" s="283"/>
      <c r="T38" s="283"/>
      <c r="U38" s="272"/>
    </row>
  </sheetData>
  <mergeCells count="1">
    <mergeCell ref="B1:U1"/>
  </mergeCells>
  <dataValidations count="6">
    <dataValidation type="list" allowBlank="1" showInputMessage="1" showErrorMessage="1" sqref="S15:T17 T18:T22 S19:S22 S3:T11 T12 S24:T31 S33:T37">
      <formula1>"SAN SALVADOR, SANTA ANA, SONSONATE, AHUACHAPÁN, CHALATENANGO, CABAÑAS, SAN VICENTE, CUSCATLÁN, LA LIBERTAD, LA PAZ, USULUTÁN, SAN MIGUEL, MORAZÁN, LA UNIÓN"</formula1>
    </dataValidation>
    <dataValidation type="list" allowBlank="1" showInputMessage="1" showErrorMessage="1" sqref="O3:O9 O11 O15:O20 O22:O37">
      <formula1>"0,1142.86"</formula1>
    </dataValidation>
    <dataValidation type="list" allowBlank="1" showInputMessage="1" showErrorMessage="1" sqref="N3:N9 N11:N12 N15:N20 M21:N22 N23:N37">
      <formula1>"0,571.43,1142.86,1714.57,2285.71,2857.14,3428.57,4571.43,5714.29,6857.14,8000.00,9142.86,10285.71,11428.57"</formula1>
    </dataValidation>
    <dataValidation type="list" allowBlank="1" showInputMessage="1" showErrorMessage="1" sqref="L3 L7 L9 L16:L17 L12 L26:L28 L21:L24 L31:L32 L35">
      <formula1>"0,1142.86,2285.71,3428.57,4571.43,5714.29,6857.14, 8000.00,9142.86,10285.71,11428.57,15000.00,20000.00,25000.00,30000.00"</formula1>
    </dataValidation>
    <dataValidation type="list" allowBlank="1" showInputMessage="1" showErrorMessage="1" sqref="L4:L6 L8 L13:L15 L18:L20 L25 L10:L11 L29:L30 L36:L37 L33:L34">
      <formula1>"1142.86, 2285.71, 3428.57, 4571.43, 5714.29, 6857.14, 8000.00, 9142.86, 10285.71, 11428.57, 15000.00, 20000.00, 25000.00, 30000.00"</formula1>
    </dataValidation>
    <dataValidation type="list" allowBlank="1" showInputMessage="1" showErrorMessage="1" sqref="K3:K37">
      <formula1>"0, 3428.57"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MENSUAL</vt:lpstr>
      <vt:lpstr>1. RESUMEN DE PAGADOS </vt:lpstr>
      <vt:lpstr>2. COMPR DEV 30%</vt:lpstr>
      <vt:lpstr>3. COMP VR</vt:lpstr>
      <vt:lpstr>4. COMP VP</vt:lpstr>
      <vt:lpstr>5. REPORTE FALLECIDOS ENERO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2022-08-01T05:28:06Z</dcterms:modified>
</cp:coreProperties>
</file>