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Blanca.Batres\Documents\2022\OIR\Información Oficiosa\Estadísticas\"/>
    </mc:Choice>
  </mc:AlternateContent>
  <bookViews>
    <workbookView xWindow="0" yWindow="0" windowWidth="20490" windowHeight="7155" tabRatio="601" firstSheet="1" activeTab="1"/>
  </bookViews>
  <sheets>
    <sheet name="RESUMEN MENSUAL" sheetId="25" r:id="rId1"/>
    <sheet name="1. RESUMEN DE PAGADOS " sheetId="4" r:id="rId2"/>
    <sheet name="2. COMPR DEV 30%" sheetId="16" r:id="rId3"/>
    <sheet name="3. COMP VR" sheetId="17" r:id="rId4"/>
    <sheet name="4. COMP VP" sheetId="18" r:id="rId5"/>
    <sheet name="5. REPORTE FALLECIDOS MARZO" sheetId="26" r:id="rId6"/>
  </sheets>
  <externalReferences>
    <externalReference r:id="rId7"/>
    <externalReference r:id="rId8"/>
    <externalReference r:id="rId9"/>
  </externalReferences>
  <calcPr calcId="152511"/>
</workbook>
</file>

<file path=xl/calcChain.xml><?xml version="1.0" encoding="utf-8"?>
<calcChain xmlns="http://schemas.openxmlformats.org/spreadsheetml/2006/main">
  <c r="L118" i="26" l="1"/>
  <c r="L117" i="26"/>
  <c r="L116" i="26"/>
  <c r="L115" i="26"/>
  <c r="L114" i="26"/>
  <c r="L113" i="26"/>
  <c r="L112" i="26"/>
  <c r="L111" i="26"/>
  <c r="L110" i="26"/>
  <c r="L109" i="26"/>
  <c r="L108" i="26"/>
  <c r="L107" i="26"/>
  <c r="L106" i="26"/>
  <c r="L105" i="26"/>
  <c r="L104" i="26"/>
  <c r="L103" i="26"/>
  <c r="L102" i="26"/>
  <c r="L101" i="26"/>
  <c r="L100" i="26"/>
  <c r="L99" i="26"/>
  <c r="L98" i="26"/>
  <c r="L97" i="26"/>
  <c r="L96" i="26"/>
  <c r="L95" i="26"/>
  <c r="L94" i="26"/>
  <c r="L93" i="26"/>
  <c r="L92" i="26"/>
  <c r="L91" i="26"/>
  <c r="L90" i="26"/>
  <c r="L89" i="26"/>
  <c r="L88" i="26"/>
  <c r="L87" i="26"/>
  <c r="L86" i="26"/>
  <c r="L85" i="26"/>
  <c r="L84" i="26"/>
  <c r="L83" i="26"/>
  <c r="L82" i="26"/>
  <c r="L81" i="26"/>
  <c r="L80" i="26"/>
  <c r="L79" i="26"/>
  <c r="L78" i="26"/>
  <c r="L77" i="26"/>
  <c r="L76" i="26"/>
  <c r="L75" i="26"/>
  <c r="L74" i="26"/>
  <c r="L73" i="26"/>
  <c r="L72" i="26"/>
  <c r="L71" i="26"/>
  <c r="L70" i="26"/>
  <c r="L69" i="26"/>
  <c r="L68" i="26"/>
  <c r="L67" i="26"/>
  <c r="L66" i="26"/>
  <c r="L65" i="26"/>
  <c r="L64" i="26"/>
  <c r="L63" i="26"/>
  <c r="L62" i="26"/>
  <c r="L61" i="26"/>
  <c r="L60" i="26"/>
  <c r="L59" i="26"/>
  <c r="L58" i="26"/>
  <c r="L57" i="26"/>
  <c r="L56" i="26"/>
  <c r="L55" i="26"/>
  <c r="L54" i="26"/>
  <c r="L53" i="26"/>
  <c r="L52" i="26"/>
  <c r="L51" i="26"/>
  <c r="L50" i="26"/>
  <c r="L49" i="26"/>
  <c r="L48" i="26"/>
  <c r="L47" i="26"/>
  <c r="L46" i="26"/>
  <c r="L45" i="26"/>
  <c r="L44" i="26"/>
  <c r="L43" i="26"/>
  <c r="L42" i="26"/>
  <c r="L41" i="26"/>
  <c r="L40" i="26"/>
  <c r="L39" i="26"/>
  <c r="L38" i="26"/>
  <c r="L37" i="26"/>
  <c r="L36" i="26"/>
  <c r="L35" i="26"/>
  <c r="L34" i="26"/>
  <c r="L33" i="26"/>
  <c r="L32" i="26"/>
  <c r="L31" i="26"/>
  <c r="L30" i="26"/>
  <c r="L29" i="26"/>
  <c r="L28" i="26"/>
  <c r="L27" i="26"/>
  <c r="L26" i="26"/>
  <c r="L25" i="26"/>
  <c r="L24" i="26"/>
  <c r="L23" i="26"/>
  <c r="L20" i="26"/>
  <c r="L19" i="26"/>
  <c r="L18" i="26"/>
  <c r="L17" i="26"/>
  <c r="L16" i="26"/>
  <c r="L15" i="26"/>
  <c r="L12" i="26"/>
  <c r="L11" i="26"/>
  <c r="L10" i="26"/>
  <c r="L9" i="26"/>
  <c r="L8" i="26"/>
  <c r="L7" i="26"/>
  <c r="L6" i="26"/>
  <c r="L5" i="26"/>
  <c r="L4" i="26"/>
  <c r="L3" i="26"/>
  <c r="E7" i="25" l="1"/>
  <c r="E18" i="25" l="1"/>
  <c r="E19" i="25"/>
  <c r="E20" i="25"/>
  <c r="E13" i="25"/>
  <c r="E12" i="25"/>
  <c r="E10" i="25"/>
  <c r="E9" i="25"/>
  <c r="E6" i="25"/>
  <c r="E5" i="25"/>
  <c r="D13" i="4" l="1"/>
  <c r="F13" i="4"/>
  <c r="E13" i="4"/>
  <c r="C13" i="4"/>
  <c r="B13" i="4"/>
  <c r="M13" i="4"/>
  <c r="H13" i="4"/>
  <c r="G13" i="4"/>
  <c r="N13" i="4" l="1"/>
  <c r="J13" i="4"/>
  <c r="I13" i="4"/>
  <c r="F14" i="18" l="1"/>
  <c r="E14" i="18"/>
  <c r="D14" i="18"/>
  <c r="C14" i="18"/>
  <c r="E11" i="17"/>
  <c r="D11" i="17"/>
  <c r="C11" i="17"/>
  <c r="B11" i="17"/>
  <c r="E11" i="16"/>
  <c r="D11" i="16"/>
  <c r="C11" i="16"/>
  <c r="B11" i="16"/>
  <c r="C12" i="4" l="1"/>
  <c r="C11" i="4"/>
  <c r="N12" i="4" l="1"/>
  <c r="J12" i="4"/>
  <c r="M12" i="4"/>
  <c r="H12" i="4"/>
  <c r="G12" i="4"/>
  <c r="F11" i="4"/>
  <c r="F12" i="4"/>
  <c r="E12" i="4"/>
  <c r="D12" i="4"/>
  <c r="E10" i="17" l="1"/>
  <c r="D10" i="17"/>
  <c r="C10" i="17"/>
  <c r="B10" i="17"/>
  <c r="F13" i="18"/>
  <c r="E13" i="18"/>
  <c r="D13" i="18"/>
  <c r="C13" i="18"/>
  <c r="E10" i="16"/>
  <c r="D10" i="16"/>
  <c r="C10" i="16"/>
  <c r="B10" i="16"/>
  <c r="J11" i="4" l="1"/>
  <c r="C9" i="17" l="1"/>
  <c r="F12" i="18" l="1"/>
  <c r="E12" i="18"/>
  <c r="D12" i="18"/>
  <c r="C12" i="18"/>
  <c r="E9" i="17"/>
  <c r="D9" i="17"/>
  <c r="B9" i="17"/>
  <c r="E9" i="16"/>
  <c r="D9" i="16" l="1"/>
  <c r="C9" i="16" l="1"/>
  <c r="B9" i="16"/>
  <c r="H11" i="4" l="1"/>
  <c r="G11" i="4"/>
  <c r="E11" i="4"/>
  <c r="D11" i="4"/>
  <c r="M11" i="4"/>
  <c r="N11" i="4" l="1"/>
  <c r="E21" i="17" l="1"/>
  <c r="D21" i="17"/>
  <c r="D18" i="25"/>
  <c r="D35" i="25" s="1"/>
  <c r="D12" i="25"/>
  <c r="D33" i="25" s="1"/>
  <c r="D10" i="25"/>
  <c r="D32" i="25" s="1"/>
  <c r="D9" i="25"/>
  <c r="D7" i="25"/>
  <c r="D6" i="25"/>
  <c r="D28" i="25" s="1"/>
  <c r="D5" i="25"/>
  <c r="D27" i="25" s="1"/>
  <c r="E8" i="25"/>
  <c r="D19" i="25"/>
  <c r="D36" i="25" s="1"/>
  <c r="E28" i="25"/>
  <c r="E31" i="25"/>
  <c r="I23" i="4"/>
  <c r="C24" i="18"/>
  <c r="F24" i="18"/>
  <c r="D24" i="18"/>
  <c r="D21" i="16"/>
  <c r="E37" i="25"/>
  <c r="C21" i="16"/>
  <c r="D20" i="25"/>
  <c r="D37" i="25" s="1"/>
  <c r="P22" i="4"/>
  <c r="Q22" i="4"/>
  <c r="P21" i="4"/>
  <c r="Q21" i="4"/>
  <c r="P20" i="4"/>
  <c r="Q20" i="4"/>
  <c r="P19" i="4"/>
  <c r="P18" i="4"/>
  <c r="Q18" i="4"/>
  <c r="P17" i="4"/>
  <c r="P16" i="4"/>
  <c r="P15" i="4"/>
  <c r="Q15" i="4"/>
  <c r="P14" i="4"/>
  <c r="P13" i="4"/>
  <c r="Q13" i="4" s="1"/>
  <c r="P12" i="4"/>
  <c r="C19" i="25"/>
  <c r="C21" i="25" s="1"/>
  <c r="C18" i="25"/>
  <c r="C35" i="25" s="1"/>
  <c r="C14" i="25"/>
  <c r="C2" i="25"/>
  <c r="C7" i="25"/>
  <c r="C9" i="25"/>
  <c r="C31" i="25" s="1"/>
  <c r="C6" i="25"/>
  <c r="C28" i="25" s="1"/>
  <c r="C5" i="25"/>
  <c r="C27" i="25" s="1"/>
  <c r="D29" i="25"/>
  <c r="C20" i="25"/>
  <c r="C37" i="25" s="1"/>
  <c r="E24" i="18"/>
  <c r="F23" i="4"/>
  <c r="E23" i="4"/>
  <c r="D23" i="4"/>
  <c r="N23" i="4"/>
  <c r="E21" i="16"/>
  <c r="C23" i="4"/>
  <c r="M23" i="4"/>
  <c r="D34" i="25"/>
  <c r="D31" i="25"/>
  <c r="D30" i="25"/>
  <c r="C34" i="25"/>
  <c r="C33" i="25"/>
  <c r="D14" i="25"/>
  <c r="C30" i="25"/>
  <c r="Q19" i="4"/>
  <c r="B7" i="17"/>
  <c r="Q12" i="4"/>
  <c r="Q16" i="4"/>
  <c r="Q17" i="4"/>
  <c r="L23" i="4"/>
  <c r="E30" i="25"/>
  <c r="C32" i="25"/>
  <c r="Q14" i="4"/>
  <c r="B23" i="4"/>
  <c r="K23" i="4"/>
  <c r="J23" i="4"/>
  <c r="B21" i="16"/>
  <c r="E29" i="25"/>
  <c r="P11" i="4"/>
  <c r="Q11" i="4" s="1"/>
  <c r="E35" i="25"/>
  <c r="C21" i="17"/>
  <c r="B21" i="17"/>
  <c r="E34" i="25"/>
  <c r="E33" i="25"/>
  <c r="E14" i="25"/>
  <c r="E27" i="25"/>
  <c r="G23" i="4"/>
  <c r="O23" i="4"/>
  <c r="C29" i="25"/>
  <c r="H23" i="4"/>
  <c r="D11" i="25" l="1"/>
  <c r="D15" i="25" s="1"/>
  <c r="C11" i="25"/>
  <c r="C15" i="25" s="1"/>
  <c r="C23" i="25" s="1"/>
  <c r="C36" i="25"/>
  <c r="C38" i="25" s="1"/>
  <c r="D21" i="25"/>
  <c r="E11" i="25"/>
  <c r="E15" i="25" s="1"/>
  <c r="F8" i="25" s="1"/>
  <c r="E32" i="25"/>
  <c r="P23" i="4"/>
  <c r="D38" i="25"/>
  <c r="E21" i="25"/>
  <c r="F18" i="25" s="1"/>
  <c r="Q23" i="4"/>
  <c r="Q24" i="4" s="1"/>
  <c r="E36" i="25"/>
  <c r="D23" i="25" l="1"/>
  <c r="F7" i="25"/>
  <c r="F13" i="25"/>
  <c r="F5" i="25"/>
  <c r="F10" i="25"/>
  <c r="F12" i="25"/>
  <c r="F9" i="25"/>
  <c r="F6" i="25"/>
  <c r="E23" i="25"/>
  <c r="F20" i="25"/>
  <c r="F19" i="25"/>
  <c r="E38" i="25"/>
  <c r="F36" i="25" s="1"/>
  <c r="F15" i="25" l="1"/>
  <c r="F21" i="25"/>
  <c r="F28" i="25"/>
  <c r="F33" i="25"/>
  <c r="F27" i="25"/>
  <c r="F32" i="25"/>
  <c r="F30" i="25"/>
  <c r="F35" i="25"/>
  <c r="F29" i="25"/>
  <c r="F31" i="25"/>
  <c r="F37" i="25"/>
  <c r="F34" i="25"/>
  <c r="F38" i="25" l="1"/>
</calcChain>
</file>

<file path=xl/comments1.xml><?xml version="1.0" encoding="utf-8"?>
<comments xmlns="http://schemas.openxmlformats.org/spreadsheetml/2006/main">
  <authors>
    <author>Cecilia Medina01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Cecilia Medina01:</t>
        </r>
        <r>
          <rPr>
            <sz val="9"/>
            <color indexed="81"/>
            <rFont val="Tahoma"/>
            <family val="2"/>
          </rPr>
          <t xml:space="preserve">
No. Correlativo del mes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Cecilia Medina01:</t>
        </r>
        <r>
          <rPr>
            <sz val="9"/>
            <color indexed="81"/>
            <rFont val="Tahoma"/>
            <family val="2"/>
          </rPr>
          <t xml:space="preserve">
Estructura Código fallecido
</t>
        </r>
        <r>
          <rPr>
            <b/>
            <sz val="9"/>
            <color indexed="81"/>
            <rFont val="Tahoma"/>
            <family val="2"/>
          </rPr>
          <t>R-LR-001-2022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Cecilia Medina01: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DA:</t>
        </r>
        <r>
          <rPr>
            <sz val="9"/>
            <color indexed="81"/>
            <rFont val="Tahoma"/>
            <family val="2"/>
          </rPr>
          <t xml:space="preserve">  DOCENTE ACTIVO
</t>
        </r>
        <r>
          <rPr>
            <b/>
            <sz val="9"/>
            <color indexed="81"/>
            <rFont val="Tahoma"/>
            <family val="2"/>
          </rPr>
          <t>DP:</t>
        </r>
        <r>
          <rPr>
            <sz val="9"/>
            <color indexed="81"/>
            <rFont val="Tahoma"/>
            <family val="2"/>
          </rPr>
          <t xml:space="preserve">  DOCENTE PENSIONADO
</t>
        </r>
        <r>
          <rPr>
            <b/>
            <sz val="9"/>
            <color indexed="81"/>
            <rFont val="Tahoma"/>
            <family val="2"/>
          </rPr>
          <t>AA:</t>
        </r>
        <r>
          <rPr>
            <sz val="9"/>
            <color indexed="81"/>
            <rFont val="Tahoma"/>
            <family val="2"/>
          </rPr>
          <t xml:space="preserve">  ADMINISTRATIVO ACTIVO
</t>
        </r>
        <r>
          <rPr>
            <b/>
            <sz val="9"/>
            <color indexed="81"/>
            <rFont val="Tahoma"/>
            <family val="2"/>
          </rPr>
          <t>AP:</t>
        </r>
        <r>
          <rPr>
            <sz val="9"/>
            <color indexed="81"/>
            <rFont val="Tahoma"/>
            <family val="2"/>
          </rPr>
          <t xml:space="preserve">  ADMINISTRATIVO PENSIONADO 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Cecilia Medina01:</t>
        </r>
        <r>
          <rPr>
            <sz val="9"/>
            <color indexed="81"/>
            <rFont val="Tahoma"/>
            <family val="2"/>
          </rPr>
          <t xml:space="preserve">
Renunció al MINED 1 día antes de fallecer.</t>
        </r>
      </text>
    </comment>
    <comment ref="I32" authorId="0" shapeId="0">
      <text>
        <r>
          <rPr>
            <sz val="12"/>
            <color indexed="81"/>
            <rFont val="Tahoma"/>
            <family val="2"/>
          </rPr>
          <t>Herederos</t>
        </r>
      </text>
    </comment>
    <comment ref="H84" authorId="0" shapeId="0">
      <text>
        <r>
          <rPr>
            <sz val="11"/>
            <color indexed="81"/>
            <rFont val="Tahoma"/>
            <family val="2"/>
          </rPr>
          <t>Cotizante voluntario</t>
        </r>
      </text>
    </comment>
  </commentList>
</comments>
</file>

<file path=xl/sharedStrings.xml><?xml version="1.0" encoding="utf-8"?>
<sst xmlns="http://schemas.openxmlformats.org/spreadsheetml/2006/main" count="1194" uniqueCount="605">
  <si>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</si>
  <si>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</si>
  <si>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</si>
  <si>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</si>
  <si>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</si>
  <si>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</si>
  <si>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</si>
  <si>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</si>
  <si>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</si>
  <si>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</si>
  <si>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</si>
  <si>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>Sept.</t>
  </si>
  <si>
    <t>Octubre</t>
  </si>
  <si>
    <t>Noviem</t>
  </si>
  <si>
    <t>Diciem</t>
  </si>
  <si>
    <t>DOBLE PAGO POR MUERTE ACCIDENTAL</t>
  </si>
  <si>
    <t xml:space="preserve">PAGO DEL 10% DE GASTOS FUNERARIOS </t>
  </si>
  <si>
    <t>LUGAR DE FALLECIMIENTO</t>
  </si>
  <si>
    <t>RÉGIMEN</t>
  </si>
  <si>
    <t>AHUACHAPÁN</t>
  </si>
  <si>
    <t>DA</t>
  </si>
  <si>
    <t>AA</t>
  </si>
  <si>
    <t>SONSONATE</t>
  </si>
  <si>
    <t>DP</t>
  </si>
  <si>
    <t>AP</t>
  </si>
  <si>
    <t>LA PAZ</t>
  </si>
  <si>
    <t>SAN VICENTE</t>
  </si>
  <si>
    <t>USULUTÁN</t>
  </si>
  <si>
    <t>SAN MIGUEL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</si>
  <si>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</si>
  <si>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</si>
  <si>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</si>
  <si>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</si>
  <si>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</si>
  <si>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</si>
  <si>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</si>
  <si>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</si>
  <si>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</si>
  <si>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</si>
  <si>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</si>
  <si>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</si>
  <si>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</si>
  <si>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</si>
  <si>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</si>
  <si>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</si>
  <si>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</si>
  <si>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</si>
  <si>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</si>
  <si>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</si>
  <si>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</si>
  <si>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</si>
  <si>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</si>
  <si>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</si>
  <si>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NO.DE EXPEDIENTE</t>
  </si>
  <si>
    <t>EDAD</t>
  </si>
  <si>
    <t>S.V.B</t>
  </si>
  <si>
    <t>S.V.O.</t>
  </si>
  <si>
    <t>S.V.D.</t>
  </si>
  <si>
    <t>SXS</t>
  </si>
  <si>
    <t>CAUSA DE FALLECIMIENTO</t>
  </si>
  <si>
    <t>SAN SALVADOR</t>
  </si>
  <si>
    <t>OFICINA CENTRAL</t>
  </si>
  <si>
    <t>SANTA ANA</t>
  </si>
  <si>
    <t>TOTALES</t>
  </si>
  <si>
    <t>LA LIBERTAD</t>
  </si>
  <si>
    <t>NUMERO DE SEGUROS RECLAMADOS</t>
  </si>
  <si>
    <t>Nº DE DEVOLUCIONES DEL 30% RECLAMADAS</t>
  </si>
  <si>
    <t>Vo. Bo.</t>
  </si>
  <si>
    <t>REPORTADO EN</t>
  </si>
  <si>
    <t>PAGADO EN SEGURO DE VIDA BÁSICO</t>
  </si>
  <si>
    <t>PAGADO EN SEGURO DE VIDA DOTAL</t>
  </si>
  <si>
    <t>PAGADO EN SEGURO POR SEPELIO</t>
  </si>
  <si>
    <t xml:space="preserve">             </t>
  </si>
  <si>
    <t>SPS</t>
  </si>
  <si>
    <t>PAGADO EN SEGURO DECRECIENTE DE DEUDA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</si>
  <si>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</si>
  <si>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</si>
  <si>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</si>
  <si>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</si>
  <si>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</si>
  <si>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</si>
  <si>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</si>
  <si>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</si>
  <si>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</si>
  <si>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</si>
  <si>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</si>
  <si>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</si>
  <si>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</si>
  <si>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</si>
  <si>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</si>
  <si>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</si>
  <si>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</si>
  <si>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</si>
  <si>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 xml:space="preserve">FALLECIDOS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</si>
  <si>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</si>
  <si>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</si>
  <si>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</si>
  <si>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</si>
  <si>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</si>
  <si>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</si>
  <si>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</si>
  <si>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>Trámite*</t>
  </si>
  <si>
    <t xml:space="preserve">Caso Especial - Seguro de Vida Opcional 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</si>
  <si>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</si>
  <si>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</si>
  <si>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</si>
  <si>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</si>
  <si>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</si>
  <si>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</si>
  <si>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PARO CARDIO RESPIRATORIO</t>
  </si>
  <si>
    <t>FECHA DE FALLECIMIENTO</t>
  </si>
  <si>
    <t>No. 2</t>
  </si>
  <si>
    <t>GF</t>
  </si>
  <si>
    <t>R 01-12</t>
  </si>
  <si>
    <t>R 01-16</t>
  </si>
  <si>
    <t>PARO CARDIACO</t>
  </si>
  <si>
    <t>No. 4</t>
  </si>
  <si>
    <t>No. 3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</si>
  <si>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</si>
  <si>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</si>
  <si>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</si>
  <si>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</si>
  <si>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</si>
  <si>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</si>
  <si>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</si>
  <si>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DEL 01 DE ENERO AL 31 DE DICIEMBRE DEL AÑO 2022</t>
  </si>
  <si>
    <t>DE SEGURO DE VIDA DOTAL PAGADOS AÑO 2022</t>
  </si>
  <si>
    <t>DE VIDA DOTAL POR VENCIMIENTO DE PÓLIZA  AÑO 2022</t>
  </si>
  <si>
    <t>DEL 01  DE ENERO AL 31 DICIEMBRE DEL AÑO 2022</t>
  </si>
  <si>
    <t>CORRESPONDIENTE AL PERIODO DEL 01 DE ENERO AL 31 DE DICIEMBRE DEL AÑO 2022</t>
  </si>
  <si>
    <t>ESTADÍSTICAS GENERALES 2021</t>
  </si>
  <si>
    <t>ASEGURADOS QUE CUMPLIERON 70 AÑOS DE EDAD DURANTE EL AÑO 2021</t>
  </si>
  <si>
    <t>DE VIDA DOTAL POR VENCIMIENTO DE PÓLIZA AÑO 2021</t>
  </si>
  <si>
    <t>DE SEGURO DE VIDA DOTAL PAGADOS AÑO 2021</t>
  </si>
  <si>
    <t>SEGUROS PEND. DE PAGO DE OTROS AÑOS, PAGADOS EN EL 2022 (CUADROS APROBADOS POR CD+ CASOS DE INV)</t>
  </si>
  <si>
    <t xml:space="preserve"> FALLECIDOS  AÑO 2022 QUE HAN RECLAMADO Y PAGADO (CUADROS APROBADOS POR CD)</t>
  </si>
  <si>
    <t>San Salvador, 31 de marzo del año 2022</t>
  </si>
  <si>
    <t>Nº DE BENEF. A LOS QUE SE LES HA PAGADO EN EL AÑO 2022 (CUADROS APROBADOS POR CD + CASOS DE INV)</t>
  </si>
  <si>
    <t xml:space="preserve">            LIBRO DE REPORTE DE FALLECIDOS Y ESTADÍSTICAS AÑO 2022</t>
  </si>
  <si>
    <t>No</t>
  </si>
  <si>
    <t>FECHA DEL REPORTE</t>
  </si>
  <si>
    <t>CÓDIGO ASEGURADO</t>
  </si>
  <si>
    <t>NOMBRE DEL ASEGURADO FALLECIDO</t>
  </si>
  <si>
    <t>GÉNERO</t>
  </si>
  <si>
    <t>No. BENEFICIARIOS o HEREDEROS</t>
  </si>
  <si>
    <t>G.F.</t>
  </si>
  <si>
    <r>
      <t xml:space="preserve">S.D.D. </t>
    </r>
    <r>
      <rPr>
        <b/>
        <sz val="8"/>
        <color rgb="FFFFFF00"/>
        <rFont val="Museo Sans 100"/>
        <family val="3"/>
      </rPr>
      <t>(Seguro Decreciente de Deuda)</t>
    </r>
  </si>
  <si>
    <t>R-LR-001-2022</t>
  </si>
  <si>
    <t>00022</t>
  </si>
  <si>
    <t>MARIO ALFONSO CAMPOS</t>
  </si>
  <si>
    <t>M</t>
  </si>
  <si>
    <t>CUSCATLÁN</t>
  </si>
  <si>
    <t>R-LR-002-2022</t>
  </si>
  <si>
    <t>03707</t>
  </si>
  <si>
    <t>SILVIA NOENA GALLO VELASQUEZ</t>
  </si>
  <si>
    <t>F</t>
  </si>
  <si>
    <t>SOSPECHA INFARTO AGUDO MIOCARDIO, DIABETES MELLITUS 2</t>
  </si>
  <si>
    <t>R-LR-003-2022</t>
  </si>
  <si>
    <t>17859</t>
  </si>
  <si>
    <t>JOSÉ LUIS URRUTIA SEVELLÓN</t>
  </si>
  <si>
    <t>DIABETES TIPO 2, MAS INFARTO AGUDO AL MIOCARDIO</t>
  </si>
  <si>
    <t>R-LR-004-2022</t>
  </si>
  <si>
    <t>18600</t>
  </si>
  <si>
    <t>VILMA DE LA PAZ VILLALOBOS</t>
  </si>
  <si>
    <t>NEUMONÍA ATÍPICA GRAVE</t>
  </si>
  <si>
    <t>R-LR-005-2022</t>
  </si>
  <si>
    <t>66006</t>
  </si>
  <si>
    <t>ARISTIDES MORENO FRANCIA</t>
  </si>
  <si>
    <t>PARO CARDIORRESPIRATORIO DEBIDO A ACCIDENTE CEREBROVASCULAR HEMORRÁGICO MAS SECUELAS NEUROLÓGICAS</t>
  </si>
  <si>
    <t>R-LR-006-2022</t>
  </si>
  <si>
    <t>04878</t>
  </si>
  <si>
    <t>HORTENSIA DE LOS ÁNGELES RIVAS DE MAGAÑA</t>
  </si>
  <si>
    <t>PARO CARDIORRESPIRATORIO</t>
  </si>
  <si>
    <t>CHALATENANGO</t>
  </si>
  <si>
    <t>R-LR-007-2022</t>
  </si>
  <si>
    <t>67798</t>
  </si>
  <si>
    <t>NORMA ELIZABETH CAMPOS DE CERNA</t>
  </si>
  <si>
    <t>DIABETES MELLITUS 2,NEUMONIA ASPIRATIVA, TRAUMA CRANEOENCEFÁLICO SEVERO.</t>
  </si>
  <si>
    <t>R-LR-008-2022</t>
  </si>
  <si>
    <t>02342</t>
  </si>
  <si>
    <t>JOAQUÍN PERLA SERRANO</t>
  </si>
  <si>
    <t>SÍNDROME DE RESPUESTA INFLAMATORIA, SISTÉMICA DE ORÍGEN INFECCIOSO, CON FALLA ORGÁNICA, CHOQUE SÉPTICO, NEUMONÍA NO ESPECIFICADA, COVID-19</t>
  </si>
  <si>
    <t>R-LR-009-2022</t>
  </si>
  <si>
    <t>10449</t>
  </si>
  <si>
    <t>CARLOS GABRIEL ALVARENGA MELGAR</t>
  </si>
  <si>
    <t>HIPERTENSIÓN ENDOGRANEANA, INFARTO AGUDO A MIOCARDIO</t>
  </si>
  <si>
    <t>R-LR-010-2022</t>
  </si>
  <si>
    <t>12123</t>
  </si>
  <si>
    <t>GLADIS JOSEFINA ESCOBAR ALAS</t>
  </si>
  <si>
    <t>CHOQUE SÉPTICO, OBSTRUCCIÓN URETERAL POR CATETER DOBLE "J", PIOURETROSIS, COAGULACIÓN INTRAVASCULAR DISEMINADA</t>
  </si>
  <si>
    <t>MARICEL</t>
  </si>
  <si>
    <t>R-LR-011-2022</t>
  </si>
  <si>
    <t>38635</t>
  </si>
  <si>
    <t>DAVID HERNANDEZ CASTILLO</t>
  </si>
  <si>
    <t>COVID GUION DIECINUEVE</t>
  </si>
  <si>
    <t>R-LR-012-2022</t>
  </si>
  <si>
    <t>60699</t>
  </si>
  <si>
    <t>DAVID ERNESTO MELENDEZ ORTIZ</t>
  </si>
  <si>
    <t>TRAUMA CRANEOENCEFALICO SEVERO CONTUSO</t>
  </si>
  <si>
    <t>R-LR-013-2022</t>
  </si>
  <si>
    <t>53002</t>
  </si>
  <si>
    <t>IDALAI JEANNETTE MOLINA DE ZELEDÓN</t>
  </si>
  <si>
    <t>SEPSIS, FALLA HEPÁTICA CRÓNICA, CÁNCER DE RECTO.</t>
  </si>
  <si>
    <t>R-LR-014-2022</t>
  </si>
  <si>
    <t>63883</t>
  </si>
  <si>
    <t>ANA GLORIA COLORADO DE GONZÁLEZ</t>
  </si>
  <si>
    <t>PARO CARDIORESPIRATORIO A CONSECUENCIA DE HEPATOCARCINOMA</t>
  </si>
  <si>
    <t>R-LR-015-2022</t>
  </si>
  <si>
    <t>10674</t>
  </si>
  <si>
    <t>MARÍA ELIAN HERNÁNDEZ</t>
  </si>
  <si>
    <t>PARO CARDIORESPIRATORIO, DESNUTRICIÓN SEVERA</t>
  </si>
  <si>
    <t>R-LR-016-2022</t>
  </si>
  <si>
    <t>06541</t>
  </si>
  <si>
    <t>LUIS ALFONSO FLORES LEIVA</t>
  </si>
  <si>
    <t>NEUMONIA ASPIRATIVA</t>
  </si>
  <si>
    <t>R-LR-017-2022</t>
  </si>
  <si>
    <t>54954</t>
  </si>
  <si>
    <t>PATRICIA LORENA ROMERO DE VALDEZ</t>
  </si>
  <si>
    <t>R-LR-018-2022</t>
  </si>
  <si>
    <t>08223</t>
  </si>
  <si>
    <t>SANDRA LORENA NOLASCO SANTILLANA DE ARGUMEDO</t>
  </si>
  <si>
    <t>SINDROME DE DIFICULTAD RESPIRATORIO DEL ADULTO</t>
  </si>
  <si>
    <t>CECY COMPLETAR LUGARES</t>
  </si>
  <si>
    <t>R-LR-019-2022</t>
  </si>
  <si>
    <t>05505</t>
  </si>
  <si>
    <t>MARÍA CONSULO AMINTA CAMPOS CAMPOS</t>
  </si>
  <si>
    <t>NEUMONÍA POR ASPIRACIÓN</t>
  </si>
  <si>
    <t>R-LR-020-2022</t>
  </si>
  <si>
    <t>13520</t>
  </si>
  <si>
    <t>CARLOS ROBERTO MACHADO</t>
  </si>
  <si>
    <t>SHOCK SÉPTICO SECUNDARIO A UROSÉPSIS</t>
  </si>
  <si>
    <t>R-LR-021-2022</t>
  </si>
  <si>
    <t>65164</t>
  </si>
  <si>
    <t>JUAN ANTONIO ESCOBAR GONZÁLEZ</t>
  </si>
  <si>
    <t>R-LR-022-2022</t>
  </si>
  <si>
    <t>70073</t>
  </si>
  <si>
    <t>JOSÉ ROBERTO ALBANÉS</t>
  </si>
  <si>
    <t>SINDROME RESPIRATORIO AGUDO GRAVE, COVID-19, DIABETES MELLITUS ESPECIFICADA, SIN MENCIÓN DE COMPLICACIONES, HIPERTENSIÓN ESCENCIAL PRIMARIA</t>
  </si>
  <si>
    <t>R-LR-023-2022</t>
  </si>
  <si>
    <t>22108</t>
  </si>
  <si>
    <t>EVA GIRÓN VDA. DE HURTADO</t>
  </si>
  <si>
    <t>NEUMONÍA</t>
  </si>
  <si>
    <t>R-LR-024-2022</t>
  </si>
  <si>
    <t>43179</t>
  </si>
  <si>
    <t>RICARDO ANTONIO ARAUJO AMAYA</t>
  </si>
  <si>
    <t>CAUSA DESCONOCIDA</t>
  </si>
  <si>
    <t>R-LR-025-2022</t>
  </si>
  <si>
    <t>61301</t>
  </si>
  <si>
    <t>ISRAEL ANTONIO CALZADILLA MISMIT</t>
  </si>
  <si>
    <t>CÁNCER GÁSTRICO</t>
  </si>
  <si>
    <t>R-LR-026-2022</t>
  </si>
  <si>
    <t>13678</t>
  </si>
  <si>
    <t>JOSÉ OVED ALAS ALFARO</t>
  </si>
  <si>
    <t>R-LR-027-2022</t>
  </si>
  <si>
    <t>04325</t>
  </si>
  <si>
    <t>DAVID NAPOLEÓN LUNA CÁRCAMO</t>
  </si>
  <si>
    <t>CÁNCER DE TIROIDES, CHOQUE CARDIOGÉNICO, VENTILACIÓN MECÁNICA E INSUFICIENCIA RESPIRATORIA AGUDA.</t>
  </si>
  <si>
    <t>R-LR-028-2022</t>
  </si>
  <si>
    <t>00454</t>
  </si>
  <si>
    <t>ROSA LYDIA CALDERÓN VDA. DE LÓPEZ</t>
  </si>
  <si>
    <t>SHOCK MIXTO</t>
  </si>
  <si>
    <t>R-LR-029-2022</t>
  </si>
  <si>
    <t>34030</t>
  </si>
  <si>
    <t>ANA MIRIAM RETANA DE UMAÑA</t>
  </si>
  <si>
    <t>OTRAS FORMAS DE CHOQUE, COVID DIECINUEVE, HIPERTENSIÓN ESENCIAL (PRIMARIA)</t>
  </si>
  <si>
    <t>R-LR-030-2022</t>
  </si>
  <si>
    <t>66018</t>
  </si>
  <si>
    <t>JOSÉ HUMBERTO LÓPEZ VILLANUEVA</t>
  </si>
  <si>
    <t>ENCEFALOPATÍA URÉMICA, NEUMONÍA ASOCIADA A SERVICIOS DE SALUD, NEFROPATÍA CRÓNICA EN HEMODIALISIS, DIABETES MELLITUS TIPO 2, HIPERTENSIÓN ARTERIAL.</t>
  </si>
  <si>
    <t>HONDURAS</t>
  </si>
  <si>
    <t>R-LR-031-2022</t>
  </si>
  <si>
    <t>18397</t>
  </si>
  <si>
    <t>MARTHA ANTONIA PORTILLO ORELLANA DE APARICIO</t>
  </si>
  <si>
    <t>NEOPLASIA DE OVARIO CON METASTASIS</t>
  </si>
  <si>
    <t>R-LR-032-2022</t>
  </si>
  <si>
    <t>24949</t>
  </si>
  <si>
    <t>MARIETA ISABEL CORTEZ DE CRUZ</t>
  </si>
  <si>
    <t>ANEMIA SEVERA MÁS DESHEQUILIBRIO ELECTROLÍTICO</t>
  </si>
  <si>
    <t>R-LR-033-2022</t>
  </si>
  <si>
    <t>11673</t>
  </si>
  <si>
    <t>ADELA ESPERANZA REYES DE HERNÁNDEZ</t>
  </si>
  <si>
    <t>SINDROME DE DISTRES RESPIRATORIO AGUDO SEVERO, NEUMONÍA. OTRA CAUSA DEL FALLECIMIENTO FUE POR : COVID-19 VIRUS IDENTIFICADO.</t>
  </si>
  <si>
    <t>R-LR-034-2022</t>
  </si>
  <si>
    <t>03711</t>
  </si>
  <si>
    <t>EFRAIN GRANADOS SÁNCHEZ</t>
  </si>
  <si>
    <t>INSUFICIENCIA RENAL CRÓNICA</t>
  </si>
  <si>
    <t>R-LR-035-2022</t>
  </si>
  <si>
    <t>14602</t>
  </si>
  <si>
    <t>ELVA GUADALUPE ORTIZ DE GUILLÉN</t>
  </si>
  <si>
    <t>DESNUTRICIÓN SEVERA, MÁS SANGRAMIENTO DE TUBO DIGESTIVO SUPERIOR</t>
  </si>
  <si>
    <t>R-LR-036-2022</t>
  </si>
  <si>
    <t>52477</t>
  </si>
  <si>
    <t>JOSÉ MISAEL CARTAGENA</t>
  </si>
  <si>
    <t>CIRROSIS HEPÁTICA</t>
  </si>
  <si>
    <t>R-LR-037-2022</t>
  </si>
  <si>
    <t>11171</t>
  </si>
  <si>
    <t>JULIÁN ARTURO MARROQUÍN</t>
  </si>
  <si>
    <t>CHOQUE DISTRIBUTIVO, PANCREATITIS AGUDA, ENFERMEDADD RENAL CRÓNICA</t>
  </si>
  <si>
    <t>R-LR-038-2022</t>
  </si>
  <si>
    <t>02616</t>
  </si>
  <si>
    <t>MANUEL DE JESÚS HERNÁNDEZ GALDAMEZ</t>
  </si>
  <si>
    <t>NEUMONÍA ADQUIRIDA EN LA COMUNIDAD</t>
  </si>
  <si>
    <t>R-LR-039-2022</t>
  </si>
  <si>
    <t>23581</t>
  </si>
  <si>
    <t>MARÍA ESTER URBINA VDA. DE GIRÓN</t>
  </si>
  <si>
    <t>INFARTO AGUDO DE MIOCARDIO</t>
  </si>
  <si>
    <t>MORAZÁN</t>
  </si>
  <si>
    <t>R-LR-040-2022</t>
  </si>
  <si>
    <t>19568</t>
  </si>
  <si>
    <t>DILMA DEL CARMEN CRUZ DE LUNA</t>
  </si>
  <si>
    <t>CHOQUE SÉPTICO, NEUMONÍA SEVERA, CÁNCER GÁSTRICO</t>
  </si>
  <si>
    <t>LA UNIÓN</t>
  </si>
  <si>
    <t>R-LR-041-2022</t>
  </si>
  <si>
    <t>13717</t>
  </si>
  <si>
    <t>JOSÉ MANUEL PEREIRA PAZ</t>
  </si>
  <si>
    <t>R-LR-042-2022</t>
  </si>
  <si>
    <t>51936</t>
  </si>
  <si>
    <t>CÁNDIDA ISABEL MENDOZA CÁRCAMO</t>
  </si>
  <si>
    <t>R-LR-043-2022</t>
  </si>
  <si>
    <t>14341</t>
  </si>
  <si>
    <t>JOSÉ CRISTOBAL COLÓN ALAS</t>
  </si>
  <si>
    <t>CHOQUE SEPTICO, COVID GUION DIECINUEVE</t>
  </si>
  <si>
    <t>R-LR-044-2022</t>
  </si>
  <si>
    <t>06018</t>
  </si>
  <si>
    <t>LUIS IGNACIO MOREIRA MAGAÑA</t>
  </si>
  <si>
    <t>FALLA MUTISISTEMICA POR CANCER HEPATICO METASTASICO PULMONAR ESTADIO CUATRO GUION B</t>
  </si>
  <si>
    <t>R-LR-045-2022</t>
  </si>
  <si>
    <t>00859</t>
  </si>
  <si>
    <t>MARÍA VIRGINIA NUÑEZ DE ORELLANA</t>
  </si>
  <si>
    <t>CÁNCER DE MAMA AVANZADO</t>
  </si>
  <si>
    <t>R-LR-046-2022</t>
  </si>
  <si>
    <t>23058</t>
  </si>
  <si>
    <t>ZOILA ETELIA QUIJANO DE BAIZA</t>
  </si>
  <si>
    <t>R-LR-047-2022</t>
  </si>
  <si>
    <t>68504</t>
  </si>
  <si>
    <t>ANA LILIAN MORALES DE SAAVEDRA</t>
  </si>
  <si>
    <t>SÉPSIS</t>
  </si>
  <si>
    <t>R-LR-048-2022</t>
  </si>
  <si>
    <t>48241</t>
  </si>
  <si>
    <t>ROXANA MARISOL VENTURA DE ORTIZ</t>
  </si>
  <si>
    <t>NEUMONÍA BILATERAL GRAVE, SHOCK SÉTTICO, HEPATOLOGÍA CRÓNICA, SÍNDROME HEPATORRENAL</t>
  </si>
  <si>
    <t>R-LR-049-2022</t>
  </si>
  <si>
    <t>33642</t>
  </si>
  <si>
    <t>ROSA ELIZABETH SANTÉLIZ MONTOYA</t>
  </si>
  <si>
    <t>COMA HEPÁTICO, METASTÁSIS PULMONAR, CÁNCER DE MAMA</t>
  </si>
  <si>
    <t>R-LR-050-2022</t>
  </si>
  <si>
    <t>05014</t>
  </si>
  <si>
    <t>BERTA DE LOS ÁNGELES GUILLÉN RAMOS DE COREAS</t>
  </si>
  <si>
    <t>INSUFICIENCIA RESPIRATORIA AGUDA, COVID POSITIVO</t>
  </si>
  <si>
    <t>R-LR-051-2022</t>
  </si>
  <si>
    <t>26656</t>
  </si>
  <si>
    <t>FRANCISCO ORLANDO PÉREZ RAMOS</t>
  </si>
  <si>
    <t>PANDREATITIS HEMORRAGICA</t>
  </si>
  <si>
    <t>R-LR-052-2022</t>
  </si>
  <si>
    <t>06057</t>
  </si>
  <si>
    <t>SANTOS VIDAL HERNÁNDEZ OSORIO</t>
  </si>
  <si>
    <t>NEUMONIA ASOCIADA A COVID-19 Y ENFERMEDAD RENAL CRONICA</t>
  </si>
  <si>
    <t>R-LR-053-2022</t>
  </si>
  <si>
    <t>52261</t>
  </si>
  <si>
    <t>YANIRA IVETH YANES ARBAIZA</t>
  </si>
  <si>
    <t>EDEMA AGUDO DE PULMÓN, (CAUSA PRELIMINAR, PENDIENTE DE ESTUDIOS COMPLEMENTARIOS)</t>
  </si>
  <si>
    <t>R-LR-054-2022</t>
  </si>
  <si>
    <t>29469</t>
  </si>
  <si>
    <t>JOSE RICARDO SEGOVIA PINEDA</t>
  </si>
  <si>
    <t>R-LR-055-2022</t>
  </si>
  <si>
    <t>65636</t>
  </si>
  <si>
    <t>ROXANA CAROLINA NOLASCO TORRES</t>
  </si>
  <si>
    <t>SÍNDROME DE DIFICULTAD RESPIRATORIA DEL ADULTO, CHOQUE SÉPTICO, COVID GUIÓN DIECINUEVE</t>
  </si>
  <si>
    <t>R-LR-056-2022</t>
  </si>
  <si>
    <t>00627</t>
  </si>
  <si>
    <t>JOSÉ RICARDO ARGUETA BARILLAS</t>
  </si>
  <si>
    <t>INSUFICIENCIA CARDIACA, HIPERTENSIÓN ARTERIAL</t>
  </si>
  <si>
    <t>R-LR-057-2022</t>
  </si>
  <si>
    <t>39200</t>
  </si>
  <si>
    <t>OSCAR ARMANDO MELGAR AYALA</t>
  </si>
  <si>
    <t>R-LR-058-2022</t>
  </si>
  <si>
    <t>22473</t>
  </si>
  <si>
    <t>DINA DOLORES DÍAZ DE ROMERO</t>
  </si>
  <si>
    <t>CHOQUE SÉPTICO, FALLA RENAL AGUDA, NEUMONÍA NOSOCOMIAL</t>
  </si>
  <si>
    <t>R-LR-059-2022</t>
  </si>
  <si>
    <t>22040</t>
  </si>
  <si>
    <t>GLORIA RIVAS DE MENJÍVAR</t>
  </si>
  <si>
    <t>PARO CARDIORRESPIRATORIO, DIABETES MELLITUS, HIPERTENSIÓN ARTERIAL</t>
  </si>
  <si>
    <t>R-LR-060-2022</t>
  </si>
  <si>
    <t>74120</t>
  </si>
  <si>
    <t>GERSON LEONARDO ALFARO ZEPEDA</t>
  </si>
  <si>
    <t>INFARTO AGUDO AL MIOCARDIO</t>
  </si>
  <si>
    <t>R-LR-061-2022</t>
  </si>
  <si>
    <t>08321</t>
  </si>
  <si>
    <t>MARÍA ASTRID AVILÉS DE QUEZADA</t>
  </si>
  <si>
    <t>INFARTO AGUDO DEL MIOCARDIO, CARDIOPATÍA ISQUEMICA</t>
  </si>
  <si>
    <t>R-LR-062-2022</t>
  </si>
  <si>
    <t>23655</t>
  </si>
  <si>
    <t>LAURA ADILIA PANAMEÑO VDA. DE ESCOTO</t>
  </si>
  <si>
    <t>PARO CARDIO RESPIRATORIO, ABDOMEN AGUDO OBSTRUIDO</t>
  </si>
  <si>
    <t>R-LR-063-2022</t>
  </si>
  <si>
    <t>17976</t>
  </si>
  <si>
    <t>ANA FIDELIA BENÍTEZ JOVEL</t>
  </si>
  <si>
    <t>DEMENCIA CEREBROVASCULAR TIPO ALZHEIMER, SANGRAMIENTO TUBO DIGESTIVO SUPERIOR, PARO CARDIORRESPIRATORIO</t>
  </si>
  <si>
    <t>R-LR-064-2022</t>
  </si>
  <si>
    <t>66712</t>
  </si>
  <si>
    <t>NESTOR AUGUSTO HERNÁNDEZ MARTÍNEZ</t>
  </si>
  <si>
    <t>NEUMONÍA, HISTOPLASMOSIS SISTÉMICA, TUBERCULOSIS PULMONAR, SINDROME DE INMUNODEFICIENCIA ADQUIRIDA.</t>
  </si>
  <si>
    <t>R-LR-065-2022</t>
  </si>
  <si>
    <t>09471</t>
  </si>
  <si>
    <t>JUAN PABLO HERNÁNDEZ ALVARADO</t>
  </si>
  <si>
    <t>CHOQUE SÉPTICO, NEUMONÍA ASPIRATIVA, MENINGITIS, EPILEPSIA</t>
  </si>
  <si>
    <t>R-LR-066-2022</t>
  </si>
  <si>
    <t>70329</t>
  </si>
  <si>
    <t>JOSÉ MAURICIO VILLALTA MEJÍA</t>
  </si>
  <si>
    <t>SANGRADO DE TUBO DIGESTIVO SUPERIOR, CETOACIDOSIS DIABETICA</t>
  </si>
  <si>
    <t>R-LR-067-2022</t>
  </si>
  <si>
    <t>04917</t>
  </si>
  <si>
    <t>GERARDO CHILIN CHAVEZ</t>
  </si>
  <si>
    <t>R-LR-068-2022</t>
  </si>
  <si>
    <t>06738</t>
  </si>
  <si>
    <t>MARÍA YOLANDA GUZMÁN ARÉVALO DE MOLINA</t>
  </si>
  <si>
    <t>NEUMONÍA GRAVE, SOSPECHA DE COVID-19, HIPERTENSIÓN ARTERIAL CRÓNICA</t>
  </si>
  <si>
    <t>R-LR-069-2022</t>
  </si>
  <si>
    <t>51398</t>
  </si>
  <si>
    <t>ANA ELIZABETH FIGUEROA ZEPEDA</t>
  </si>
  <si>
    <t>CÁNCER DE OVARIO, CARCINOMATOSIS, PARO CARDIORESPIRATORIO</t>
  </si>
  <si>
    <t>R-LR-070-2022</t>
  </si>
  <si>
    <t>00344</t>
  </si>
  <si>
    <t>RENÉ ANTONIO RAMOS</t>
  </si>
  <si>
    <t>PARO CARDIO-RESPIRATORIO, INFARTO AGUDO AL MIOCARDIO E HIPERTENCIÓN ARTERIAL CRÓNICA</t>
  </si>
  <si>
    <t>R-LR-071-2022</t>
  </si>
  <si>
    <t>61783</t>
  </si>
  <si>
    <t>SARA ELIZABETH LINARES DE MEJÍA</t>
  </si>
  <si>
    <t>ESCLEROSIS LATERAL AMIOTRÓFICA, PARO RESPIRATORIO.</t>
  </si>
  <si>
    <t>R-LR-072-2022</t>
  </si>
  <si>
    <t>38065</t>
  </si>
  <si>
    <t>JOSÉ AMADEO ARANIVA MARAVILLA</t>
  </si>
  <si>
    <t>CESE DE FUNCIONES VITALES POR CARDIOPATIA DIABETICA</t>
  </si>
  <si>
    <t>R-LR-073-2022</t>
  </si>
  <si>
    <t>53409</t>
  </si>
  <si>
    <t>LUIS FRANCISCO ARREAGA</t>
  </si>
  <si>
    <t>NEUMONÍA POR COVID-19, ENFERMEDAD RENAL CRÓNICA V</t>
  </si>
  <si>
    <t>R-LR-074-2022</t>
  </si>
  <si>
    <t>02578</t>
  </si>
  <si>
    <t>MYRIAM TERESA MENJÍVAR DÍAZ</t>
  </si>
  <si>
    <t>NEUMONÍA POR COVID-19</t>
  </si>
  <si>
    <t>R-LR-075-2022</t>
  </si>
  <si>
    <t>21958</t>
  </si>
  <si>
    <t>MARTA ALFARO DE MENDOZA</t>
  </si>
  <si>
    <t>R-LR-076-2022</t>
  </si>
  <si>
    <t>49083</t>
  </si>
  <si>
    <t>RAÚL ANTONIO SANABRIA CAMPOS</t>
  </si>
  <si>
    <t>CHOQUE SÉPTICO, ACIDOSIS, COVID GUIÓN DIECINUEVE</t>
  </si>
  <si>
    <t>R-LR-077-2022</t>
  </si>
  <si>
    <t>67042</t>
  </si>
  <si>
    <t>RICARDO MORALES CUELLAR</t>
  </si>
  <si>
    <t>HIPERTENSION ARTERIAL, HEPATOCARCINOMA, INSUFICIENCIA CARDIACA</t>
  </si>
  <si>
    <t>R-LR-078-2022</t>
  </si>
  <si>
    <t>11902</t>
  </si>
  <si>
    <t>FRANCISCA RODRIGUEZ CASTILLO</t>
  </si>
  <si>
    <t>INSUFICIENCIA CARDIACA CLASE FUNCIONAL IV MAS ARRIRMIA CARDIACA</t>
  </si>
  <si>
    <t>R-LR-079-2022</t>
  </si>
  <si>
    <t>14295</t>
  </si>
  <si>
    <t>DOLORES ELIDA MORENO DE MARIN</t>
  </si>
  <si>
    <t>SINDROME DE DIFICULTAD RESPIRATORIA ADULTO, SHOQUE SÉPTICO, ABDOMEN AGUDO, COVID GUIÓN DIECINUEVE</t>
  </si>
  <si>
    <t>R-LR-080-2022</t>
  </si>
  <si>
    <t>13284</t>
  </si>
  <si>
    <t>JOSÉ TOMAS PLATERO RAMÍREZ</t>
  </si>
  <si>
    <t>SINDROME RESPIRATORIO AGUDO GRAVE, COVID GUION DIECINUEVE, HIPERTENSION ESENCIAL PRIMARIA</t>
  </si>
  <si>
    <t>R-LR-081-2022</t>
  </si>
  <si>
    <t>06416</t>
  </si>
  <si>
    <t>JOSÉ ANGEL CLAUDIO CHÁVEZ ASCENCIO</t>
  </si>
  <si>
    <t>SINDROME DE DISTRES RESPIRATORIO AGUDO, NEUMONIA ASPIRATIVA</t>
  </si>
  <si>
    <t>R-LR-082-2022</t>
  </si>
  <si>
    <t>11449</t>
  </si>
  <si>
    <t>JOSÉ LUIS SÁNCHEZ ARIAS</t>
  </si>
  <si>
    <t>HEPATOCARCINOMA CON METÁSTASIS, PARO CARDIORRESPIRATORIO</t>
  </si>
  <si>
    <t>R-LR-083-2022</t>
  </si>
  <si>
    <t>14418</t>
  </si>
  <si>
    <t>ORFILIA RUTH TÓCHEZ PÉREZ</t>
  </si>
  <si>
    <t>R-LR-084-2022</t>
  </si>
  <si>
    <t>01326</t>
  </si>
  <si>
    <t>HORTENSIA MAGARÍN VDA. DE RAMÍREZ</t>
  </si>
  <si>
    <t>f</t>
  </si>
  <si>
    <t>HIPOPARATIROIDISMO, ASMA, HIPERTENSIÓN ARTERIAL, CANCER DE TIROIDES, CIRROSIS HEPÁTICA</t>
  </si>
  <si>
    <t>R-LR-085-2022</t>
  </si>
  <si>
    <t>23503</t>
  </si>
  <si>
    <t>VICTOR AMILCAR VELASQUEZ</t>
  </si>
  <si>
    <t>R-LR-086-2022</t>
  </si>
  <si>
    <t>22217</t>
  </si>
  <si>
    <t>OLGA AYALA VDA. DE PADILLA</t>
  </si>
  <si>
    <t>INSUFICIENCIA RESPIRATORIA</t>
  </si>
  <si>
    <t>R-LR-087-2022</t>
  </si>
  <si>
    <t>43806</t>
  </si>
  <si>
    <t>ALMA CECILIA GARCÍA DE JARQUÍN</t>
  </si>
  <si>
    <t>CÁNCER DE PÁNCREAS AVANZADO, MÁS METASTÁSIS HEPÁTICAS</t>
  </si>
  <si>
    <t>R-LR-088-2022</t>
  </si>
  <si>
    <t>22097</t>
  </si>
  <si>
    <t>JESÚS EMILIA GARAY DE FLORES</t>
  </si>
  <si>
    <t>INFARTO AGUDO A MIOCARDIO</t>
  </si>
  <si>
    <t>R-LR-089-2022</t>
  </si>
  <si>
    <t>18273</t>
  </si>
  <si>
    <t>JULIO CÉSAR VELIS MALDONADO</t>
  </si>
  <si>
    <t>SHOCK NEUROGÉNICO, EVENTO CEREBROVASCULAR</t>
  </si>
  <si>
    <t>R-LR-090-2022</t>
  </si>
  <si>
    <t>22070</t>
  </si>
  <si>
    <t>EDIT ORLANDA SÁNCHEZ</t>
  </si>
  <si>
    <t>PARO CARDIORESPIRATORIO, SHOCK HIPOVOLÉMICO, NEUMONÍA ASPIRATIVA, CANCER DE MAMA</t>
  </si>
  <si>
    <t>R-LR-091-2022</t>
  </si>
  <si>
    <t>18320</t>
  </si>
  <si>
    <t>MANUEL ALFONSO PÉREZ SARAVIA</t>
  </si>
  <si>
    <t>FALLA MULTIORGÁNICA, HIPERPLASIA PROSTÁTICA, NEOPLASIA DE VEJIGA, HIPERTENSIÓN ARTERIAL</t>
  </si>
  <si>
    <t>R-LR-092-2022</t>
  </si>
  <si>
    <t>71224</t>
  </si>
  <si>
    <t>RENÉ MAURICIO CUBIAS LARA</t>
  </si>
  <si>
    <t>INSUFICIENCIA RESPIRATORIA AGUDA</t>
  </si>
  <si>
    <t>R-LR-093-2022</t>
  </si>
  <si>
    <t>17104</t>
  </si>
  <si>
    <t>ANA DOLORES FLORES NAVARRETE</t>
  </si>
  <si>
    <t>SHOCK DISTRIBUTIVO REFRACTARIO, ESTADO EPILÉPTICO SUPERRREFRACTARIO, ENFERMEDAD RENAL CRÓNICA, HIPERTENSIÓN ARTERIAL CRÓNICA.</t>
  </si>
  <si>
    <t>R-LR-094-2022</t>
  </si>
  <si>
    <t>59665</t>
  </si>
  <si>
    <t>CONCEPCIÓN DE MARIA ARIAS DE MARTINEZ</t>
  </si>
  <si>
    <t>METASTASIS A DISTANCIA, CANCER DE UTERO</t>
  </si>
  <si>
    <t>R-LR-095-2022</t>
  </si>
  <si>
    <t>06221</t>
  </si>
  <si>
    <t>JOSÉ VICENTE NÚÑEZ ALFARO</t>
  </si>
  <si>
    <t>PARO CARDIACO, ACCIDENTE CEREBRO VASCULAR</t>
  </si>
  <si>
    <t>R-LR-096-2022</t>
  </si>
  <si>
    <t>22105</t>
  </si>
  <si>
    <t>MARÍA ANGELA RAMÍREZ</t>
  </si>
  <si>
    <t>SEPTICEMIA, ULCERAS SACRAS INFECTADAS, INFECCIÓN DE VÍAS URINARIAS, FRACTURA DE CADERA</t>
  </si>
  <si>
    <t>R-LR-097-2022</t>
  </si>
  <si>
    <t>33533</t>
  </si>
  <si>
    <t>RENÉ MAURICIO PEÑATE</t>
  </si>
  <si>
    <t>EDEMA Y HEMORRAGIA PULMONAR, EDEMA CEREBRAL Y CEREBELO, NECROSIS TUBULAR RENAL AGUDO, CONCESTION HEPATICA</t>
  </si>
  <si>
    <t>R-LR-098-2022</t>
  </si>
  <si>
    <t>21873</t>
  </si>
  <si>
    <t>MARIA RUBENIA ALDANA DE ÁVALOS</t>
  </si>
  <si>
    <t>PARO CARDIACO NO ESPECIFICADO, INSUFICIENCIA RESPIRATORIA AGUDA, SÍNDROME CHOQUE TOXICO, NEUMONÍA ADQUIRIDA EN LA COMUNIDAD</t>
  </si>
  <si>
    <t>R-LR-099-2022</t>
  </si>
  <si>
    <t>21863</t>
  </si>
  <si>
    <t>LILIAN DELMI APARICIO DE PINEDA</t>
  </si>
  <si>
    <t>OBSTRUCCIÓN DE SALIDAS GÁSTRICA, METASTÁSIS DE CÁNCER DE PÁNCREAS</t>
  </si>
  <si>
    <t>R-LR-100-2022</t>
  </si>
  <si>
    <t>11337</t>
  </si>
  <si>
    <t>JULIO ADALBERTO MEJÍA MOLINA</t>
  </si>
  <si>
    <t>SHOCK CARDIOGENICO</t>
  </si>
  <si>
    <t>R-LR-101-2022</t>
  </si>
  <si>
    <t>47294</t>
  </si>
  <si>
    <t>IMELDA ARELY ROMERO RUGAMAS</t>
  </si>
  <si>
    <t>POLITRAUMATISMO DE TIPO CONTUSO</t>
  </si>
  <si>
    <t>R-LR-102-2022</t>
  </si>
  <si>
    <t>12283</t>
  </si>
  <si>
    <t>FRANCISCO ZEPEDA MIRA</t>
  </si>
  <si>
    <t>CHOQUE SÉPTICO + COVID-19 + DIABETES MELLITUS TIPO INSULINODEPENDIENTE + ANEMIA HEMOLÍTICA ADQUIRIDA</t>
  </si>
  <si>
    <t>R-LR-103-2022</t>
  </si>
  <si>
    <t>07534</t>
  </si>
  <si>
    <t>SALVADOR RAFAEL VILLAFUERTE VICENTE</t>
  </si>
  <si>
    <t>PARO CARDIORESPIRATORIO, PERITONITIS ABDOMINAL</t>
  </si>
  <si>
    <t>R-LR-104-2022</t>
  </si>
  <si>
    <t>15176</t>
  </si>
  <si>
    <t>ANTONIA GUADALUPE RODRIGUEZ DE DUARTE</t>
  </si>
  <si>
    <t>ARRITMIA VENTRICULAR MÁS HIPERKALEMIA SEVERA MÁS INJURA RENAL AGUDA</t>
  </si>
  <si>
    <t>R-LR-105-2022</t>
  </si>
  <si>
    <t>20333</t>
  </si>
  <si>
    <t>JESÚS MERCEDES SÁNCHEZ OVIEDO</t>
  </si>
  <si>
    <t>INFARTO DE MIOCARDIO</t>
  </si>
  <si>
    <t>R-LR-106-2022</t>
  </si>
  <si>
    <t>37708</t>
  </si>
  <si>
    <t>ERNESTO MARTÍNEZ</t>
  </si>
  <si>
    <t>R-LR-107-2022</t>
  </si>
  <si>
    <t>21529</t>
  </si>
  <si>
    <t>ANA MARÍA DEL CARMEN ROMERO DE HENRÍQUEZ</t>
  </si>
  <si>
    <t>TROMBOEMBOLISMO PULMONAR, INFARTO AGUDO DE MIOCARDIO, FRACTURA DE FÉMUR IZQUIERDO, HIPERTENSIÓN ARTERIAL</t>
  </si>
  <si>
    <t>R-LR-108-2022</t>
  </si>
  <si>
    <t>21758</t>
  </si>
  <si>
    <t>MARÍA SUSANA MÁRQUEZ</t>
  </si>
  <si>
    <t>DIABETES MELLITUS TIPO 2, CARDIOPATÍA CRÓNICA Y PARO CARDIORRESPIRATORIO</t>
  </si>
  <si>
    <t>R-LR-109-2022</t>
  </si>
  <si>
    <t>48391</t>
  </si>
  <si>
    <t>DIGNA EMÉRITA VENTURA DE HERNÁNDEZ</t>
  </si>
  <si>
    <t>TUMOR MALIGNO DE ESTÓMAGO G IV, CON METÁSTASIS A MÚLTIPLES ÓRGANOS</t>
  </si>
  <si>
    <t>R-LR-110-2022</t>
  </si>
  <si>
    <t>08084</t>
  </si>
  <si>
    <t>JOSEFINA ARMIDA HERRERA CALDERÓN</t>
  </si>
  <si>
    <t>SINDROME DE RESPUESTA INFLAMATORIA SISTEMICA DE ORIGEN INFECCIOSO, CON FALLA ORGANICA, CHOQUE SEPTICO, HEMORRAGIA GASTROINTESTINAL, NO ESPECIFICADA, COVID GUION DIECINUEVE</t>
  </si>
  <si>
    <t>R-LR-111-2022</t>
  </si>
  <si>
    <t>28285</t>
  </si>
  <si>
    <t>CARLOS ALBERTO MACHUCA SERPAS</t>
  </si>
  <si>
    <t>R-LR-112-2022</t>
  </si>
  <si>
    <t>17244</t>
  </si>
  <si>
    <t>ALBERTO CISNEROS DÍAZ</t>
  </si>
  <si>
    <t>HEMORRAGIA TUVO DIGESTIVO, ANTICOAGULANTE</t>
  </si>
  <si>
    <t>R-LR-113-2022</t>
  </si>
  <si>
    <t>21911</t>
  </si>
  <si>
    <t>LIDIA MARGARITA ASCENCIO</t>
  </si>
  <si>
    <t>R-LR-114-2022</t>
  </si>
  <si>
    <t>22917</t>
  </si>
  <si>
    <t>CELINA ISABEL MERINO DE MEJÍA</t>
  </si>
  <si>
    <t>SHOCK SÉPTICO POR INFECCIÓN DE VÍAS URINARIAS</t>
  </si>
  <si>
    <t>R-LR-115-2022</t>
  </si>
  <si>
    <t>43237</t>
  </si>
  <si>
    <t>SANTA NOELI REYES DE ALVARENGA</t>
  </si>
  <si>
    <t>COVID-19, SÍNDROME DE RESPUESTA INFLAMATORIA SISTEMA DE ORIGEN INFECCIOSO CON FALLA ORGÁNICA MÁS CHOQUE SÉPTICO</t>
  </si>
  <si>
    <t>R-LR-116-2022</t>
  </si>
  <si>
    <t>23436</t>
  </si>
  <si>
    <t>ISABEL FLORES TAMAYO DE AGUILAR</t>
  </si>
  <si>
    <t>ALZHEIMER AVANZADO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</si>
</sst>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C09]* #,##0.00_-;\-[$$-C09]* #,##0.00_-;_-[$$-C09]* &quot;-&quot;??_-;_-@_-"/>
    <numFmt numFmtId="167" formatCode="dd/mm/yyyy;@"/>
    <numFmt numFmtId="168" formatCode="_([$€]* #,##0.00_);_([$€]* \(#,##0.00\);_([$€]* &quot;-&quot;??_);_(@_)"/>
    <numFmt numFmtId="169" formatCode="&quot;$&quot;#,##0.00;[Red]&quot;$&quot;#,##0.00"/>
  </numFmts>
  <fonts count="7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b/>
      <sz val="4"/>
      <name val="Arial"/>
      <family val="2"/>
    </font>
    <font>
      <sz val="11"/>
      <name val="Museo Sans 300"/>
      <family val="3"/>
    </font>
    <font>
      <sz val="10"/>
      <name val="Museo Sans 300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b/>
      <sz val="14"/>
      <color rgb="FF002060"/>
      <name val="Bembo Std"/>
      <family val="1"/>
    </font>
    <font>
      <b/>
      <sz val="8"/>
      <color theme="1"/>
      <name val="Museo Sans 100"/>
      <family val="3"/>
    </font>
    <font>
      <b/>
      <sz val="9"/>
      <color theme="1"/>
      <name val="Museo Sans 100"/>
      <family val="3"/>
    </font>
    <font>
      <b/>
      <sz val="11"/>
      <color theme="1"/>
      <name val="Museo Sans 100"/>
      <family val="3"/>
    </font>
    <font>
      <b/>
      <sz val="7"/>
      <color theme="1"/>
      <name val="Museo Sans 100"/>
      <family val="3"/>
    </font>
    <font>
      <b/>
      <sz val="6"/>
      <color theme="1"/>
      <name val="Museo Sans 100"/>
      <family val="3"/>
    </font>
    <font>
      <b/>
      <sz val="11"/>
      <color rgb="FFFFFF00"/>
      <name val="Museo Sans 100"/>
      <family val="3"/>
    </font>
    <font>
      <b/>
      <sz val="8"/>
      <color rgb="FFFFFF00"/>
      <name val="Museo Sans 100"/>
      <family val="3"/>
    </font>
    <font>
      <sz val="9"/>
      <color theme="1"/>
      <name val="Museo Sans 100"/>
      <family val="3"/>
    </font>
    <font>
      <b/>
      <sz val="9"/>
      <color rgb="FF7030A0"/>
      <name val="Museo Sans 100"/>
      <family val="3"/>
    </font>
    <font>
      <sz val="8"/>
      <color theme="1"/>
      <name val="Museo Sans 100"/>
      <family val="3"/>
    </font>
    <font>
      <sz val="7"/>
      <color theme="1"/>
      <name val="Museo Sans 100"/>
      <family val="3"/>
    </font>
    <font>
      <sz val="9"/>
      <name val="Museo Sans 100"/>
      <family val="3"/>
    </font>
    <font>
      <sz val="8"/>
      <color rgb="FFFF0000"/>
      <name val="Museo Sans 100"/>
      <family val="3"/>
    </font>
    <font>
      <sz val="9"/>
      <color rgb="FFFF0000"/>
      <name val="Museo Sans 100"/>
      <family val="3"/>
    </font>
    <font>
      <sz val="9"/>
      <color rgb="FF7030A0"/>
      <name val="Museo Sans 100"/>
      <family val="3"/>
    </font>
    <font>
      <sz val="8"/>
      <name val="Museo Sans 100"/>
      <family val="3"/>
    </font>
    <font>
      <b/>
      <sz val="9"/>
      <color theme="9" tint="-0.249977111117893"/>
      <name val="Museo Sans 100"/>
      <family val="3"/>
    </font>
    <font>
      <sz val="9"/>
      <color theme="1"/>
      <name val="Museo Sans 100"/>
    </font>
    <font>
      <sz val="8"/>
      <color theme="1"/>
      <name val="Museo Sans 100"/>
    </font>
    <font>
      <sz val="7"/>
      <color theme="1"/>
      <name val="Museo Sans 100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9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theme="8" tint="0.39997558519241921"/>
      </bottom>
      <diagonal/>
    </border>
    <border>
      <left style="thin">
        <color rgb="FF002060"/>
      </left>
      <right style="thin">
        <color rgb="FF00206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rgb="FF002060"/>
      </left>
      <right style="thin">
        <color rgb="FF002060"/>
      </right>
      <top/>
      <bottom style="thick">
        <color rgb="FF7030A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ck">
        <color rgb="FF7030A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7030A0"/>
      </bottom>
      <diagonal/>
    </border>
    <border>
      <left style="thin">
        <color rgb="FF002060"/>
      </left>
      <right/>
      <top style="thin">
        <color rgb="FF002060"/>
      </top>
      <bottom style="thick">
        <color rgb="FF7030A0"/>
      </bottom>
      <diagonal/>
    </border>
    <border>
      <left style="thin">
        <color auto="1"/>
      </left>
      <right style="thin">
        <color auto="1"/>
      </right>
      <top style="thick">
        <color rgb="FF7030A0"/>
      </top>
      <bottom style="thin">
        <color auto="1"/>
      </bottom>
      <diagonal/>
    </border>
  </borders>
  <cellStyleXfs count="14">
    <xf numFmtId="0" fontId="0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" fillId="0" borderId="0"/>
    <xf numFmtId="0" fontId="2" fillId="0" borderId="0"/>
    <xf numFmtId="0" fontId="22" fillId="0" borderId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76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8" fillId="0" borderId="0" xfId="0" applyFont="1"/>
    <xf numFmtId="0" fontId="0" fillId="0" borderId="0" xfId="0" applyBorder="1"/>
    <xf numFmtId="9" fontId="0" fillId="0" borderId="0" xfId="11" applyFont="1"/>
    <xf numFmtId="0" fontId="7" fillId="0" borderId="0" xfId="0" applyFont="1"/>
    <xf numFmtId="0" fontId="6" fillId="0" borderId="0" xfId="0" applyFont="1" applyBorder="1" applyAlignment="1">
      <alignment horizontal="center"/>
    </xf>
    <xf numFmtId="165" fontId="0" fillId="0" borderId="0" xfId="0" applyNumberFormat="1"/>
    <xf numFmtId="165" fontId="2" fillId="0" borderId="0" xfId="0" applyNumberFormat="1" applyFont="1"/>
    <xf numFmtId="0" fontId="6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2" fillId="0" borderId="2" xfId="0" applyFont="1" applyBorder="1"/>
    <xf numFmtId="0" fontId="15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7" fontId="16" fillId="0" borderId="5" xfId="0" applyNumberFormat="1" applyFont="1" applyBorder="1" applyAlignment="1">
      <alignment horizontal="left"/>
    </xf>
    <xf numFmtId="0" fontId="12" fillId="0" borderId="0" xfId="0" applyFont="1"/>
    <xf numFmtId="0" fontId="17" fillId="0" borderId="0" xfId="0" applyFont="1"/>
    <xf numFmtId="0" fontId="14" fillId="0" borderId="1" xfId="0" applyFont="1" applyBorder="1" applyAlignment="1">
      <alignment horizontal="center" vertical="center" wrapText="1"/>
    </xf>
    <xf numFmtId="17" fontId="16" fillId="0" borderId="2" xfId="0" applyNumberFormat="1" applyFont="1" applyBorder="1" applyAlignment="1">
      <alignment horizontal="left"/>
    </xf>
    <xf numFmtId="166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166" fontId="1" fillId="0" borderId="1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4" fillId="0" borderId="7" xfId="0" applyFont="1" applyBorder="1" applyAlignment="1">
      <alignment horizontal="center" vertical="center" wrapText="1"/>
    </xf>
    <xf numFmtId="166" fontId="2" fillId="0" borderId="7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6" fontId="0" fillId="0" borderId="0" xfId="0" applyNumberFormat="1"/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2" fillId="0" borderId="0" xfId="7"/>
    <xf numFmtId="0" fontId="12" fillId="0" borderId="0" xfId="7" applyFont="1" applyAlignment="1">
      <alignment horizontal="center"/>
    </xf>
    <xf numFmtId="0" fontId="2" fillId="0" borderId="0" xfId="7" applyFont="1"/>
    <xf numFmtId="0" fontId="2" fillId="0" borderId="2" xfId="7" applyFont="1" applyBorder="1"/>
    <xf numFmtId="0" fontId="14" fillId="0" borderId="9" xfId="7" applyFont="1" applyBorder="1" applyAlignment="1">
      <alignment horizontal="center" vertical="center" wrapText="1"/>
    </xf>
    <xf numFmtId="0" fontId="14" fillId="0" borderId="3" xfId="7" applyFont="1" applyBorder="1" applyAlignment="1">
      <alignment horizontal="center" vertical="center" wrapText="1"/>
    </xf>
    <xf numFmtId="0" fontId="14" fillId="0" borderId="10" xfId="7" applyFont="1" applyBorder="1" applyAlignment="1">
      <alignment horizontal="center" vertical="center" wrapText="1"/>
    </xf>
    <xf numFmtId="0" fontId="14" fillId="0" borderId="4" xfId="7" applyFont="1" applyBorder="1" applyAlignment="1">
      <alignment horizontal="center" vertical="center" wrapText="1"/>
    </xf>
    <xf numFmtId="17" fontId="16" fillId="0" borderId="5" xfId="7" applyNumberFormat="1" applyFont="1" applyBorder="1" applyAlignment="1">
      <alignment horizontal="left"/>
    </xf>
    <xf numFmtId="0" fontId="1" fillId="0" borderId="5" xfId="7" applyFont="1" applyBorder="1"/>
    <xf numFmtId="0" fontId="17" fillId="0" borderId="0" xfId="7" applyFont="1"/>
    <xf numFmtId="0" fontId="3" fillId="0" borderId="0" xfId="7" applyFont="1"/>
    <xf numFmtId="165" fontId="2" fillId="0" borderId="0" xfId="7" applyNumberFormat="1" applyFont="1"/>
    <xf numFmtId="0" fontId="6" fillId="0" borderId="0" xfId="7" applyFont="1"/>
    <xf numFmtId="0" fontId="2" fillId="0" borderId="0" xfId="7" applyFont="1" applyAlignment="1">
      <alignment horizontal="left"/>
    </xf>
    <xf numFmtId="0" fontId="2" fillId="0" borderId="0" xfId="7" applyFont="1" applyAlignment="1">
      <alignment horizontal="center"/>
    </xf>
    <xf numFmtId="0" fontId="12" fillId="0" borderId="0" xfId="7" applyFont="1"/>
    <xf numFmtId="0" fontId="1" fillId="0" borderId="5" xfId="7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7" fontId="16" fillId="0" borderId="11" xfId="0" applyNumberFormat="1" applyFont="1" applyBorder="1" applyAlignment="1">
      <alignment horizontal="left"/>
    </xf>
    <xf numFmtId="17" fontId="16" fillId="0" borderId="9" xfId="0" applyNumberFormat="1" applyFont="1" applyBorder="1" applyAlignment="1">
      <alignment horizontal="left"/>
    </xf>
    <xf numFmtId="0" fontId="0" fillId="0" borderId="0" xfId="11" applyNumberFormat="1" applyFont="1"/>
    <xf numFmtId="166" fontId="0" fillId="0" borderId="0" xfId="11" applyNumberFormat="1" applyFont="1"/>
    <xf numFmtId="0" fontId="2" fillId="0" borderId="0" xfId="11" applyNumberFormat="1" applyFont="1"/>
    <xf numFmtId="0" fontId="0" fillId="0" borderId="0" xfId="0" applyNumberFormat="1"/>
    <xf numFmtId="1" fontId="0" fillId="0" borderId="0" xfId="11" applyNumberFormat="1" applyFont="1"/>
    <xf numFmtId="166" fontId="2" fillId="0" borderId="0" xfId="11" applyNumberFormat="1" applyFo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5" applyFont="1" applyBorder="1" applyAlignment="1">
      <alignment horizontal="center"/>
    </xf>
    <xf numFmtId="0" fontId="8" fillId="0" borderId="0" xfId="0" applyFont="1" applyAlignment="1">
      <alignment horizontal="left"/>
    </xf>
    <xf numFmtId="165" fontId="0" fillId="0" borderId="0" xfId="5" applyFont="1"/>
    <xf numFmtId="0" fontId="0" fillId="0" borderId="12" xfId="0" applyBorder="1"/>
    <xf numFmtId="17" fontId="16" fillId="0" borderId="13" xfId="0" applyNumberFormat="1" applyFont="1" applyBorder="1" applyAlignment="1">
      <alignment horizontal="left"/>
    </xf>
    <xf numFmtId="4" fontId="0" fillId="0" borderId="0" xfId="11" applyNumberFormat="1" applyFont="1"/>
    <xf numFmtId="1" fontId="2" fillId="0" borderId="0" xfId="11" applyNumberFormat="1" applyFont="1"/>
    <xf numFmtId="165" fontId="2" fillId="0" borderId="0" xfId="5" applyFont="1"/>
    <xf numFmtId="166" fontId="1" fillId="0" borderId="14" xfId="0" applyNumberFormat="1" applyFont="1" applyBorder="1" applyAlignment="1">
      <alignment horizontal="center"/>
    </xf>
    <xf numFmtId="9" fontId="1" fillId="0" borderId="0" xfId="11" applyFont="1" applyFill="1" applyBorder="1" applyAlignment="1">
      <alignment horizontal="center"/>
    </xf>
    <xf numFmtId="44" fontId="7" fillId="0" borderId="5" xfId="6" applyFont="1" applyBorder="1" applyAlignment="1">
      <alignment horizontal="center"/>
    </xf>
    <xf numFmtId="166" fontId="7" fillId="0" borderId="5" xfId="7" applyNumberFormat="1" applyFont="1" applyBorder="1" applyAlignment="1">
      <alignment horizontal="center"/>
    </xf>
    <xf numFmtId="0" fontId="24" fillId="0" borderId="0" xfId="7" applyFont="1"/>
    <xf numFmtId="0" fontId="25" fillId="0" borderId="0" xfId="0" applyFont="1"/>
    <xf numFmtId="0" fontId="12" fillId="0" borderId="0" xfId="0" applyFont="1" applyAlignment="1">
      <alignment vertical="center"/>
    </xf>
    <xf numFmtId="0" fontId="12" fillId="0" borderId="0" xfId="7" applyFont="1" applyAlignment="1">
      <alignment vertical="center"/>
    </xf>
    <xf numFmtId="166" fontId="26" fillId="0" borderId="0" xfId="0" applyNumberFormat="1" applyFont="1"/>
    <xf numFmtId="0" fontId="2" fillId="0" borderId="2" xfId="9" applyFont="1" applyBorder="1"/>
    <xf numFmtId="0" fontId="14" fillId="0" borderId="9" xfId="9" applyFont="1" applyBorder="1" applyAlignment="1">
      <alignment horizontal="center" vertical="center" wrapText="1"/>
    </xf>
    <xf numFmtId="0" fontId="15" fillId="0" borderId="2" xfId="9" applyFont="1" applyBorder="1" applyAlignment="1">
      <alignment horizontal="center" vertical="center" wrapText="1"/>
    </xf>
    <xf numFmtId="0" fontId="14" fillId="0" borderId="3" xfId="9" applyFont="1" applyBorder="1" applyAlignment="1">
      <alignment horizontal="center" vertical="center" wrapText="1"/>
    </xf>
    <xf numFmtId="0" fontId="14" fillId="0" borderId="10" xfId="9" applyFont="1" applyBorder="1" applyAlignment="1">
      <alignment horizontal="center" vertical="center" wrapText="1"/>
    </xf>
    <xf numFmtId="0" fontId="14" fillId="0" borderId="4" xfId="9" applyFont="1" applyBorder="1" applyAlignment="1">
      <alignment horizontal="center" vertical="center" wrapText="1"/>
    </xf>
    <xf numFmtId="0" fontId="15" fillId="0" borderId="10" xfId="9" applyFont="1" applyBorder="1" applyAlignment="1">
      <alignment horizontal="center" vertical="center" wrapText="1"/>
    </xf>
    <xf numFmtId="165" fontId="3" fillId="0" borderId="17" xfId="5" applyFont="1" applyBorder="1" applyAlignment="1">
      <alignment horizontal="center"/>
    </xf>
    <xf numFmtId="17" fontId="3" fillId="0" borderId="18" xfId="0" applyNumberFormat="1" applyFont="1" applyBorder="1" applyAlignment="1">
      <alignment horizontal="center"/>
    </xf>
    <xf numFmtId="17" fontId="3" fillId="0" borderId="19" xfId="0" applyNumberFormat="1" applyFont="1" applyBorder="1" applyAlignment="1">
      <alignment horizontal="center"/>
    </xf>
    <xf numFmtId="17" fontId="3" fillId="0" borderId="20" xfId="0" applyNumberFormat="1" applyFont="1" applyBorder="1" applyAlignment="1">
      <alignment horizontal="center"/>
    </xf>
    <xf numFmtId="17" fontId="3" fillId="0" borderId="21" xfId="0" applyNumberFormat="1" applyFont="1" applyBorder="1" applyAlignment="1">
      <alignment horizontal="center"/>
    </xf>
    <xf numFmtId="165" fontId="3" fillId="0" borderId="0" xfId="0" applyNumberFormat="1" applyFont="1"/>
    <xf numFmtId="166" fontId="2" fillId="0" borderId="0" xfId="7" applyNumberFormat="1" applyFont="1"/>
    <xf numFmtId="165" fontId="1" fillId="0" borderId="6" xfId="4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7" fillId="0" borderId="25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10" fontId="28" fillId="0" borderId="23" xfId="11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165" fontId="3" fillId="0" borderId="28" xfId="5" applyFont="1" applyBorder="1" applyAlignment="1">
      <alignment horizontal="center"/>
    </xf>
    <xf numFmtId="17" fontId="3" fillId="0" borderId="29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wrapText="1" shrinkToFit="1"/>
    </xf>
    <xf numFmtId="0" fontId="5" fillId="0" borderId="32" xfId="0" applyFont="1" applyBorder="1" applyAlignment="1">
      <alignment horizontal="center" vertical="center" wrapText="1" shrinkToFit="1"/>
    </xf>
    <xf numFmtId="165" fontId="3" fillId="0" borderId="33" xfId="5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65" fontId="4" fillId="0" borderId="34" xfId="4" applyFont="1" applyBorder="1" applyAlignment="1">
      <alignment horizontal="center"/>
    </xf>
    <xf numFmtId="165" fontId="4" fillId="0" borderId="35" xfId="4" applyFont="1" applyBorder="1" applyAlignment="1">
      <alignment horizontal="center"/>
    </xf>
    <xf numFmtId="0" fontId="0" fillId="0" borderId="36" xfId="0" applyBorder="1"/>
    <xf numFmtId="0" fontId="1" fillId="0" borderId="37" xfId="0" applyFont="1" applyBorder="1" applyAlignment="1">
      <alignment horizontal="center"/>
    </xf>
    <xf numFmtId="44" fontId="0" fillId="0" borderId="0" xfId="0" applyNumberFormat="1"/>
    <xf numFmtId="165" fontId="1" fillId="0" borderId="25" xfId="0" applyNumberFormat="1" applyFont="1" applyBorder="1" applyAlignment="1">
      <alignment horizontal="center"/>
    </xf>
    <xf numFmtId="165" fontId="28" fillId="0" borderId="0" xfId="4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/>
    </xf>
    <xf numFmtId="165" fontId="3" fillId="2" borderId="28" xfId="5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9" fillId="0" borderId="24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justify" vertical="center" wrapText="1"/>
    </xf>
    <xf numFmtId="0" fontId="2" fillId="0" borderId="43" xfId="0" applyFont="1" applyBorder="1" applyAlignment="1">
      <alignment horizontal="center"/>
    </xf>
    <xf numFmtId="165" fontId="30" fillId="0" borderId="33" xfId="4" applyFont="1" applyBorder="1" applyAlignment="1">
      <alignment horizontal="justify" vertical="center" wrapText="1"/>
    </xf>
    <xf numFmtId="10" fontId="30" fillId="0" borderId="43" xfId="11" applyNumberFormat="1" applyFont="1" applyBorder="1" applyAlignment="1">
      <alignment horizontal="center" vertical="center" wrapText="1"/>
    </xf>
    <xf numFmtId="0" fontId="21" fillId="0" borderId="44" xfId="0" applyFont="1" applyBorder="1"/>
    <xf numFmtId="0" fontId="2" fillId="0" borderId="23" xfId="0" applyFont="1" applyBorder="1" applyAlignment="1">
      <alignment horizontal="center"/>
    </xf>
    <xf numFmtId="10" fontId="30" fillId="0" borderId="23" xfId="11" applyNumberFormat="1" applyFont="1" applyBorder="1" applyAlignment="1">
      <alignment horizontal="center" vertical="center" wrapText="1"/>
    </xf>
    <xf numFmtId="10" fontId="30" fillId="0" borderId="44" xfId="11" applyNumberFormat="1" applyFont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10" fontId="29" fillId="0" borderId="24" xfId="11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justify" vertical="center" wrapText="1"/>
    </xf>
    <xf numFmtId="165" fontId="30" fillId="0" borderId="45" xfId="4" applyFont="1" applyBorder="1" applyAlignment="1">
      <alignment horizontal="left" vertical="center" wrapText="1"/>
    </xf>
    <xf numFmtId="0" fontId="30" fillId="0" borderId="23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left" vertical="center" wrapText="1"/>
    </xf>
    <xf numFmtId="0" fontId="30" fillId="0" borderId="43" xfId="0" applyFont="1" applyBorder="1" applyAlignment="1">
      <alignment horizontal="left" vertical="center" wrapText="1"/>
    </xf>
    <xf numFmtId="17" fontId="31" fillId="0" borderId="5" xfId="7" applyNumberFormat="1" applyFont="1" applyBorder="1" applyAlignment="1">
      <alignment horizontal="left"/>
    </xf>
    <xf numFmtId="0" fontId="31" fillId="0" borderId="5" xfId="7" applyFont="1" applyBorder="1" applyAlignment="1">
      <alignment horizontal="center"/>
    </xf>
    <xf numFmtId="44" fontId="31" fillId="0" borderId="5" xfId="6" applyFont="1" applyBorder="1" applyAlignment="1">
      <alignment horizontal="center"/>
    </xf>
    <xf numFmtId="166" fontId="31" fillId="0" borderId="5" xfId="7" applyNumberFormat="1" applyFont="1" applyBorder="1" applyAlignment="1">
      <alignment horizontal="center"/>
    </xf>
    <xf numFmtId="44" fontId="22" fillId="0" borderId="5" xfId="6" applyFont="1" applyBorder="1"/>
    <xf numFmtId="17" fontId="31" fillId="0" borderId="5" xfId="9" applyNumberFormat="1" applyFont="1" applyBorder="1" applyAlignment="1">
      <alignment horizontal="left"/>
    </xf>
    <xf numFmtId="0" fontId="32" fillId="0" borderId="5" xfId="7" applyFont="1" applyBorder="1"/>
    <xf numFmtId="0" fontId="32" fillId="0" borderId="6" xfId="0" applyFont="1" applyBorder="1" applyAlignment="1">
      <alignment horizontal="center"/>
    </xf>
    <xf numFmtId="44" fontId="32" fillId="0" borderId="6" xfId="0" applyNumberFormat="1" applyFont="1" applyBorder="1" applyAlignment="1">
      <alignment horizontal="center"/>
    </xf>
    <xf numFmtId="166" fontId="32" fillId="0" borderId="6" xfId="0" applyNumberFormat="1" applyFont="1" applyBorder="1" applyAlignment="1">
      <alignment horizontal="center"/>
    </xf>
    <xf numFmtId="166" fontId="32" fillId="0" borderId="1" xfId="0" applyNumberFormat="1" applyFont="1" applyBorder="1" applyAlignment="1">
      <alignment horizontal="center"/>
    </xf>
    <xf numFmtId="17" fontId="2" fillId="0" borderId="11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165" fontId="2" fillId="0" borderId="5" xfId="4" applyFont="1" applyBorder="1" applyAlignment="1">
      <alignment horizontal="center" vertical="center"/>
    </xf>
    <xf numFmtId="17" fontId="2" fillId="0" borderId="46" xfId="0" applyNumberFormat="1" applyFont="1" applyBorder="1" applyAlignment="1">
      <alignment horizontal="left"/>
    </xf>
    <xf numFmtId="0" fontId="2" fillId="0" borderId="5" xfId="7" applyFont="1" applyBorder="1" applyAlignment="1">
      <alignment horizontal="center"/>
    </xf>
    <xf numFmtId="166" fontId="2" fillId="0" borderId="5" xfId="7" applyNumberFormat="1" applyFont="1" applyBorder="1" applyAlignment="1">
      <alignment horizontal="center"/>
    </xf>
    <xf numFmtId="165" fontId="30" fillId="0" borderId="0" xfId="4" applyFont="1" applyBorder="1" applyAlignment="1">
      <alignment horizontal="left" vertical="center" wrapText="1"/>
    </xf>
    <xf numFmtId="10" fontId="30" fillId="0" borderId="0" xfId="11" applyNumberFormat="1" applyFont="1" applyBorder="1" applyAlignment="1">
      <alignment horizontal="center" vertical="center" wrapText="1"/>
    </xf>
    <xf numFmtId="10" fontId="30" fillId="0" borderId="47" xfId="11" applyNumberFormat="1" applyFont="1" applyBorder="1" applyAlignment="1">
      <alignment horizontal="center" vertical="center" wrapText="1"/>
    </xf>
    <xf numFmtId="165" fontId="1" fillId="0" borderId="48" xfId="0" applyNumberFormat="1" applyFont="1" applyBorder="1" applyAlignment="1">
      <alignment horizontal="center"/>
    </xf>
    <xf numFmtId="10" fontId="30" fillId="0" borderId="24" xfId="11" applyNumberFormat="1" applyFont="1" applyBorder="1" applyAlignment="1">
      <alignment horizontal="center" vertical="center" wrapText="1"/>
    </xf>
    <xf numFmtId="0" fontId="28" fillId="0" borderId="49" xfId="0" applyFont="1" applyBorder="1" applyAlignment="1">
      <alignment horizontal="left" vertical="center" wrapText="1"/>
    </xf>
    <xf numFmtId="0" fontId="30" fillId="0" borderId="49" xfId="0" applyFont="1" applyBorder="1" applyAlignment="1">
      <alignment horizontal="left" vertical="center" wrapText="1"/>
    </xf>
    <xf numFmtId="0" fontId="28" fillId="0" borderId="50" xfId="0" applyFont="1" applyBorder="1" applyAlignment="1">
      <alignment horizontal="left" vertical="center" wrapText="1"/>
    </xf>
    <xf numFmtId="0" fontId="20" fillId="0" borderId="49" xfId="0" applyFont="1" applyBorder="1" applyAlignment="1">
      <alignment horizontal="justify" vertical="center" wrapText="1"/>
    </xf>
    <xf numFmtId="0" fontId="20" fillId="0" borderId="50" xfId="0" applyFont="1" applyBorder="1"/>
    <xf numFmtId="10" fontId="28" fillId="0" borderId="44" xfId="11" applyNumberFormat="1" applyFont="1" applyBorder="1" applyAlignment="1">
      <alignment horizontal="center" vertical="center" wrapText="1"/>
    </xf>
    <xf numFmtId="0" fontId="28" fillId="0" borderId="51" xfId="0" applyFont="1" applyBorder="1" applyAlignment="1">
      <alignment horizontal="left" vertical="center" wrapText="1"/>
    </xf>
    <xf numFmtId="0" fontId="27" fillId="0" borderId="25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0" fillId="2" borderId="23" xfId="0" applyFill="1" applyBorder="1" applyAlignment="1">
      <alignment horizontal="center"/>
    </xf>
    <xf numFmtId="165" fontId="28" fillId="0" borderId="47" xfId="4" applyFont="1" applyBorder="1" applyAlignment="1">
      <alignment horizontal="left" vertical="center" wrapText="1"/>
    </xf>
    <xf numFmtId="165" fontId="28" fillId="0" borderId="23" xfId="4" applyFont="1" applyBorder="1" applyAlignment="1">
      <alignment horizontal="left" vertical="center" wrapText="1"/>
    </xf>
    <xf numFmtId="165" fontId="28" fillId="0" borderId="23" xfId="4" applyFont="1" applyBorder="1" applyAlignment="1">
      <alignment horizontal="justify" vertical="center" wrapText="1"/>
    </xf>
    <xf numFmtId="10" fontId="28" fillId="0" borderId="47" xfId="11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165" fontId="28" fillId="0" borderId="44" xfId="4" applyFont="1" applyBorder="1" applyAlignment="1">
      <alignment horizontal="justify" vertical="center" wrapText="1"/>
    </xf>
    <xf numFmtId="165" fontId="1" fillId="0" borderId="24" xfId="0" applyNumberFormat="1" applyFont="1" applyBorder="1" applyAlignment="1">
      <alignment horizontal="center"/>
    </xf>
    <xf numFmtId="0" fontId="34" fillId="0" borderId="0" xfId="0" applyFont="1"/>
    <xf numFmtId="10" fontId="27" fillId="0" borderId="24" xfId="1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10" fontId="28" fillId="0" borderId="0" xfId="11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26" fillId="0" borderId="0" xfId="0" applyFont="1"/>
    <xf numFmtId="0" fontId="36" fillId="0" borderId="0" xfId="0" applyFont="1" applyAlignment="1">
      <alignment horizontal="center" wrapText="1"/>
    </xf>
    <xf numFmtId="165" fontId="25" fillId="0" borderId="52" xfId="5" applyFont="1" applyBorder="1" applyAlignment="1">
      <alignment horizontal="center"/>
    </xf>
    <xf numFmtId="164" fontId="26" fillId="0" borderId="0" xfId="0" applyNumberFormat="1" applyFont="1"/>
    <xf numFmtId="165" fontId="26" fillId="0" borderId="0" xfId="0" applyNumberFormat="1" applyFont="1"/>
    <xf numFmtId="44" fontId="26" fillId="0" borderId="0" xfId="0" applyNumberFormat="1" applyFont="1"/>
    <xf numFmtId="44" fontId="37" fillId="0" borderId="0" xfId="0" applyNumberFormat="1" applyFont="1"/>
    <xf numFmtId="165" fontId="25" fillId="0" borderId="0" xfId="5" applyFont="1" applyFill="1" applyBorder="1" applyAlignment="1">
      <alignment horizontal="center"/>
    </xf>
    <xf numFmtId="165" fontId="38" fillId="0" borderId="24" xfId="4" applyFont="1" applyBorder="1" applyAlignment="1">
      <alignment horizontal="center"/>
    </xf>
    <xf numFmtId="165" fontId="38" fillId="0" borderId="0" xfId="4" applyFont="1" applyBorder="1" applyAlignment="1">
      <alignment horizontal="center"/>
    </xf>
    <xf numFmtId="164" fontId="39" fillId="0" borderId="0" xfId="11" applyNumberFormat="1" applyFont="1"/>
    <xf numFmtId="0" fontId="25" fillId="0" borderId="45" xfId="0" applyFont="1" applyBorder="1"/>
    <xf numFmtId="9" fontId="26" fillId="0" borderId="0" xfId="11" applyFont="1"/>
    <xf numFmtId="0" fontId="39" fillId="0" borderId="0" xfId="0" applyFont="1"/>
    <xf numFmtId="0" fontId="2" fillId="0" borderId="45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27" fillId="0" borderId="5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/>
    </xf>
    <xf numFmtId="0" fontId="30" fillId="0" borderId="43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/>
    </xf>
    <xf numFmtId="0" fontId="30" fillId="0" borderId="23" xfId="0" applyFont="1" applyBorder="1" applyAlignment="1">
      <alignment horizontal="center" vertical="center" wrapText="1"/>
    </xf>
    <xf numFmtId="10" fontId="30" fillId="0" borderId="54" xfId="11" applyNumberFormat="1" applyFont="1" applyBorder="1" applyAlignment="1">
      <alignment horizontal="center" vertical="center" wrapText="1"/>
    </xf>
    <xf numFmtId="10" fontId="30" fillId="0" borderId="40" xfId="11" applyNumberFormat="1" applyFont="1" applyBorder="1" applyAlignment="1">
      <alignment horizontal="center" vertical="center" wrapText="1"/>
    </xf>
    <xf numFmtId="10" fontId="30" fillId="0" borderId="22" xfId="11" applyNumberFormat="1" applyFont="1" applyBorder="1" applyAlignment="1">
      <alignment horizontal="center" vertical="center"/>
    </xf>
    <xf numFmtId="165" fontId="30" fillId="0" borderId="43" xfId="4" applyFont="1" applyBorder="1" applyAlignment="1">
      <alignment horizontal="left" vertical="center" wrapText="1"/>
    </xf>
    <xf numFmtId="165" fontId="30" fillId="0" borderId="23" xfId="4" applyFont="1" applyBorder="1" applyAlignment="1">
      <alignment horizontal="left" vertical="center" wrapText="1"/>
    </xf>
    <xf numFmtId="165" fontId="29" fillId="0" borderId="16" xfId="4" applyFont="1" applyBorder="1" applyAlignment="1">
      <alignment horizontal="left" vertical="center"/>
    </xf>
    <xf numFmtId="0" fontId="29" fillId="0" borderId="48" xfId="0" applyFont="1" applyBorder="1" applyAlignment="1">
      <alignment horizontal="right" vertical="center" wrapText="1"/>
    </xf>
    <xf numFmtId="0" fontId="2" fillId="2" borderId="55" xfId="0" applyFont="1" applyFill="1" applyBorder="1" applyAlignment="1">
      <alignment horizontal="center"/>
    </xf>
    <xf numFmtId="165" fontId="29" fillId="0" borderId="37" xfId="4" applyFont="1" applyBorder="1" applyAlignment="1">
      <alignment horizontal="left" vertical="center" wrapText="1"/>
    </xf>
    <xf numFmtId="0" fontId="2" fillId="0" borderId="56" xfId="0" applyFont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9" fillId="0" borderId="25" xfId="0" applyFont="1" applyBorder="1" applyAlignment="1">
      <alignment horizontal="right" vertical="center" wrapText="1"/>
    </xf>
    <xf numFmtId="0" fontId="1" fillId="2" borderId="25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44" fontId="1" fillId="0" borderId="0" xfId="0" applyNumberFormat="1" applyFont="1" applyBorder="1" applyAlignment="1">
      <alignment wrapText="1"/>
    </xf>
    <xf numFmtId="44" fontId="1" fillId="0" borderId="16" xfId="0" applyNumberFormat="1" applyFont="1" applyBorder="1" applyAlignment="1">
      <alignment wrapText="1"/>
    </xf>
    <xf numFmtId="0" fontId="1" fillId="0" borderId="16" xfId="0" applyFont="1" applyBorder="1" applyAlignment="1">
      <alignment horizontal="center" wrapText="1"/>
    </xf>
    <xf numFmtId="0" fontId="20" fillId="0" borderId="23" xfId="0" applyFont="1" applyBorder="1" applyAlignment="1">
      <alignment horizontal="justify" vertical="center" wrapText="1"/>
    </xf>
    <xf numFmtId="44" fontId="2" fillId="0" borderId="0" xfId="0" applyNumberFormat="1" applyFont="1"/>
    <xf numFmtId="169" fontId="26" fillId="0" borderId="0" xfId="0" applyNumberFormat="1" applyFont="1"/>
    <xf numFmtId="0" fontId="30" fillId="0" borderId="57" xfId="0" applyFont="1" applyBorder="1" applyAlignment="1">
      <alignment horizontal="left" vertical="center" wrapText="1"/>
    </xf>
    <xf numFmtId="0" fontId="29" fillId="0" borderId="56" xfId="0" applyFont="1" applyBorder="1" applyAlignment="1">
      <alignment horizontal="center" vertical="center" wrapText="1"/>
    </xf>
    <xf numFmtId="0" fontId="40" fillId="0" borderId="0" xfId="0" applyFont="1"/>
    <xf numFmtId="0" fontId="41" fillId="0" borderId="0" xfId="0" applyFont="1"/>
    <xf numFmtId="0" fontId="34" fillId="0" borderId="0" xfId="0" applyFont="1" applyAlignment="1">
      <alignment horizontal="right"/>
    </xf>
    <xf numFmtId="44" fontId="42" fillId="0" borderId="0" xfId="0" applyNumberFormat="1" applyFont="1"/>
    <xf numFmtId="0" fontId="43" fillId="0" borderId="0" xfId="0" applyFont="1"/>
    <xf numFmtId="0" fontId="38" fillId="0" borderId="0" xfId="0" applyFont="1"/>
    <xf numFmtId="0" fontId="44" fillId="0" borderId="0" xfId="0" applyFont="1"/>
    <xf numFmtId="3" fontId="26" fillId="0" borderId="0" xfId="0" applyNumberFormat="1" applyFont="1"/>
    <xf numFmtId="16" fontId="26" fillId="0" borderId="0" xfId="0" applyNumberFormat="1" applyFont="1" applyAlignment="1">
      <alignment horizontal="right"/>
    </xf>
    <xf numFmtId="17" fontId="26" fillId="0" borderId="0" xfId="0" applyNumberFormat="1" applyFont="1" applyAlignment="1">
      <alignment horizontal="right"/>
    </xf>
    <xf numFmtId="0" fontId="15" fillId="0" borderId="58" xfId="9" applyFont="1" applyBorder="1" applyAlignment="1">
      <alignment horizontal="center" vertical="center" wrapText="1"/>
    </xf>
    <xf numFmtId="166" fontId="2" fillId="0" borderId="14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0" fontId="2" fillId="0" borderId="45" xfId="0" applyFont="1" applyBorder="1"/>
    <xf numFmtId="0" fontId="3" fillId="0" borderId="45" xfId="0" applyFont="1" applyBorder="1"/>
    <xf numFmtId="165" fontId="4" fillId="0" borderId="0" xfId="0" applyNumberFormat="1" applyFont="1"/>
    <xf numFmtId="0" fontId="6" fillId="0" borderId="0" xfId="0" applyFont="1" applyAlignment="1">
      <alignment horizontal="left"/>
    </xf>
    <xf numFmtId="165" fontId="22" fillId="0" borderId="5" xfId="6" applyNumberFormat="1" applyFont="1" applyBorder="1"/>
    <xf numFmtId="44" fontId="31" fillId="0" borderId="5" xfId="7" applyNumberFormat="1" applyFont="1" applyBorder="1" applyAlignment="1">
      <alignment horizontal="center"/>
    </xf>
    <xf numFmtId="166" fontId="7" fillId="0" borderId="5" xfId="6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6" fontId="35" fillId="0" borderId="5" xfId="6" applyNumberFormat="1" applyFont="1" applyBorder="1"/>
    <xf numFmtId="165" fontId="35" fillId="0" borderId="5" xfId="6" applyNumberFormat="1" applyFont="1" applyBorder="1"/>
    <xf numFmtId="165" fontId="2" fillId="0" borderId="5" xfId="7" applyNumberFormat="1" applyFont="1" applyBorder="1" applyAlignment="1">
      <alignment horizontal="center"/>
    </xf>
    <xf numFmtId="165" fontId="33" fillId="0" borderId="5" xfId="6" applyNumberFormat="1" applyFont="1" applyBorder="1"/>
    <xf numFmtId="0" fontId="30" fillId="0" borderId="42" xfId="4" applyNumberFormat="1" applyFont="1" applyBorder="1" applyAlignment="1">
      <alignment horizontal="center" vertical="center" wrapText="1"/>
    </xf>
    <xf numFmtId="0" fontId="46" fillId="0" borderId="71" xfId="0" applyFont="1" applyBorder="1" applyAlignment="1">
      <alignment horizontal="center" vertical="center" wrapText="1"/>
    </xf>
    <xf numFmtId="0" fontId="47" fillId="0" borderId="71" xfId="0" applyFont="1" applyBorder="1" applyAlignment="1">
      <alignment horizontal="center" vertical="center" wrapText="1"/>
    </xf>
    <xf numFmtId="0" fontId="48" fillId="0" borderId="71" xfId="0" applyFont="1" applyBorder="1" applyAlignment="1">
      <alignment horizontal="center" vertical="center" wrapText="1"/>
    </xf>
    <xf numFmtId="0" fontId="47" fillId="0" borderId="71" xfId="0" applyFont="1" applyBorder="1" applyAlignment="1">
      <alignment horizontal="center" vertical="center"/>
    </xf>
    <xf numFmtId="0" fontId="46" fillId="0" borderId="71" xfId="0" applyFont="1" applyFill="1" applyBorder="1" applyAlignment="1">
      <alignment horizontal="center" vertical="center" wrapText="1"/>
    </xf>
    <xf numFmtId="0" fontId="49" fillId="0" borderId="71" xfId="0" applyFont="1" applyBorder="1" applyAlignment="1">
      <alignment horizontal="center" vertical="center" wrapText="1"/>
    </xf>
    <xf numFmtId="0" fontId="50" fillId="0" borderId="71" xfId="0" applyFont="1" applyFill="1" applyBorder="1" applyAlignment="1">
      <alignment horizontal="center" wrapText="1"/>
    </xf>
    <xf numFmtId="0" fontId="48" fillId="0" borderId="71" xfId="0" applyFont="1" applyBorder="1" applyAlignment="1">
      <alignment horizontal="center" vertical="center"/>
    </xf>
    <xf numFmtId="0" fontId="51" fillId="0" borderId="71" xfId="0" applyFont="1" applyBorder="1" applyAlignment="1">
      <alignment horizontal="center" wrapText="1"/>
    </xf>
    <xf numFmtId="167" fontId="46" fillId="0" borderId="71" xfId="0" applyNumberFormat="1" applyFont="1" applyFill="1" applyBorder="1" applyAlignment="1">
      <alignment horizontal="center" vertical="center" wrapText="1"/>
    </xf>
    <xf numFmtId="0" fontId="47" fillId="0" borderId="71" xfId="0" applyFont="1" applyFill="1" applyBorder="1" applyAlignment="1">
      <alignment horizontal="left" vertical="center" wrapText="1"/>
    </xf>
    <xf numFmtId="0" fontId="49" fillId="0" borderId="71" xfId="0" applyFont="1" applyFill="1" applyBorder="1" applyAlignment="1">
      <alignment horizontal="center" vertical="center" wrapText="1"/>
    </xf>
    <xf numFmtId="0" fontId="46" fillId="0" borderId="72" xfId="0" applyFont="1" applyFill="1" applyBorder="1" applyAlignment="1">
      <alignment horizontal="center" vertical="center" wrapText="1"/>
    </xf>
    <xf numFmtId="167" fontId="47" fillId="0" borderId="0" xfId="0" applyNumberFormat="1" applyFont="1" applyFill="1" applyBorder="1" applyAlignment="1">
      <alignment horizontal="center" vertical="center" wrapText="1"/>
    </xf>
    <xf numFmtId="0" fontId="53" fillId="0" borderId="73" xfId="0" applyFont="1" applyBorder="1" applyAlignment="1">
      <alignment horizontal="center" vertical="center"/>
    </xf>
    <xf numFmtId="167" fontId="54" fillId="3" borderId="73" xfId="0" applyNumberFormat="1" applyFont="1" applyFill="1" applyBorder="1" applyAlignment="1">
      <alignment horizontal="center" vertical="center"/>
    </xf>
    <xf numFmtId="0" fontId="53" fillId="0" borderId="73" xfId="0" applyFont="1" applyBorder="1" applyAlignment="1">
      <alignment horizontal="center" vertical="center" wrapText="1"/>
    </xf>
    <xf numFmtId="49" fontId="53" fillId="0" borderId="73" xfId="0" applyNumberFormat="1" applyFont="1" applyBorder="1" applyAlignment="1">
      <alignment horizontal="center" vertical="center"/>
    </xf>
    <xf numFmtId="0" fontId="53" fillId="0" borderId="73" xfId="0" applyFont="1" applyBorder="1" applyAlignment="1">
      <alignment vertical="center" wrapText="1"/>
    </xf>
    <xf numFmtId="1" fontId="53" fillId="0" borderId="73" xfId="0" applyNumberFormat="1" applyFont="1" applyBorder="1" applyAlignment="1">
      <alignment horizontal="center" vertical="center"/>
    </xf>
    <xf numFmtId="165" fontId="53" fillId="0" borderId="73" xfId="4" applyFont="1" applyBorder="1" applyAlignment="1">
      <alignment vertical="center"/>
    </xf>
    <xf numFmtId="167" fontId="55" fillId="0" borderId="73" xfId="0" applyNumberFormat="1" applyFont="1" applyBorder="1" applyAlignment="1">
      <alignment horizontal="center" vertical="center" wrapText="1"/>
    </xf>
    <xf numFmtId="0" fontId="55" fillId="0" borderId="73" xfId="0" applyFont="1" applyBorder="1" applyAlignment="1">
      <alignment horizontal="left" vertical="center" wrapText="1"/>
    </xf>
    <xf numFmtId="0" fontId="55" fillId="0" borderId="73" xfId="0" applyFont="1" applyBorder="1" applyAlignment="1">
      <alignment vertical="center" wrapText="1"/>
    </xf>
    <xf numFmtId="167" fontId="53" fillId="0" borderId="0" xfId="0" applyNumberFormat="1" applyFont="1" applyBorder="1" applyAlignment="1">
      <alignment horizontal="center"/>
    </xf>
    <xf numFmtId="167" fontId="53" fillId="0" borderId="73" xfId="0" applyNumberFormat="1" applyFont="1" applyBorder="1" applyAlignment="1">
      <alignment horizontal="center" vertical="center"/>
    </xf>
    <xf numFmtId="0" fontId="56" fillId="0" borderId="73" xfId="0" applyFont="1" applyBorder="1" applyAlignment="1">
      <alignment horizontal="left" vertical="center" wrapText="1"/>
    </xf>
    <xf numFmtId="0" fontId="56" fillId="0" borderId="73" xfId="0" applyFont="1" applyBorder="1" applyAlignment="1">
      <alignment horizontal="left" wrapText="1"/>
    </xf>
    <xf numFmtId="167" fontId="57" fillId="0" borderId="73" xfId="0" applyNumberFormat="1" applyFont="1" applyBorder="1" applyAlignment="1">
      <alignment horizontal="center" vertical="center"/>
    </xf>
    <xf numFmtId="0" fontId="57" fillId="0" borderId="73" xfId="0" applyFont="1" applyBorder="1" applyAlignment="1">
      <alignment horizontal="center" vertical="center" wrapText="1"/>
    </xf>
    <xf numFmtId="0" fontId="58" fillId="4" borderId="73" xfId="0" applyFont="1" applyFill="1" applyBorder="1" applyAlignment="1">
      <alignment vertical="center" wrapText="1"/>
    </xf>
    <xf numFmtId="0" fontId="55" fillId="0" borderId="74" xfId="0" applyFont="1" applyBorder="1" applyAlignment="1">
      <alignment vertical="center" wrapText="1"/>
    </xf>
    <xf numFmtId="0" fontId="53" fillId="0" borderId="75" xfId="0" applyFont="1" applyBorder="1" applyAlignment="1">
      <alignment horizontal="center" vertical="center"/>
    </xf>
    <xf numFmtId="167" fontId="53" fillId="0" borderId="75" xfId="0" applyNumberFormat="1" applyFont="1" applyBorder="1" applyAlignment="1">
      <alignment horizontal="center" vertical="center"/>
    </xf>
    <xf numFmtId="0" fontId="53" fillId="0" borderId="75" xfId="0" applyFont="1" applyBorder="1" applyAlignment="1">
      <alignment horizontal="center" vertical="center" wrapText="1"/>
    </xf>
    <xf numFmtId="49" fontId="53" fillId="0" borderId="75" xfId="0" applyNumberFormat="1" applyFont="1" applyBorder="1" applyAlignment="1">
      <alignment horizontal="center" vertical="center"/>
    </xf>
    <xf numFmtId="0" fontId="53" fillId="0" borderId="75" xfId="0" applyFont="1" applyBorder="1" applyAlignment="1">
      <alignment vertical="center" wrapText="1"/>
    </xf>
    <xf numFmtId="1" fontId="53" fillId="0" borderId="75" xfId="0" applyNumberFormat="1" applyFont="1" applyBorder="1" applyAlignment="1">
      <alignment horizontal="center" vertical="center"/>
    </xf>
    <xf numFmtId="165" fontId="53" fillId="0" borderId="75" xfId="4" applyFont="1" applyBorder="1" applyAlignment="1">
      <alignment vertical="center"/>
    </xf>
    <xf numFmtId="167" fontId="55" fillId="0" borderId="75" xfId="0" applyNumberFormat="1" applyFont="1" applyBorder="1" applyAlignment="1">
      <alignment horizontal="center" vertical="center" wrapText="1"/>
    </xf>
    <xf numFmtId="0" fontId="56" fillId="0" borderId="75" xfId="0" applyFont="1" applyBorder="1" applyAlignment="1">
      <alignment horizontal="left" vertical="center" wrapText="1"/>
    </xf>
    <xf numFmtId="167" fontId="57" fillId="0" borderId="0" xfId="0" applyNumberFormat="1" applyFont="1" applyFill="1" applyBorder="1" applyAlignment="1">
      <alignment horizontal="center"/>
    </xf>
    <xf numFmtId="0" fontId="55" fillId="0" borderId="75" xfId="0" applyFont="1" applyBorder="1" applyAlignment="1">
      <alignment vertical="center" wrapText="1"/>
    </xf>
    <xf numFmtId="167" fontId="59" fillId="0" borderId="0" xfId="0" applyNumberFormat="1" applyFont="1" applyFill="1" applyBorder="1" applyAlignment="1">
      <alignment horizontal="center"/>
    </xf>
    <xf numFmtId="165" fontId="53" fillId="0" borderId="73" xfId="4" applyNumberFormat="1" applyFont="1" applyBorder="1" applyAlignment="1">
      <alignment vertical="center"/>
    </xf>
    <xf numFmtId="49" fontId="57" fillId="0" borderId="76" xfId="0" applyNumberFormat="1" applyFont="1" applyFill="1" applyBorder="1" applyAlignment="1">
      <alignment horizontal="center" vertical="center"/>
    </xf>
    <xf numFmtId="0" fontId="57" fillId="0" borderId="76" xfId="0" applyFont="1" applyFill="1" applyBorder="1" applyAlignment="1">
      <alignment vertical="center" wrapText="1"/>
    </xf>
    <xf numFmtId="0" fontId="57" fillId="0" borderId="76" xfId="0" applyFont="1" applyFill="1" applyBorder="1" applyAlignment="1">
      <alignment horizontal="center" vertical="center"/>
    </xf>
    <xf numFmtId="1" fontId="57" fillId="0" borderId="76" xfId="0" applyNumberFormat="1" applyFont="1" applyFill="1" applyBorder="1" applyAlignment="1">
      <alignment horizontal="center" vertical="center"/>
    </xf>
    <xf numFmtId="165" fontId="53" fillId="0" borderId="75" xfId="4" applyNumberFormat="1" applyFont="1" applyBorder="1" applyAlignment="1">
      <alignment vertical="center"/>
    </xf>
    <xf numFmtId="165" fontId="53" fillId="5" borderId="73" xfId="4" applyNumberFormat="1" applyFont="1" applyFill="1" applyBorder="1" applyAlignment="1">
      <alignment vertical="center"/>
    </xf>
    <xf numFmtId="49" fontId="53" fillId="0" borderId="75" xfId="0" applyNumberFormat="1" applyFont="1" applyFill="1" applyBorder="1" applyAlignment="1">
      <alignment horizontal="center" vertical="center"/>
    </xf>
    <xf numFmtId="167" fontId="53" fillId="0" borderId="77" xfId="0" applyNumberFormat="1" applyFont="1" applyBorder="1" applyAlignment="1">
      <alignment horizontal="center" vertical="center"/>
    </xf>
    <xf numFmtId="0" fontId="53" fillId="0" borderId="77" xfId="0" applyFont="1" applyBorder="1" applyAlignment="1">
      <alignment horizontal="center" vertical="center" wrapText="1"/>
    </xf>
    <xf numFmtId="49" fontId="57" fillId="0" borderId="77" xfId="0" applyNumberFormat="1" applyFont="1" applyFill="1" applyBorder="1" applyAlignment="1">
      <alignment horizontal="center" vertical="center"/>
    </xf>
    <xf numFmtId="0" fontId="57" fillId="0" borderId="77" xfId="0" applyFont="1" applyFill="1" applyBorder="1" applyAlignment="1">
      <alignment vertical="center" wrapText="1"/>
    </xf>
    <xf numFmtId="0" fontId="57" fillId="0" borderId="77" xfId="0" applyFont="1" applyFill="1" applyBorder="1" applyAlignment="1">
      <alignment horizontal="center" vertical="center"/>
    </xf>
    <xf numFmtId="1" fontId="57" fillId="0" borderId="77" xfId="0" applyNumberFormat="1" applyFont="1" applyFill="1" applyBorder="1" applyAlignment="1">
      <alignment horizontal="center" vertical="center"/>
    </xf>
    <xf numFmtId="165" fontId="53" fillId="0" borderId="77" xfId="4" applyNumberFormat="1" applyFont="1" applyBorder="1" applyAlignment="1">
      <alignment vertical="center"/>
    </xf>
    <xf numFmtId="167" fontId="55" fillId="0" borderId="77" xfId="0" applyNumberFormat="1" applyFont="1" applyBorder="1" applyAlignment="1">
      <alignment horizontal="center" vertical="center" wrapText="1"/>
    </xf>
    <xf numFmtId="0" fontId="56" fillId="0" borderId="77" xfId="0" applyFont="1" applyBorder="1" applyAlignment="1">
      <alignment horizontal="left" vertical="center" wrapText="1"/>
    </xf>
    <xf numFmtId="49" fontId="57" fillId="0" borderId="75" xfId="0" applyNumberFormat="1" applyFont="1" applyBorder="1" applyAlignment="1">
      <alignment horizontal="center" vertical="center"/>
    </xf>
    <xf numFmtId="0" fontId="57" fillId="0" borderId="75" xfId="0" applyFont="1" applyBorder="1" applyAlignment="1">
      <alignment vertical="center" wrapText="1"/>
    </xf>
    <xf numFmtId="0" fontId="55" fillId="0" borderId="78" xfId="0" applyFont="1" applyBorder="1" applyAlignment="1">
      <alignment vertical="center" wrapText="1"/>
    </xf>
    <xf numFmtId="0" fontId="53" fillId="0" borderId="79" xfId="0" applyFont="1" applyBorder="1" applyAlignment="1">
      <alignment horizontal="center" vertical="center"/>
    </xf>
    <xf numFmtId="167" fontId="53" fillId="0" borderId="79" xfId="0" applyNumberFormat="1" applyFont="1" applyBorder="1" applyAlignment="1">
      <alignment horizontal="center" vertical="center"/>
    </xf>
    <xf numFmtId="0" fontId="53" fillId="0" borderId="80" xfId="0" applyFont="1" applyBorder="1" applyAlignment="1">
      <alignment horizontal="center" vertical="center" wrapText="1"/>
    </xf>
    <xf numFmtId="49" fontId="53" fillId="0" borderId="79" xfId="0" applyNumberFormat="1" applyFont="1" applyBorder="1" applyAlignment="1">
      <alignment horizontal="center" vertical="center"/>
    </xf>
    <xf numFmtId="0" fontId="53" fillId="0" borderId="79" xfId="0" applyFont="1" applyBorder="1" applyAlignment="1">
      <alignment vertical="center" wrapText="1"/>
    </xf>
    <xf numFmtId="1" fontId="53" fillId="0" borderId="79" xfId="0" applyNumberFormat="1" applyFont="1" applyBorder="1" applyAlignment="1">
      <alignment horizontal="center" vertical="center"/>
    </xf>
    <xf numFmtId="165" fontId="53" fillId="0" borderId="79" xfId="4" applyFont="1" applyBorder="1" applyAlignment="1">
      <alignment vertical="center"/>
    </xf>
    <xf numFmtId="165" fontId="53" fillId="0" borderId="79" xfId="4" applyNumberFormat="1" applyFont="1" applyBorder="1" applyAlignment="1">
      <alignment vertical="center"/>
    </xf>
    <xf numFmtId="167" fontId="55" fillId="0" borderId="79" xfId="0" applyNumberFormat="1" applyFont="1" applyBorder="1" applyAlignment="1">
      <alignment horizontal="center" vertical="center" wrapText="1"/>
    </xf>
    <xf numFmtId="0" fontId="56" fillId="0" borderId="79" xfId="0" applyFont="1" applyBorder="1" applyAlignment="1">
      <alignment horizontal="left" vertical="center" wrapText="1"/>
    </xf>
    <xf numFmtId="0" fontId="55" fillId="0" borderId="79" xfId="0" applyFont="1" applyBorder="1" applyAlignment="1">
      <alignment vertical="center" wrapText="1"/>
    </xf>
    <xf numFmtId="0" fontId="60" fillId="0" borderId="81" xfId="0" applyFont="1" applyBorder="1" applyAlignment="1">
      <alignment horizontal="center" vertical="center"/>
    </xf>
    <xf numFmtId="167" fontId="54" fillId="3" borderId="81" xfId="0" applyNumberFormat="1" applyFont="1" applyFill="1" applyBorder="1" applyAlignment="1">
      <alignment horizontal="center" vertical="center"/>
    </xf>
    <xf numFmtId="0" fontId="53" fillId="0" borderId="82" xfId="0" applyFont="1" applyBorder="1" applyAlignment="1">
      <alignment horizontal="center" vertical="center" wrapText="1"/>
    </xf>
    <xf numFmtId="49" fontId="53" fillId="0" borderId="81" xfId="0" applyNumberFormat="1" applyFont="1" applyBorder="1" applyAlignment="1">
      <alignment horizontal="center" vertical="center"/>
    </xf>
    <xf numFmtId="0" fontId="53" fillId="0" borderId="81" xfId="0" applyFont="1" applyBorder="1" applyAlignment="1">
      <alignment vertical="center" wrapText="1"/>
    </xf>
    <xf numFmtId="0" fontId="53" fillId="0" borderId="81" xfId="0" applyFont="1" applyBorder="1" applyAlignment="1">
      <alignment horizontal="center" vertical="center"/>
    </xf>
    <xf numFmtId="1" fontId="53" fillId="0" borderId="81" xfId="0" applyNumberFormat="1" applyFont="1" applyBorder="1" applyAlignment="1">
      <alignment horizontal="center" vertical="center"/>
    </xf>
    <xf numFmtId="165" fontId="53" fillId="0" borderId="71" xfId="4" applyFont="1" applyBorder="1" applyAlignment="1">
      <alignment vertical="center"/>
    </xf>
    <xf numFmtId="165" fontId="53" fillId="0" borderId="81" xfId="4" applyFont="1" applyBorder="1" applyAlignment="1">
      <alignment vertical="center"/>
    </xf>
    <xf numFmtId="165" fontId="53" fillId="0" borderId="81" xfId="4" applyNumberFormat="1" applyFont="1" applyBorder="1" applyAlignment="1">
      <alignment vertical="center"/>
    </xf>
    <xf numFmtId="167" fontId="55" fillId="0" borderId="81" xfId="0" applyNumberFormat="1" applyFont="1" applyBorder="1" applyAlignment="1">
      <alignment horizontal="center" vertical="center" wrapText="1"/>
    </xf>
    <xf numFmtId="0" fontId="56" fillId="0" borderId="81" xfId="0" applyFont="1" applyBorder="1" applyAlignment="1">
      <alignment horizontal="left" vertical="center" wrapText="1"/>
    </xf>
    <xf numFmtId="0" fontId="55" fillId="0" borderId="71" xfId="0" applyFont="1" applyBorder="1" applyAlignment="1">
      <alignment vertical="center" wrapText="1"/>
    </xf>
    <xf numFmtId="0" fontId="60" fillId="0" borderId="75" xfId="0" applyFont="1" applyBorder="1" applyAlignment="1">
      <alignment horizontal="center" vertical="center"/>
    </xf>
    <xf numFmtId="167" fontId="60" fillId="0" borderId="75" xfId="0" applyNumberFormat="1" applyFont="1" applyBorder="1" applyAlignment="1">
      <alignment horizontal="center" vertical="center"/>
    </xf>
    <xf numFmtId="0" fontId="57" fillId="0" borderId="77" xfId="0" applyFont="1" applyBorder="1" applyAlignment="1">
      <alignment horizontal="center" vertical="center" wrapText="1"/>
    </xf>
    <xf numFmtId="0" fontId="53" fillId="0" borderId="75" xfId="0" applyFont="1" applyFill="1" applyBorder="1" applyAlignment="1">
      <alignment horizontal="center" vertical="center"/>
    </xf>
    <xf numFmtId="1" fontId="53" fillId="0" borderId="75" xfId="0" applyNumberFormat="1" applyFont="1" applyFill="1" applyBorder="1" applyAlignment="1">
      <alignment horizontal="center" vertical="center"/>
    </xf>
    <xf numFmtId="165" fontId="53" fillId="0" borderId="73" xfId="4" applyFont="1" applyFill="1" applyBorder="1" applyAlignment="1">
      <alignment vertical="center"/>
    </xf>
    <xf numFmtId="165" fontId="53" fillId="0" borderId="75" xfId="4" applyFont="1" applyFill="1" applyBorder="1" applyAlignment="1">
      <alignment vertical="center"/>
    </xf>
    <xf numFmtId="165" fontId="53" fillId="0" borderId="75" xfId="4" applyNumberFormat="1" applyFont="1" applyFill="1" applyBorder="1" applyAlignment="1">
      <alignment vertical="center"/>
    </xf>
    <xf numFmtId="167" fontId="55" fillId="0" borderId="75" xfId="0" applyNumberFormat="1" applyFont="1" applyFill="1" applyBorder="1" applyAlignment="1">
      <alignment horizontal="center" vertical="center" wrapText="1"/>
    </xf>
    <xf numFmtId="0" fontId="56" fillId="0" borderId="75" xfId="0" applyFont="1" applyFill="1" applyBorder="1" applyAlignment="1">
      <alignment horizontal="left" vertical="center" wrapText="1"/>
    </xf>
    <xf numFmtId="0" fontId="55" fillId="0" borderId="73" xfId="0" applyFont="1" applyFill="1" applyBorder="1" applyAlignment="1">
      <alignment vertical="center" wrapText="1"/>
    </xf>
    <xf numFmtId="0" fontId="57" fillId="0" borderId="77" xfId="0" applyFont="1" applyFill="1" applyBorder="1" applyAlignment="1">
      <alignment horizontal="center" vertical="center" wrapText="1"/>
    </xf>
    <xf numFmtId="0" fontId="53" fillId="0" borderId="75" xfId="0" applyFont="1" applyFill="1" applyBorder="1" applyAlignment="1">
      <alignment vertical="center" wrapText="1"/>
    </xf>
    <xf numFmtId="0" fontId="55" fillId="0" borderId="75" xfId="0" applyFont="1" applyFill="1" applyBorder="1" applyAlignment="1">
      <alignment vertical="center" wrapText="1"/>
    </xf>
    <xf numFmtId="0" fontId="55" fillId="0" borderId="78" xfId="0" applyFont="1" applyFill="1" applyBorder="1" applyAlignment="1">
      <alignment vertical="center" wrapText="1"/>
    </xf>
    <xf numFmtId="49" fontId="53" fillId="0" borderId="83" xfId="0" applyNumberFormat="1" applyFont="1" applyFill="1" applyBorder="1" applyAlignment="1">
      <alignment horizontal="center" vertical="center"/>
    </xf>
    <xf numFmtId="0" fontId="53" fillId="0" borderId="83" xfId="0" applyFont="1" applyFill="1" applyBorder="1" applyAlignment="1">
      <alignment vertical="center" wrapText="1"/>
    </xf>
    <xf numFmtId="0" fontId="53" fillId="0" borderId="83" xfId="0" applyFont="1" applyFill="1" applyBorder="1" applyAlignment="1">
      <alignment horizontal="center" vertical="center"/>
    </xf>
    <xf numFmtId="1" fontId="53" fillId="0" borderId="83" xfId="0" applyNumberFormat="1" applyFont="1" applyFill="1" applyBorder="1" applyAlignment="1">
      <alignment horizontal="center" vertical="center"/>
    </xf>
    <xf numFmtId="167" fontId="55" fillId="0" borderId="83" xfId="0" applyNumberFormat="1" applyFont="1" applyFill="1" applyBorder="1" applyAlignment="1">
      <alignment horizontal="center" vertical="center" wrapText="1"/>
    </xf>
    <xf numFmtId="0" fontId="56" fillId="0" borderId="83" xfId="0" applyFont="1" applyFill="1" applyBorder="1" applyAlignment="1">
      <alignment horizontal="left" vertical="center" wrapText="1"/>
    </xf>
    <xf numFmtId="0" fontId="55" fillId="0" borderId="83" xfId="0" applyFont="1" applyFill="1" applyBorder="1" applyAlignment="1">
      <alignment vertical="center" wrapText="1"/>
    </xf>
    <xf numFmtId="0" fontId="53" fillId="0" borderId="77" xfId="0" applyFont="1" applyFill="1" applyBorder="1" applyAlignment="1">
      <alignment horizontal="center" vertical="center" wrapText="1"/>
    </xf>
    <xf numFmtId="0" fontId="61" fillId="0" borderId="83" xfId="0" applyFont="1" applyFill="1" applyBorder="1" applyAlignment="1">
      <alignment vertical="center" wrapText="1"/>
    </xf>
    <xf numFmtId="0" fontId="60" fillId="0" borderId="73" xfId="0" applyFont="1" applyBorder="1" applyAlignment="1">
      <alignment horizontal="center" vertical="center"/>
    </xf>
    <xf numFmtId="49" fontId="53" fillId="0" borderId="83" xfId="0" applyNumberFormat="1" applyFont="1" applyBorder="1" applyAlignment="1">
      <alignment horizontal="center" vertical="center"/>
    </xf>
    <xf numFmtId="0" fontId="53" fillId="0" borderId="83" xfId="0" applyFont="1" applyBorder="1" applyAlignment="1">
      <alignment vertical="center" wrapText="1"/>
    </xf>
    <xf numFmtId="0" fontId="53" fillId="0" borderId="84" xfId="0" applyFont="1" applyBorder="1" applyAlignment="1">
      <alignment horizontal="center" vertical="center"/>
    </xf>
    <xf numFmtId="1" fontId="53" fillId="0" borderId="84" xfId="0" applyNumberFormat="1" applyFont="1" applyBorder="1" applyAlignment="1">
      <alignment horizontal="center" vertical="center"/>
    </xf>
    <xf numFmtId="167" fontId="55" fillId="0" borderId="83" xfId="0" applyNumberFormat="1" applyFont="1" applyBorder="1" applyAlignment="1">
      <alignment horizontal="center" vertical="center" wrapText="1"/>
    </xf>
    <xf numFmtId="0" fontId="56" fillId="0" borderId="83" xfId="0" applyFont="1" applyBorder="1" applyAlignment="1">
      <alignment horizontal="left" vertical="center" wrapText="1"/>
    </xf>
    <xf numFmtId="0" fontId="55" fillId="0" borderId="83" xfId="0" applyFont="1" applyBorder="1" applyAlignment="1">
      <alignment vertical="center" wrapText="1"/>
    </xf>
    <xf numFmtId="49" fontId="57" fillId="0" borderId="73" xfId="0" applyNumberFormat="1" applyFont="1" applyBorder="1" applyAlignment="1">
      <alignment horizontal="center" vertical="center"/>
    </xf>
    <xf numFmtId="0" fontId="57" fillId="0" borderId="73" xfId="0" applyFont="1" applyBorder="1" applyAlignment="1">
      <alignment vertical="center" wrapText="1"/>
    </xf>
    <xf numFmtId="0" fontId="53" fillId="0" borderId="73" xfId="0" applyFont="1" applyFill="1" applyBorder="1" applyAlignment="1">
      <alignment horizontal="center" vertical="center"/>
    </xf>
    <xf numFmtId="1" fontId="53" fillId="0" borderId="73" xfId="0" applyNumberFormat="1" applyFont="1" applyFill="1" applyBorder="1" applyAlignment="1">
      <alignment horizontal="center" vertical="center"/>
    </xf>
    <xf numFmtId="167" fontId="55" fillId="0" borderId="73" xfId="0" applyNumberFormat="1" applyFont="1" applyFill="1" applyBorder="1" applyAlignment="1">
      <alignment horizontal="center" vertical="center" wrapText="1"/>
    </xf>
    <xf numFmtId="0" fontId="56" fillId="0" borderId="73" xfId="0" applyFont="1" applyFill="1" applyBorder="1" applyAlignment="1">
      <alignment horizontal="left" vertical="center" wrapText="1"/>
    </xf>
    <xf numFmtId="0" fontId="61" fillId="0" borderId="73" xfId="0" applyFont="1" applyFill="1" applyBorder="1" applyAlignment="1">
      <alignment vertical="center" wrapText="1"/>
    </xf>
    <xf numFmtId="0" fontId="53" fillId="0" borderId="85" xfId="0" applyFont="1" applyBorder="1" applyAlignment="1">
      <alignment horizontal="center" vertical="center"/>
    </xf>
    <xf numFmtId="1" fontId="53" fillId="0" borderId="85" xfId="0" applyNumberFormat="1" applyFont="1" applyBorder="1" applyAlignment="1">
      <alignment horizontal="center" vertical="center"/>
    </xf>
    <xf numFmtId="0" fontId="60" fillId="0" borderId="86" xfId="0" applyFont="1" applyBorder="1" applyAlignment="1">
      <alignment horizontal="center" vertical="center"/>
    </xf>
    <xf numFmtId="167" fontId="53" fillId="0" borderId="87" xfId="0" applyNumberFormat="1" applyFont="1" applyBorder="1" applyAlignment="1">
      <alignment horizontal="center" vertical="center"/>
    </xf>
    <xf numFmtId="0" fontId="53" fillId="0" borderId="88" xfId="0" applyFont="1" applyBorder="1" applyAlignment="1">
      <alignment horizontal="center" vertical="center" wrapText="1"/>
    </xf>
    <xf numFmtId="49" fontId="57" fillId="0" borderId="87" xfId="0" applyNumberFormat="1" applyFont="1" applyBorder="1" applyAlignment="1">
      <alignment horizontal="center" vertical="center"/>
    </xf>
    <xf numFmtId="0" fontId="57" fillId="0" borderId="87" xfId="0" applyFont="1" applyBorder="1" applyAlignment="1">
      <alignment vertical="center" wrapText="1"/>
    </xf>
    <xf numFmtId="0" fontId="53" fillId="0" borderId="87" xfId="0" applyFont="1" applyFill="1" applyBorder="1" applyAlignment="1">
      <alignment horizontal="center" vertical="center"/>
    </xf>
    <xf numFmtId="1" fontId="53" fillId="0" borderId="87" xfId="0" applyNumberFormat="1" applyFont="1" applyFill="1" applyBorder="1" applyAlignment="1">
      <alignment horizontal="center" vertical="center"/>
    </xf>
    <xf numFmtId="165" fontId="53" fillId="0" borderId="87" xfId="4" applyFont="1" applyFill="1" applyBorder="1" applyAlignment="1">
      <alignment vertical="center"/>
    </xf>
    <xf numFmtId="165" fontId="53" fillId="0" borderId="79" xfId="4" applyFont="1" applyFill="1" applyBorder="1" applyAlignment="1">
      <alignment vertical="center"/>
    </xf>
    <xf numFmtId="167" fontId="55" fillId="0" borderId="87" xfId="0" applyNumberFormat="1" applyFont="1" applyFill="1" applyBorder="1" applyAlignment="1">
      <alignment horizontal="center" vertical="center" wrapText="1"/>
    </xf>
    <xf numFmtId="0" fontId="56" fillId="0" borderId="87" xfId="0" applyFont="1" applyFill="1" applyBorder="1" applyAlignment="1">
      <alignment horizontal="left" vertical="center" wrapText="1"/>
    </xf>
    <xf numFmtId="0" fontId="55" fillId="0" borderId="87" xfId="0" applyFont="1" applyBorder="1" applyAlignment="1">
      <alignment vertical="center" wrapText="1"/>
    </xf>
    <xf numFmtId="0" fontId="55" fillId="0" borderId="89" xfId="0" applyFont="1" applyBorder="1" applyAlignment="1">
      <alignment vertical="center" wrapText="1"/>
    </xf>
    <xf numFmtId="0" fontId="62" fillId="0" borderId="71" xfId="0" applyFont="1" applyBorder="1" applyAlignment="1">
      <alignment horizontal="center" vertical="center"/>
    </xf>
    <xf numFmtId="167" fontId="54" fillId="6" borderId="71" xfId="0" applyNumberFormat="1" applyFont="1" applyFill="1" applyBorder="1" applyAlignment="1">
      <alignment horizontal="center" vertical="center"/>
    </xf>
    <xf numFmtId="0" fontId="53" fillId="0" borderId="90" xfId="0" applyFont="1" applyBorder="1" applyAlignment="1">
      <alignment horizontal="center" vertical="center" wrapText="1"/>
    </xf>
    <xf numFmtId="49" fontId="53" fillId="0" borderId="71" xfId="0" applyNumberFormat="1" applyFont="1" applyFill="1" applyBorder="1" applyAlignment="1">
      <alignment horizontal="center" vertical="center"/>
    </xf>
    <xf numFmtId="0" fontId="53" fillId="0" borderId="71" xfId="0" applyFont="1" applyBorder="1" applyAlignment="1">
      <alignment vertical="center" wrapText="1"/>
    </xf>
    <xf numFmtId="0" fontId="53" fillId="0" borderId="71" xfId="0" applyFont="1" applyFill="1" applyBorder="1" applyAlignment="1">
      <alignment horizontal="center" vertical="center"/>
    </xf>
    <xf numFmtId="0" fontId="53" fillId="0" borderId="71" xfId="0" applyFont="1" applyBorder="1" applyAlignment="1">
      <alignment horizontal="center" vertical="center"/>
    </xf>
    <xf numFmtId="1" fontId="53" fillId="0" borderId="71" xfId="0" applyNumberFormat="1" applyFont="1" applyBorder="1" applyAlignment="1">
      <alignment horizontal="center" vertical="center"/>
    </xf>
    <xf numFmtId="167" fontId="55" fillId="0" borderId="71" xfId="0" applyNumberFormat="1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left" vertical="center" wrapText="1"/>
    </xf>
    <xf numFmtId="0" fontId="55" fillId="0" borderId="71" xfId="0" applyFont="1" applyFill="1" applyBorder="1" applyAlignment="1">
      <alignment vertical="center" wrapText="1"/>
    </xf>
    <xf numFmtId="0" fontId="55" fillId="0" borderId="72" xfId="0" applyFont="1" applyFill="1" applyBorder="1" applyAlignment="1">
      <alignment vertical="center" wrapText="1"/>
    </xf>
    <xf numFmtId="0" fontId="62" fillId="0" borderId="73" xfId="0" applyFont="1" applyBorder="1" applyAlignment="1">
      <alignment horizontal="center" vertical="center"/>
    </xf>
    <xf numFmtId="49" fontId="53" fillId="0" borderId="73" xfId="0" applyNumberFormat="1" applyFont="1" applyFill="1" applyBorder="1" applyAlignment="1">
      <alignment horizontal="center" vertical="center"/>
    </xf>
    <xf numFmtId="0" fontId="55" fillId="0" borderId="74" xfId="0" applyFont="1" applyFill="1" applyBorder="1" applyAlignment="1">
      <alignment vertical="center" wrapText="1"/>
    </xf>
    <xf numFmtId="0" fontId="53" fillId="0" borderId="73" xfId="0" applyFont="1" applyFill="1" applyBorder="1" applyAlignment="1">
      <alignment vertical="center" wrapText="1"/>
    </xf>
    <xf numFmtId="0" fontId="57" fillId="0" borderId="73" xfId="0" applyFont="1" applyBorder="1" applyAlignment="1">
      <alignment horizontal="center" vertical="center"/>
    </xf>
    <xf numFmtId="0" fontId="57" fillId="0" borderId="73" xfId="0" applyFont="1" applyFill="1" applyBorder="1" applyAlignment="1">
      <alignment horizontal="center" vertical="center"/>
    </xf>
    <xf numFmtId="49" fontId="63" fillId="0" borderId="73" xfId="0" applyNumberFormat="1" applyFont="1" applyFill="1" applyBorder="1" applyAlignment="1">
      <alignment horizontal="center" vertical="center"/>
    </xf>
    <xf numFmtId="0" fontId="63" fillId="0" borderId="73" xfId="0" applyFont="1" applyFill="1" applyBorder="1" applyAlignment="1">
      <alignment vertical="center" wrapText="1"/>
    </xf>
    <xf numFmtId="0" fontId="63" fillId="0" borderId="73" xfId="0" applyFont="1" applyFill="1" applyBorder="1" applyAlignment="1">
      <alignment horizontal="center" vertical="center"/>
    </xf>
    <xf numFmtId="1" fontId="63" fillId="0" borderId="73" xfId="0" applyNumberFormat="1" applyFont="1" applyFill="1" applyBorder="1" applyAlignment="1">
      <alignment horizontal="center" vertical="center"/>
    </xf>
    <xf numFmtId="167" fontId="64" fillId="0" borderId="73" xfId="0" applyNumberFormat="1" applyFont="1" applyFill="1" applyBorder="1" applyAlignment="1">
      <alignment horizontal="center" vertical="center" wrapText="1"/>
    </xf>
    <xf numFmtId="0" fontId="65" fillId="0" borderId="73" xfId="0" applyFont="1" applyFill="1" applyBorder="1" applyAlignment="1">
      <alignment horizontal="left" vertical="center" wrapText="1"/>
    </xf>
    <xf numFmtId="0" fontId="27" fillId="0" borderId="59" xfId="0" applyFont="1" applyFill="1" applyBorder="1" applyAlignment="1">
      <alignment horizontal="center" vertical="center" wrapText="1"/>
    </xf>
    <xf numFmtId="0" fontId="27" fillId="0" borderId="60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/>
    </xf>
    <xf numFmtId="0" fontId="2" fillId="0" borderId="53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5" fillId="0" borderId="62" xfId="0" applyFont="1" applyBorder="1" applyAlignment="1">
      <alignment horizontal="center" vertical="center" wrapText="1" shrinkToFit="1"/>
    </xf>
    <xf numFmtId="0" fontId="5" fillId="0" borderId="65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5" fillId="0" borderId="66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5" fillId="0" borderId="61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19" fillId="0" borderId="61" xfId="0" applyFont="1" applyBorder="1" applyAlignment="1">
      <alignment horizontal="center" vertical="center" wrapText="1" shrinkToFit="1"/>
    </xf>
    <xf numFmtId="0" fontId="19" fillId="0" borderId="30" xfId="0" applyFont="1" applyBorder="1" applyAlignment="1">
      <alignment horizontal="center" vertical="center" wrapText="1" shrinkToFit="1"/>
    </xf>
    <xf numFmtId="0" fontId="5" fillId="0" borderId="38" xfId="0" applyFont="1" applyBorder="1" applyAlignment="1">
      <alignment horizontal="center" vertical="center" wrapText="1" shrinkToFit="1"/>
    </xf>
    <xf numFmtId="0" fontId="5" fillId="0" borderId="39" xfId="0" applyFont="1" applyBorder="1" applyAlignment="1">
      <alignment horizontal="center" vertical="center" wrapText="1" shrinkToFit="1"/>
    </xf>
    <xf numFmtId="0" fontId="5" fillId="0" borderId="63" xfId="0" applyFont="1" applyBorder="1" applyAlignment="1">
      <alignment horizontal="center" vertical="center" wrapText="1" shrinkToFit="1"/>
    </xf>
    <xf numFmtId="0" fontId="36" fillId="0" borderId="56" xfId="0" applyFont="1" applyBorder="1" applyAlignment="1">
      <alignment horizontal="center" vertical="center" wrapText="1" shrinkToFit="1"/>
    </xf>
    <xf numFmtId="0" fontId="36" fillId="0" borderId="64" xfId="0" applyFont="1" applyBorder="1" applyAlignment="1">
      <alignment horizontal="center" vertical="center" wrapText="1" shrinkToFit="1"/>
    </xf>
    <xf numFmtId="0" fontId="15" fillId="0" borderId="0" xfId="7" applyFont="1" applyAlignment="1">
      <alignment horizontal="center"/>
    </xf>
    <xf numFmtId="0" fontId="15" fillId="0" borderId="67" xfId="9" applyFont="1" applyBorder="1" applyAlignment="1">
      <alignment horizontal="center" vertical="center" wrapText="1"/>
    </xf>
    <xf numFmtId="0" fontId="15" fillId="0" borderId="68" xfId="9" applyFont="1" applyBorder="1" applyAlignment="1">
      <alignment horizontal="center" vertical="center" wrapText="1"/>
    </xf>
    <xf numFmtId="0" fontId="15" fillId="0" borderId="69" xfId="9" applyFont="1" applyBorder="1" applyAlignment="1">
      <alignment horizontal="center" vertical="center" wrapText="1"/>
    </xf>
    <xf numFmtId="0" fontId="18" fillId="0" borderId="70" xfId="7" applyFont="1" applyBorder="1" applyAlignment="1">
      <alignment horizontal="center"/>
    </xf>
    <xf numFmtId="0" fontId="14" fillId="0" borderId="67" xfId="7" applyFont="1" applyBorder="1" applyAlignment="1">
      <alignment horizontal="center" wrapText="1"/>
    </xf>
    <xf numFmtId="0" fontId="14" fillId="0" borderId="68" xfId="7" applyFont="1" applyBorder="1" applyAlignment="1">
      <alignment horizontal="center" wrapText="1"/>
    </xf>
    <xf numFmtId="0" fontId="14" fillId="0" borderId="69" xfId="7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67" xfId="0" applyFont="1" applyBorder="1" applyAlignment="1">
      <alignment horizontal="center" wrapText="1"/>
    </xf>
    <xf numFmtId="0" fontId="14" fillId="0" borderId="68" xfId="0" applyFont="1" applyBorder="1" applyAlignment="1">
      <alignment horizontal="center" wrapText="1"/>
    </xf>
    <xf numFmtId="0" fontId="14" fillId="0" borderId="69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 wrapText="1"/>
    </xf>
    <xf numFmtId="0" fontId="45" fillId="0" borderId="0" xfId="0" applyFont="1" applyBorder="1" applyAlignment="1">
      <alignment horizontal="center" vertical="center"/>
    </xf>
  </cellXfs>
  <cellStyles count="14">
    <cellStyle name="Euro" xfId="1"/>
    <cellStyle name="Euro 2" xfId="2"/>
    <cellStyle name="Hipervínculo 2" xfId="3"/>
    <cellStyle name="Moneda" xfId="4" builtinId="4"/>
    <cellStyle name="Moneda 2" xfId="5"/>
    <cellStyle name="Moneda 3" xfId="6"/>
    <cellStyle name="Normal" xfId="0" builtinId="0"/>
    <cellStyle name="Normal 2" xfId="7"/>
    <cellStyle name="Normal 2 2" xfId="8"/>
    <cellStyle name="Normal 3" xfId="9"/>
    <cellStyle name="Normal 3 2" xfId="10"/>
    <cellStyle name="Porcentaje" xfId="11" builtinId="5"/>
    <cellStyle name="Porcentaje 2" xfId="12"/>
    <cellStyle name="Porcentual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MARZO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MENSUAL'!$E$26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MENSUAL'!$B$27:$B$37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MENSUAL'!$E$27:$E$37</c:f>
              <c:numCache>
                <c:formatCode>_("$"* #,##0.00_);_("$"* \(#,##0.00\);_("$"* "-"??_);_(@_)</c:formatCode>
                <c:ptCount val="11"/>
                <c:pt idx="0">
                  <c:v>67165.680000000008</c:v>
                </c:pt>
                <c:pt idx="1">
                  <c:v>160879.97</c:v>
                </c:pt>
                <c:pt idx="2">
                  <c:v>14857.14</c:v>
                </c:pt>
                <c:pt idx="3">
                  <c:v>0</c:v>
                </c:pt>
                <c:pt idx="4">
                  <c:v>8000.0099999999993</c:v>
                </c:pt>
                <c:pt idx="5">
                  <c:v>0</c:v>
                </c:pt>
                <c:pt idx="6">
                  <c:v>9257.16</c:v>
                </c:pt>
                <c:pt idx="7">
                  <c:v>16000.039999999999</c:v>
                </c:pt>
                <c:pt idx="8">
                  <c:v>74391.849999999991</c:v>
                </c:pt>
                <c:pt idx="9">
                  <c:v>161143.00999999998</c:v>
                </c:pt>
                <c:pt idx="10">
                  <c:v>10523.96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553278816"/>
        <c:axId val="553285344"/>
        <c:axId val="0"/>
      </c:bar3DChart>
      <c:catAx>
        <c:axId val="5532788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553285344"/>
        <c:crosses val="autoZero"/>
        <c:auto val="1"/>
        <c:lblAlgn val="ctr"/>
        <c:lblOffset val="100"/>
        <c:noMultiLvlLbl val="0"/>
      </c:catAx>
      <c:valAx>
        <c:axId val="553285344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553278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39</xdr:row>
      <xdr:rowOff>123825</xdr:rowOff>
    </xdr:from>
    <xdr:to>
      <xdr:col>7</xdr:col>
      <xdr:colOff>66675</xdr:colOff>
      <xdr:row>74</xdr:row>
      <xdr:rowOff>38100</xdr:rowOff>
    </xdr:to>
    <xdr:graphicFrame macro="">
      <xdr:nvGraphicFramePr>
        <xdr:cNvPr id="2391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raly.Morataya\Desktop\RECLAMOS%202021\LIBRO%20DE%20REPORTE%20A&#209;O%202022\LIBRO%20DE%20REPORTE%20DE%20FALLECIDOS%20Y%20ESTADISTICAS%20A&#209;O%202022-marzo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cilia.Medina01\Desktop\NELSON%2028022022%20LIBRO%20DE%20REPORTE%20DE%20FALLECID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 REPORTES 2022"/>
      <sheetName val="LIBRO DE REPORTE DE FALLECIDOS 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 REPORTES 2022"/>
      <sheetName val="NELSON 28022022 LIBRO DE REPORT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9"/>
  <sheetViews>
    <sheetView zoomScale="98" zoomScaleNormal="98" workbookViewId="0">
      <selection activeCell="H10" sqref="H10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2" spans="2:9" x14ac:dyDescent="0.2">
      <c r="B2" s="146" t="s">
        <v>105</v>
      </c>
      <c r="C2" s="215">
        <f>'1. RESUMEN DE PAGADOS '!B22+'1. RESUMEN DE PAGADOS '!C22</f>
        <v>0</v>
      </c>
      <c r="D2" s="139"/>
      <c r="E2" s="271">
        <v>64</v>
      </c>
      <c r="F2" s="140"/>
    </row>
    <row r="3" spans="2:9" ht="13.5" thickBot="1" x14ac:dyDescent="0.25"/>
    <row r="4" spans="2:9" ht="39" thickBot="1" x14ac:dyDescent="0.25">
      <c r="B4" s="242" t="s">
        <v>75</v>
      </c>
      <c r="C4" s="133" t="s">
        <v>77</v>
      </c>
      <c r="D4" s="133" t="s">
        <v>104</v>
      </c>
      <c r="E4" s="133" t="s">
        <v>76</v>
      </c>
      <c r="F4" s="218" t="s">
        <v>85</v>
      </c>
    </row>
    <row r="5" spans="2:9" ht="15.75" customHeight="1" x14ac:dyDescent="0.2">
      <c r="B5" s="241" t="s">
        <v>78</v>
      </c>
      <c r="C5" s="135">
        <f>6+11+2+4</f>
        <v>23</v>
      </c>
      <c r="D5" s="135">
        <f>[1]TOTALES!$D$4</f>
        <v>52</v>
      </c>
      <c r="E5" s="224">
        <f>'1. RESUMEN DE PAGADOS '!G13</f>
        <v>67165.680000000008</v>
      </c>
      <c r="F5" s="221">
        <f>E5/E15</f>
        <v>0.24321292004634992</v>
      </c>
    </row>
    <row r="6" spans="2:9" x14ac:dyDescent="0.2">
      <c r="B6" s="172" t="s">
        <v>79</v>
      </c>
      <c r="C6" s="219">
        <f>10+10+7+8</f>
        <v>35</v>
      </c>
      <c r="D6" s="139">
        <f>[1]TOTALES!$D$6</f>
        <v>74</v>
      </c>
      <c r="E6" s="224">
        <f>'1. RESUMEN DE PAGADOS '!H13</f>
        <v>160879.97</v>
      </c>
      <c r="F6" s="222">
        <f>E6/E15</f>
        <v>0.58256072566628025</v>
      </c>
    </row>
    <row r="7" spans="2:9" ht="25.5" x14ac:dyDescent="0.2">
      <c r="B7" s="172" t="s">
        <v>108</v>
      </c>
      <c r="C7" s="219">
        <f>1+1+1+1+1</f>
        <v>5</v>
      </c>
      <c r="D7" s="139">
        <f>7</f>
        <v>7</v>
      </c>
      <c r="E7" s="224">
        <f>'1. RESUMEN DE PAGADOS '!I13</f>
        <v>14857.14</v>
      </c>
      <c r="F7" s="222">
        <f>E7/E15</f>
        <v>5.3799029548088052E-2</v>
      </c>
    </row>
    <row r="8" spans="2:9" ht="25.5" x14ac:dyDescent="0.2">
      <c r="B8" s="172" t="s">
        <v>99</v>
      </c>
      <c r="C8" s="220">
        <v>0</v>
      </c>
      <c r="D8" s="216">
        <v>2</v>
      </c>
      <c r="E8" s="224">
        <f>'1. RESUMEN DE PAGADOS '!K11</f>
        <v>0</v>
      </c>
      <c r="F8" s="222">
        <f>E8/E15</f>
        <v>0</v>
      </c>
    </row>
    <row r="9" spans="2:9" x14ac:dyDescent="0.2">
      <c r="B9" s="172" t="s">
        <v>80</v>
      </c>
      <c r="C9" s="139">
        <f>1+1</f>
        <v>2</v>
      </c>
      <c r="D9" s="135">
        <f>[1]TOTALES!$D$12</f>
        <v>3</v>
      </c>
      <c r="E9" s="224">
        <f>'1. RESUMEN DE PAGADOS '!M13</f>
        <v>8000.0099999999993</v>
      </c>
      <c r="F9" s="222">
        <f>E9/E15</f>
        <v>2.8968749999999991E-2</v>
      </c>
    </row>
    <row r="10" spans="2:9" x14ac:dyDescent="0.2">
      <c r="B10" s="172" t="s">
        <v>94</v>
      </c>
      <c r="C10" s="139">
        <v>0</v>
      </c>
      <c r="D10" s="139">
        <f>[1]TOTALES!$D$14</f>
        <v>2</v>
      </c>
      <c r="E10" s="225">
        <f>'1. RESUMEN DE PAGADOS '!O13</f>
        <v>0</v>
      </c>
      <c r="F10" s="222">
        <f>E10/E15</f>
        <v>0</v>
      </c>
      <c r="I10" s="127"/>
    </row>
    <row r="11" spans="2:9" ht="13.5" thickBot="1" x14ac:dyDescent="0.25">
      <c r="B11" s="227" t="s">
        <v>97</v>
      </c>
      <c r="C11" s="217">
        <f>C5+C6+C7+C8+C9+C10</f>
        <v>65</v>
      </c>
      <c r="D11" s="217">
        <f>D5+D6+D7+D8+D9+D10</f>
        <v>140</v>
      </c>
      <c r="E11" s="226">
        <f>SUM(E5:E10)</f>
        <v>250902.80000000005</v>
      </c>
      <c r="F11" s="223"/>
    </row>
    <row r="12" spans="2:9" ht="13.5" thickBot="1" x14ac:dyDescent="0.25">
      <c r="B12" s="148" t="s">
        <v>103</v>
      </c>
      <c r="C12" s="212">
        <v>11</v>
      </c>
      <c r="D12" s="230">
        <f>[1]TOTALES!$D$10</f>
        <v>28</v>
      </c>
      <c r="E12" s="145">
        <f>'1. RESUMEN DE PAGADOS '!J13</f>
        <v>9257.16</v>
      </c>
      <c r="F12" s="168">
        <f>E12/E15</f>
        <v>3.3521002317497092E-2</v>
      </c>
    </row>
    <row r="13" spans="2:9" ht="13.5" thickBot="1" x14ac:dyDescent="0.25">
      <c r="B13" s="147" t="s">
        <v>96</v>
      </c>
      <c r="C13" s="228">
        <v>12</v>
      </c>
      <c r="D13" s="231">
        <v>12</v>
      </c>
      <c r="E13" s="166">
        <f>'1. RESUMEN DE PAGADOS '!N13</f>
        <v>16000.039999999999</v>
      </c>
      <c r="F13" s="170">
        <f>E13/E15</f>
        <v>5.7937572421784454E-2</v>
      </c>
      <c r="I13" s="127"/>
    </row>
    <row r="14" spans="2:9" ht="13.5" thickBot="1" x14ac:dyDescent="0.25">
      <c r="B14" s="232" t="s">
        <v>97</v>
      </c>
      <c r="C14" s="233">
        <f>C12+C13</f>
        <v>23</v>
      </c>
      <c r="D14" s="234">
        <f>D12+D13</f>
        <v>40</v>
      </c>
      <c r="E14" s="229">
        <f>E12+E13</f>
        <v>25257.199999999997</v>
      </c>
      <c r="F14" s="167"/>
    </row>
    <row r="15" spans="2:9" ht="13.5" thickBot="1" x14ac:dyDescent="0.25">
      <c r="B15" s="142" t="s">
        <v>0</v>
      </c>
      <c r="C15" s="126">
        <f>C11+C14</f>
        <v>88</v>
      </c>
      <c r="D15" s="213">
        <f>D11+D14</f>
        <v>180</v>
      </c>
      <c r="E15" s="169">
        <f>E11+E14</f>
        <v>276160.00000000006</v>
      </c>
      <c r="F15" s="143">
        <f>SUM(F5:F13)</f>
        <v>0.99999999999999967</v>
      </c>
    </row>
    <row r="16" spans="2:9" ht="15" customHeight="1" thickBot="1" x14ac:dyDescent="0.25">
      <c r="B16" s="438"/>
      <c r="C16" s="439"/>
      <c r="D16" s="439"/>
      <c r="E16" s="439"/>
      <c r="F16" s="440"/>
    </row>
    <row r="17" spans="2:7" ht="39" thickBot="1" x14ac:dyDescent="0.25">
      <c r="B17" s="133" t="s">
        <v>101</v>
      </c>
      <c r="C17" s="133" t="s">
        <v>77</v>
      </c>
      <c r="D17" s="133" t="s">
        <v>107</v>
      </c>
      <c r="E17" s="133" t="s">
        <v>76</v>
      </c>
      <c r="F17" s="133" t="s">
        <v>85</v>
      </c>
    </row>
    <row r="18" spans="2:7" x14ac:dyDescent="0.2">
      <c r="B18" s="134" t="s">
        <v>81</v>
      </c>
      <c r="C18" s="135">
        <f>'3. COMP VR'!B20</f>
        <v>0</v>
      </c>
      <c r="D18" s="212">
        <f>'3. COMP VR'!B9</f>
        <v>56</v>
      </c>
      <c r="E18" s="136">
        <f>'3. COMP VR'!E11+'3. COMP VR'!C11</f>
        <v>74391.849999999991</v>
      </c>
      <c r="F18" s="137">
        <f>E18/E21</f>
        <v>0.30233360462347986</v>
      </c>
    </row>
    <row r="19" spans="2:7" x14ac:dyDescent="0.2">
      <c r="B19" s="144" t="s">
        <v>82</v>
      </c>
      <c r="C19" s="139">
        <f>'4. COMP VP'!C23</f>
        <v>0</v>
      </c>
      <c r="D19" s="212">
        <f>'4. COMP VP'!C12</f>
        <v>46</v>
      </c>
      <c r="E19" s="136">
        <f>'4. COMP VP'!D14+'4. COMP VP'!F14</f>
        <v>161143.00999999998</v>
      </c>
      <c r="F19" s="140">
        <f>E19/E21</f>
        <v>0.65489629674725736</v>
      </c>
    </row>
    <row r="20" spans="2:7" ht="13.5" thickBot="1" x14ac:dyDescent="0.25">
      <c r="B20" s="138" t="s">
        <v>83</v>
      </c>
      <c r="C20" s="139">
        <f>'2. COMPR DEV 30%'!B20</f>
        <v>0</v>
      </c>
      <c r="D20" s="212">
        <f>'2. COMPR DEV 30%'!B9</f>
        <v>16</v>
      </c>
      <c r="E20" s="136">
        <f>'2. COMPR DEV 30%'!C11+'2. COMPR DEV 30%'!E11</f>
        <v>10523.96</v>
      </c>
      <c r="F20" s="141">
        <f>E20/E21</f>
        <v>4.2770098629262711E-2</v>
      </c>
      <c r="G20" s="127"/>
    </row>
    <row r="21" spans="2:7" ht="13.5" thickBot="1" x14ac:dyDescent="0.25">
      <c r="B21" s="142" t="s">
        <v>0</v>
      </c>
      <c r="C21" s="126">
        <f>C18+C19+C20</f>
        <v>0</v>
      </c>
      <c r="D21" s="126">
        <f>D18+D19+D20</f>
        <v>118</v>
      </c>
      <c r="E21" s="128">
        <f>E18+E19+E20</f>
        <v>246058.81999999998</v>
      </c>
      <c r="F21" s="143">
        <f>SUM(F18:F20)</f>
        <v>1</v>
      </c>
    </row>
    <row r="22" spans="2:7" ht="13.5" customHeight="1" thickBot="1" x14ac:dyDescent="0.25">
      <c r="B22" s="441" t="s">
        <v>84</v>
      </c>
      <c r="C22" s="442"/>
      <c r="D22" s="442"/>
      <c r="E22" s="442"/>
      <c r="F22" s="443"/>
    </row>
    <row r="23" spans="2:7" ht="15.75" customHeight="1" thickBot="1" x14ac:dyDescent="0.25">
      <c r="B23" s="142" t="s">
        <v>63</v>
      </c>
      <c r="C23" s="237">
        <f>C15+C21</f>
        <v>88</v>
      </c>
      <c r="D23" s="237">
        <f>D15+D21</f>
        <v>298</v>
      </c>
      <c r="E23" s="236">
        <f>E21+E15</f>
        <v>522218.82000000007</v>
      </c>
      <c r="F23" s="235"/>
    </row>
    <row r="24" spans="2:7" ht="15" x14ac:dyDescent="0.2">
      <c r="B24" s="190"/>
      <c r="C24" s="190"/>
      <c r="D24" s="190"/>
      <c r="E24" s="190"/>
      <c r="F24" s="191"/>
    </row>
    <row r="25" spans="2:7" ht="15.75" thickBot="1" x14ac:dyDescent="0.25">
      <c r="B25" s="192"/>
      <c r="C25" s="132"/>
      <c r="D25" s="132"/>
      <c r="E25" s="129"/>
      <c r="F25" s="191"/>
    </row>
    <row r="26" spans="2:7" ht="45.75" thickBot="1" x14ac:dyDescent="0.25">
      <c r="B26" s="193" t="s">
        <v>75</v>
      </c>
      <c r="C26" s="194" t="s">
        <v>77</v>
      </c>
      <c r="D26" s="214" t="s">
        <v>106</v>
      </c>
      <c r="E26" s="109" t="s">
        <v>76</v>
      </c>
      <c r="F26" s="193" t="s">
        <v>85</v>
      </c>
    </row>
    <row r="27" spans="2:7" ht="15" x14ac:dyDescent="0.2">
      <c r="B27" s="177" t="s">
        <v>78</v>
      </c>
      <c r="C27" s="179">
        <f>C5</f>
        <v>23</v>
      </c>
      <c r="D27" s="179">
        <f>D5</f>
        <v>52</v>
      </c>
      <c r="E27" s="181">
        <f>E5</f>
        <v>67165.680000000008</v>
      </c>
      <c r="F27" s="184">
        <f>E27/E38</f>
        <v>0.12861596983425455</v>
      </c>
    </row>
    <row r="28" spans="2:7" ht="15" x14ac:dyDescent="0.2">
      <c r="B28" s="171" t="s">
        <v>79</v>
      </c>
      <c r="C28" s="107">
        <f t="shared" ref="C28:E32" si="0">C6</f>
        <v>35</v>
      </c>
      <c r="D28" s="107">
        <f>D6</f>
        <v>74</v>
      </c>
      <c r="E28" s="182">
        <f t="shared" si="0"/>
        <v>160879.97</v>
      </c>
      <c r="F28" s="111">
        <f>E28/E38</f>
        <v>0.30807003470307714</v>
      </c>
    </row>
    <row r="29" spans="2:7" ht="25.5" x14ac:dyDescent="0.2">
      <c r="B29" s="172" t="s">
        <v>102</v>
      </c>
      <c r="C29" s="107">
        <f>C7</f>
        <v>5</v>
      </c>
      <c r="D29" s="107">
        <f>D7</f>
        <v>7</v>
      </c>
      <c r="E29" s="182">
        <f t="shared" si="0"/>
        <v>14857.14</v>
      </c>
      <c r="F29" s="111">
        <f>E29/E38</f>
        <v>2.8450027902096671E-2</v>
      </c>
    </row>
    <row r="30" spans="2:7" ht="33.75" customHeight="1" x14ac:dyDescent="0.2">
      <c r="B30" s="171" t="s">
        <v>99</v>
      </c>
      <c r="C30" s="107">
        <f t="shared" si="0"/>
        <v>0</v>
      </c>
      <c r="D30" s="107">
        <f>D8</f>
        <v>2</v>
      </c>
      <c r="E30" s="182">
        <f t="shared" si="0"/>
        <v>0</v>
      </c>
      <c r="F30" s="111">
        <f>E30/E38</f>
        <v>0</v>
      </c>
    </row>
    <row r="31" spans="2:7" ht="15" x14ac:dyDescent="0.2">
      <c r="B31" s="171" t="s">
        <v>80</v>
      </c>
      <c r="C31" s="107">
        <f t="shared" si="0"/>
        <v>2</v>
      </c>
      <c r="D31" s="107">
        <f>D9</f>
        <v>3</v>
      </c>
      <c r="E31" s="182">
        <f>E9</f>
        <v>8000.0099999999993</v>
      </c>
      <c r="F31" s="111">
        <f>E31/E38</f>
        <v>1.5319267888506965E-2</v>
      </c>
    </row>
    <row r="32" spans="2:7" ht="30" x14ac:dyDescent="0.2">
      <c r="B32" s="171" t="s">
        <v>94</v>
      </c>
      <c r="C32" s="107">
        <f t="shared" si="0"/>
        <v>0</v>
      </c>
      <c r="D32" s="107">
        <f>D10</f>
        <v>2</v>
      </c>
      <c r="E32" s="182">
        <f t="shared" si="0"/>
        <v>0</v>
      </c>
      <c r="F32" s="111">
        <f>E32/E38</f>
        <v>0</v>
      </c>
    </row>
    <row r="33" spans="2:8" ht="15" x14ac:dyDescent="0.2">
      <c r="B33" s="171" t="s">
        <v>95</v>
      </c>
      <c r="C33" s="107">
        <f t="shared" ref="C33:E34" si="1">C12</f>
        <v>11</v>
      </c>
      <c r="D33" s="107">
        <f t="shared" si="1"/>
        <v>28</v>
      </c>
      <c r="E33" s="182">
        <f t="shared" si="1"/>
        <v>9257.16</v>
      </c>
      <c r="F33" s="111">
        <f>E33/E38</f>
        <v>1.7726592082606289E-2</v>
      </c>
    </row>
    <row r="34" spans="2:8" ht="15" x14ac:dyDescent="0.2">
      <c r="B34" s="173" t="s">
        <v>96</v>
      </c>
      <c r="C34" s="180">
        <f t="shared" si="1"/>
        <v>12</v>
      </c>
      <c r="D34" s="180">
        <f t="shared" si="1"/>
        <v>12</v>
      </c>
      <c r="E34" s="182">
        <f t="shared" si="1"/>
        <v>16000.039999999999</v>
      </c>
      <c r="F34" s="111">
        <f>E34/E38</f>
        <v>3.0638574075135781E-2</v>
      </c>
    </row>
    <row r="35" spans="2:8" ht="15" x14ac:dyDescent="0.2">
      <c r="B35" s="238" t="s">
        <v>81</v>
      </c>
      <c r="C35" s="107">
        <f t="shared" ref="C35:E37" si="2">C18</f>
        <v>0</v>
      </c>
      <c r="D35" s="107">
        <f t="shared" si="2"/>
        <v>56</v>
      </c>
      <c r="E35" s="183">
        <f t="shared" si="2"/>
        <v>74391.849999999991</v>
      </c>
      <c r="F35" s="111">
        <f>E35/E38</f>
        <v>0.14245340679219487</v>
      </c>
    </row>
    <row r="36" spans="2:8" ht="15" x14ac:dyDescent="0.2">
      <c r="B36" s="174" t="s">
        <v>82</v>
      </c>
      <c r="C36" s="107">
        <f t="shared" si="2"/>
        <v>0</v>
      </c>
      <c r="D36" s="107">
        <f t="shared" si="2"/>
        <v>46</v>
      </c>
      <c r="E36" s="183">
        <f t="shared" si="2"/>
        <v>161143.00999999998</v>
      </c>
      <c r="F36" s="111">
        <f>E36/E38</f>
        <v>0.3085737316016301</v>
      </c>
    </row>
    <row r="37" spans="2:8" ht="15.75" thickBot="1" x14ac:dyDescent="0.3">
      <c r="B37" s="175" t="s">
        <v>83</v>
      </c>
      <c r="C37" s="185">
        <f t="shared" si="2"/>
        <v>0</v>
      </c>
      <c r="D37" s="185">
        <f t="shared" si="2"/>
        <v>16</v>
      </c>
      <c r="E37" s="186">
        <f t="shared" si="2"/>
        <v>10523.96</v>
      </c>
      <c r="F37" s="176">
        <f>E37/E38</f>
        <v>2.015239512049757E-2</v>
      </c>
    </row>
    <row r="38" spans="2:8" ht="15.75" thickBot="1" x14ac:dyDescent="0.25">
      <c r="B38" s="178" t="s">
        <v>0</v>
      </c>
      <c r="C38" s="108">
        <f>SUM(C27:C37)</f>
        <v>88</v>
      </c>
      <c r="D38" s="108">
        <f>SUM(D27:D37)</f>
        <v>298</v>
      </c>
      <c r="E38" s="187">
        <f>SUM(E27:E37)</f>
        <v>522218.82</v>
      </c>
      <c r="F38" s="189">
        <f>SUM(F27:F37)</f>
        <v>1</v>
      </c>
      <c r="G38" s="14"/>
      <c r="H38" s="11"/>
    </row>
    <row r="39" spans="2:8" ht="15" x14ac:dyDescent="0.2">
      <c r="B39" s="110"/>
      <c r="C39" s="110"/>
      <c r="D39" s="110"/>
      <c r="E39" s="110"/>
    </row>
    <row r="40" spans="2:8" x14ac:dyDescent="0.2">
      <c r="B40" s="10"/>
      <c r="C40" s="10"/>
      <c r="D40" s="10"/>
      <c r="E40" s="10"/>
    </row>
    <row r="41" spans="2:8" x14ac:dyDescent="0.2">
      <c r="B41" s="10"/>
      <c r="C41" s="10"/>
      <c r="D41" s="10"/>
      <c r="E41" s="10"/>
    </row>
    <row r="42" spans="2:8" x14ac:dyDescent="0.2">
      <c r="B42" s="10"/>
      <c r="C42" s="10"/>
      <c r="D42" s="10"/>
      <c r="E42" s="10"/>
    </row>
    <row r="43" spans="2:8" x14ac:dyDescent="0.2">
      <c r="B43" s="10"/>
      <c r="C43" s="10"/>
      <c r="D43" s="10"/>
      <c r="E43" s="10"/>
    </row>
    <row r="44" spans="2:8" x14ac:dyDescent="0.2">
      <c r="B44" s="10"/>
      <c r="C44" s="10"/>
      <c r="D44" s="10"/>
      <c r="E44" s="10"/>
    </row>
    <row r="45" spans="2:8" x14ac:dyDescent="0.2">
      <c r="B45" s="10"/>
      <c r="C45" s="10"/>
      <c r="D45" s="10"/>
      <c r="E45" s="10"/>
    </row>
    <row r="46" spans="2:8" x14ac:dyDescent="0.2">
      <c r="B46" s="10"/>
      <c r="C46" s="10"/>
      <c r="D46" s="10"/>
      <c r="E46" s="10"/>
    </row>
    <row r="47" spans="2:8" x14ac:dyDescent="0.2">
      <c r="B47" s="10"/>
      <c r="C47" s="10"/>
      <c r="D47" s="10"/>
      <c r="E47" s="10"/>
    </row>
    <row r="48" spans="2:8" x14ac:dyDescent="0.2">
      <c r="B48" s="10"/>
      <c r="C48" s="10"/>
      <c r="D48" s="10"/>
      <c r="E48" s="10"/>
    </row>
    <row r="49" spans="2:5" x14ac:dyDescent="0.2">
      <c r="B49" s="10"/>
      <c r="C49" s="10"/>
      <c r="D49" s="10"/>
      <c r="E49" s="10"/>
    </row>
  </sheetData>
  <mergeCells count="2">
    <mergeCell ref="B16:F16"/>
    <mergeCell ref="B22:F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abSelected="1" topLeftCell="A7" zoomScale="106" zoomScaleNormal="106" workbookViewId="0">
      <selection activeCell="D13" sqref="D13"/>
    </sheetView>
  </sheetViews>
  <sheetFormatPr baseColWidth="10" defaultColWidth="11.42578125" defaultRowHeight="12.75" x14ac:dyDescent="0.2"/>
  <cols>
    <col min="1" max="2" width="8" style="1" customWidth="1"/>
    <col min="3" max="3" width="7.85546875" style="1" customWidth="1"/>
    <col min="4" max="4" width="8" style="1" customWidth="1"/>
    <col min="5" max="5" width="7.7109375" style="1" customWidth="1"/>
    <col min="6" max="6" width="8.28515625" style="1" customWidth="1"/>
    <col min="7" max="7" width="13.5703125" style="1" customWidth="1"/>
    <col min="8" max="8" width="15.5703125" style="1" customWidth="1"/>
    <col min="9" max="9" width="12.5703125" style="1" customWidth="1"/>
    <col min="10" max="10" width="13" style="1" customWidth="1"/>
    <col min="11" max="11" width="11.5703125" style="1" customWidth="1"/>
    <col min="12" max="12" width="11.28515625" style="1" customWidth="1"/>
    <col min="13" max="13" width="11.85546875" style="1" customWidth="1"/>
    <col min="14" max="14" width="12.7109375" style="1" customWidth="1"/>
    <col min="15" max="15" width="12" style="1" customWidth="1"/>
    <col min="16" max="16" width="15.140625" style="198" customWidth="1"/>
    <col min="17" max="17" width="16" style="198" customWidth="1"/>
    <col min="18" max="18" width="15.42578125" style="198" customWidth="1"/>
    <col min="19" max="19" width="11.42578125" style="198"/>
    <col min="20" max="20" width="11.42578125" style="1"/>
    <col min="21" max="21" width="14" style="1" bestFit="1" customWidth="1"/>
    <col min="22" max="22" width="17.7109375" style="1" customWidth="1"/>
    <col min="23" max="16384" width="11.42578125" style="1"/>
  </cols>
  <sheetData>
    <row r="1" spans="1:22" x14ac:dyDescent="0.2">
      <c r="P1" s="245" t="s">
        <v>100</v>
      </c>
    </row>
    <row r="6" spans="1:22" x14ac:dyDescent="0.2">
      <c r="A6" s="451" t="s">
        <v>92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</row>
    <row r="7" spans="1:22" x14ac:dyDescent="0.2">
      <c r="A7" s="451" t="s">
        <v>129</v>
      </c>
      <c r="B7" s="451"/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</row>
    <row r="8" spans="1:22" ht="12.75" customHeight="1" thickBot="1" x14ac:dyDescent="0.25"/>
    <row r="9" spans="1:22" ht="12.75" customHeight="1" thickBot="1" x14ac:dyDescent="0.25">
      <c r="A9" s="456" t="s">
        <v>7</v>
      </c>
      <c r="B9" s="452" t="s">
        <v>135</v>
      </c>
      <c r="C9" s="454" t="s">
        <v>134</v>
      </c>
      <c r="D9" s="454" t="s">
        <v>137</v>
      </c>
      <c r="E9" s="444" t="s">
        <v>93</v>
      </c>
      <c r="F9" s="445"/>
      <c r="G9" s="449" t="s">
        <v>69</v>
      </c>
      <c r="H9" s="446" t="s">
        <v>86</v>
      </c>
      <c r="I9" s="447"/>
      <c r="J9" s="447"/>
      <c r="K9" s="447"/>
      <c r="L9" s="448"/>
      <c r="M9" s="445" t="s">
        <v>70</v>
      </c>
      <c r="N9" s="452" t="s">
        <v>71</v>
      </c>
      <c r="O9" s="444" t="s">
        <v>74</v>
      </c>
      <c r="P9" s="459" t="s">
        <v>1</v>
      </c>
      <c r="T9" s="188"/>
      <c r="U9" s="188"/>
    </row>
    <row r="10" spans="1:22" ht="75.75" customHeight="1" thickBot="1" x14ac:dyDescent="0.25">
      <c r="A10" s="457"/>
      <c r="B10" s="453"/>
      <c r="C10" s="455"/>
      <c r="D10" s="455"/>
      <c r="E10" s="117" t="s">
        <v>90</v>
      </c>
      <c r="F10" s="117" t="s">
        <v>91</v>
      </c>
      <c r="G10" s="450"/>
      <c r="H10" s="118" t="s">
        <v>89</v>
      </c>
      <c r="I10" s="118" t="s">
        <v>98</v>
      </c>
      <c r="J10" s="119" t="s">
        <v>16</v>
      </c>
      <c r="K10" s="112" t="s">
        <v>15</v>
      </c>
      <c r="L10" s="113" t="s">
        <v>87</v>
      </c>
      <c r="M10" s="453"/>
      <c r="N10" s="453"/>
      <c r="O10" s="458"/>
      <c r="P10" s="460"/>
      <c r="Q10" s="199"/>
      <c r="R10" s="198" t="s">
        <v>73</v>
      </c>
      <c r="S10" s="198" t="s">
        <v>112</v>
      </c>
      <c r="T10" s="188"/>
      <c r="U10" s="188"/>
    </row>
    <row r="11" spans="1:22" ht="23.1" customHeight="1" x14ac:dyDescent="0.2">
      <c r="A11" s="115" t="s">
        <v>2</v>
      </c>
      <c r="B11" s="116">
        <v>0</v>
      </c>
      <c r="C11" s="130">
        <f>16+17+13+15+1</f>
        <v>62</v>
      </c>
      <c r="D11" s="130">
        <f>3+37+36+24+38</f>
        <v>138</v>
      </c>
      <c r="E11" s="116">
        <f>7+9+4+8</f>
        <v>28</v>
      </c>
      <c r="F11" s="116">
        <f>9+8+9+7+1</f>
        <v>34</v>
      </c>
      <c r="G11" s="114">
        <f>(21257.09+0.04)+(40114.3-0.04+0.01+385.71)+(15428.57-0.02)+(19405.7-0.01+0.01+1165.72)</f>
        <v>97757.08</v>
      </c>
      <c r="H11" s="131">
        <f>(47131.44-0.04+0.04+542.85)+(52571.41-0.04+0.04+1000.01)+(26571.43-0.03+0.01)+(58422.8-0.03+0.07+2457.15)</f>
        <v>188697.11000000002</v>
      </c>
      <c r="I11" s="131">
        <v>0</v>
      </c>
      <c r="J11" s="114">
        <f>(300+300+300+300)+(1200)+(285.7+285.72+285.72+285.72)+(200+200+200+200)+(285.72+285.7+285.72+285.72)</f>
        <v>5485.7200000000012</v>
      </c>
      <c r="K11" s="99">
        <v>0</v>
      </c>
      <c r="L11" s="99">
        <v>0</v>
      </c>
      <c r="M11" s="114">
        <f>(342.86+400+400)+(1142.86)+(285.72-0.01)</f>
        <v>2571.4300000000003</v>
      </c>
      <c r="N11" s="131">
        <f>10*1142.86</f>
        <v>11428.599999999999</v>
      </c>
      <c r="O11" s="120">
        <v>0</v>
      </c>
      <c r="P11" s="200">
        <f t="shared" ref="P11:P22" si="0">G11+H11+I11+J11+K11+L11+M11+N11+O11</f>
        <v>305939.94</v>
      </c>
      <c r="Q11" s="201">
        <f>P11+'2. COMPR DEV 30%'!E9+'2. COMPR DEV 30%'!C9+'3. COMP VR'!C9+'3. COMP VR'!E9+'4. COMP VP'!D12+'4. COMP VP'!F12</f>
        <v>435116.20000000007</v>
      </c>
      <c r="R11" s="251" t="s">
        <v>113</v>
      </c>
      <c r="S11" s="252" t="s">
        <v>114</v>
      </c>
      <c r="T11" s="188"/>
      <c r="U11" s="246"/>
      <c r="V11" s="239"/>
    </row>
    <row r="12" spans="1:22" ht="23.1" customHeight="1" x14ac:dyDescent="0.2">
      <c r="A12" s="100" t="s">
        <v>3</v>
      </c>
      <c r="B12" s="116">
        <v>0</v>
      </c>
      <c r="C12" s="130">
        <f>17+14+17+18</f>
        <v>66</v>
      </c>
      <c r="D12" s="130">
        <f>29+37+42+47</f>
        <v>155</v>
      </c>
      <c r="E12" s="116">
        <f>8+4+10+11</f>
        <v>33</v>
      </c>
      <c r="F12" s="116">
        <f>9+10+7+7</f>
        <v>33</v>
      </c>
      <c r="G12" s="114">
        <f>(34285.71-0.03+0.01)+(16457.13-0.01+0.02)+(36342.83-0.02+0.04)+(30857.14-0.03+0.02)</f>
        <v>117942.81000000001</v>
      </c>
      <c r="H12" s="131">
        <f>(36000.01-0.03)+(51257.16-0.05+0.02)+(50274.28-0.04+0.02)+(101828.5+0.08+571.42)</f>
        <v>239931.37</v>
      </c>
      <c r="I12" s="131">
        <v>0</v>
      </c>
      <c r="J12" s="114">
        <f>(190.47+190.48+190.48)+(190.47)+(1142.86)+(600+600)+(600+600)</f>
        <v>4304.76</v>
      </c>
      <c r="K12" s="99">
        <v>0</v>
      </c>
      <c r="L12" s="99">
        <v>0</v>
      </c>
      <c r="M12" s="114">
        <f>(2285.71)+(9142.86)</f>
        <v>11428.57</v>
      </c>
      <c r="N12" s="131">
        <f>12*1142.86</f>
        <v>13714.32</v>
      </c>
      <c r="O12" s="120">
        <v>0</v>
      </c>
      <c r="P12" s="200">
        <f t="shared" si="0"/>
        <v>387321.83</v>
      </c>
      <c r="Q12" s="202">
        <f>P12+'2. COMPR DEV 30%'!C10+'2. COMPR DEV 30%'!E10+'3. COMP VR'!C10+'3. COMP VR'!E10+'4. COMP VP'!D13+'4. COMP VP'!F13</f>
        <v>609328.7699999999</v>
      </c>
      <c r="R12" s="203"/>
      <c r="T12" s="188"/>
      <c r="U12" s="246"/>
      <c r="V12" s="239"/>
    </row>
    <row r="13" spans="1:22" ht="23.1" customHeight="1" x14ac:dyDescent="0.2">
      <c r="A13" s="100" t="s">
        <v>4</v>
      </c>
      <c r="B13" s="116">
        <f>2+1+5+8</f>
        <v>16</v>
      </c>
      <c r="C13" s="130">
        <f>1+13+1+1+1+15+10+5+1</f>
        <v>48</v>
      </c>
      <c r="D13" s="130">
        <f>4+35+1+1+5+33+22+28+1</f>
        <v>130</v>
      </c>
      <c r="E13" s="116">
        <f>7+1+1+3+7+8</f>
        <v>27</v>
      </c>
      <c r="F13" s="116">
        <f>1+8+1+13+8+5+1</f>
        <v>37</v>
      </c>
      <c r="G13" s="114">
        <f>(23999.97-0.02+0.04)+(10285.71)+(18000-0.01)+(14880.01-0.02)</f>
        <v>67165.680000000008</v>
      </c>
      <c r="H13" s="131">
        <f>(31542.89-0.06+0.01+1428.57)+(24308.59-0.04+0.03)+(54428.56-0.03+0.01+571.44)+(48600-0.02+0.02)</f>
        <v>160879.97</v>
      </c>
      <c r="I13" s="131">
        <f>(342.86+685.71+1200+1200)+(11428.57)</f>
        <v>14857.14</v>
      </c>
      <c r="J13" s="114">
        <f>(571.43)+(1142.86)+(95.24+95.24+95.24+95.24+95.24+95.24-0.01)+(228.57+228.57+0.01+228.57+228.57+228.57)+(571.43+571.43)+(1142.86)+(285.72-0.01+285.72)+(285.72-0.02+285.72+285.72+285.72)+(914.29+228.57)+(228.57+228.57+228.57)</f>
        <v>9257.16</v>
      </c>
      <c r="K13" s="99">
        <v>0</v>
      </c>
      <c r="L13" s="99">
        <v>0</v>
      </c>
      <c r="M13" s="114">
        <f>(2285.72)+(3428.57)+(228.57+0.01+228.57+228.57+228.57+228.57)+(1142.86)</f>
        <v>8000.0099999999993</v>
      </c>
      <c r="N13" s="131">
        <f>14*1142.86</f>
        <v>16000.039999999999</v>
      </c>
      <c r="O13" s="120">
        <v>0</v>
      </c>
      <c r="P13" s="200">
        <f t="shared" si="0"/>
        <v>276160.00000000006</v>
      </c>
      <c r="Q13" s="202">
        <f>P13+'2. COMPR DEV 30%'!C11+'2. COMPR DEV 30%'!E11+'3. COMP VR'!C11+'3. COMP VR'!E11+'4. COMP VP'!D14+'4. COMP VP'!F14</f>
        <v>522218.82</v>
      </c>
      <c r="R13" s="204"/>
      <c r="T13" s="188"/>
      <c r="U13" s="246"/>
      <c r="V13" s="239"/>
    </row>
    <row r="14" spans="1:22" ht="23.1" customHeight="1" x14ac:dyDescent="0.2">
      <c r="A14" s="100" t="s">
        <v>5</v>
      </c>
      <c r="B14" s="116">
        <v>0</v>
      </c>
      <c r="C14" s="130">
        <v>0</v>
      </c>
      <c r="D14" s="130">
        <v>0</v>
      </c>
      <c r="E14" s="116">
        <v>0</v>
      </c>
      <c r="F14" s="116">
        <v>0</v>
      </c>
      <c r="G14" s="114">
        <v>0</v>
      </c>
      <c r="H14" s="131">
        <v>0</v>
      </c>
      <c r="I14" s="131">
        <v>0</v>
      </c>
      <c r="J14" s="114">
        <v>0</v>
      </c>
      <c r="K14" s="99">
        <v>0</v>
      </c>
      <c r="L14" s="99">
        <v>0</v>
      </c>
      <c r="M14" s="114">
        <v>0</v>
      </c>
      <c r="N14" s="131">
        <v>0</v>
      </c>
      <c r="O14" s="120">
        <v>0</v>
      </c>
      <c r="P14" s="200">
        <f t="shared" si="0"/>
        <v>0</v>
      </c>
      <c r="Q14" s="202">
        <f>P14+'2. COMPR DEV 30%'!C12+'2. COMPR DEV 30%'!E12+'3. COMP VR'!C12+'3. COMP VR'!E12+'4. COMP VP'!D15+'4. COMP VP'!F15</f>
        <v>0</v>
      </c>
      <c r="T14" s="188"/>
      <c r="U14" s="246"/>
      <c r="V14" s="239"/>
    </row>
    <row r="15" spans="1:22" ht="23.1" customHeight="1" x14ac:dyDescent="0.2">
      <c r="A15" s="100" t="s">
        <v>6</v>
      </c>
      <c r="B15" s="116">
        <v>0</v>
      </c>
      <c r="C15" s="130">
        <v>0</v>
      </c>
      <c r="D15" s="130">
        <v>0</v>
      </c>
      <c r="E15" s="116">
        <v>0</v>
      </c>
      <c r="F15" s="116">
        <v>0</v>
      </c>
      <c r="G15" s="114">
        <v>0</v>
      </c>
      <c r="H15" s="131">
        <v>0</v>
      </c>
      <c r="I15" s="131">
        <v>0</v>
      </c>
      <c r="J15" s="114">
        <v>0</v>
      </c>
      <c r="K15" s="99">
        <v>0</v>
      </c>
      <c r="L15" s="99">
        <v>0</v>
      </c>
      <c r="M15" s="114">
        <v>0</v>
      </c>
      <c r="N15" s="131">
        <v>0</v>
      </c>
      <c r="O15" s="120">
        <v>0</v>
      </c>
      <c r="P15" s="200">
        <f t="shared" si="0"/>
        <v>0</v>
      </c>
      <c r="Q15" s="202">
        <f>P15+'2. COMPR DEV 30%'!C13+'2. COMPR DEV 30%'!E13+'3. COMP VR'!C13+'3. COMP VR'!E13+'4. COMP VP'!D16+'4. COMP VP'!F16</f>
        <v>0</v>
      </c>
      <c r="R15" s="203"/>
      <c r="T15" s="188"/>
      <c r="U15" s="246"/>
      <c r="V15" s="239"/>
    </row>
    <row r="16" spans="1:22" ht="23.1" customHeight="1" x14ac:dyDescent="0.2">
      <c r="A16" s="100" t="s">
        <v>8</v>
      </c>
      <c r="B16" s="116">
        <v>0</v>
      </c>
      <c r="C16" s="130">
        <v>0</v>
      </c>
      <c r="D16" s="130">
        <v>0</v>
      </c>
      <c r="E16" s="116">
        <v>0</v>
      </c>
      <c r="F16" s="116">
        <v>0</v>
      </c>
      <c r="G16" s="114">
        <v>0</v>
      </c>
      <c r="H16" s="131">
        <v>0</v>
      </c>
      <c r="I16" s="131">
        <v>0</v>
      </c>
      <c r="J16" s="114">
        <v>0</v>
      </c>
      <c r="K16" s="99">
        <v>0</v>
      </c>
      <c r="L16" s="99">
        <v>0</v>
      </c>
      <c r="M16" s="114">
        <v>0</v>
      </c>
      <c r="N16" s="131">
        <v>0</v>
      </c>
      <c r="O16" s="120">
        <v>0</v>
      </c>
      <c r="P16" s="200">
        <f t="shared" si="0"/>
        <v>0</v>
      </c>
      <c r="Q16" s="202">
        <f>P16+'2. COMPR DEV 30%'!C14+'2. COMPR DEV 30%'!E14+'3. COMP VR'!C14+'3. COMP VR'!E14+'4. COMP VP'!D17+'4. COMP VP'!F17</f>
        <v>0</v>
      </c>
      <c r="T16" s="188"/>
      <c r="U16" s="246"/>
      <c r="V16" s="239"/>
    </row>
    <row r="17" spans="1:24" ht="23.1" customHeight="1" x14ac:dyDescent="0.2">
      <c r="A17" s="100" t="s">
        <v>9</v>
      </c>
      <c r="B17" s="116">
        <v>0</v>
      </c>
      <c r="C17" s="130">
        <v>0</v>
      </c>
      <c r="D17" s="130">
        <v>0</v>
      </c>
      <c r="E17" s="116">
        <v>0</v>
      </c>
      <c r="F17" s="116">
        <v>0</v>
      </c>
      <c r="G17" s="114">
        <v>0</v>
      </c>
      <c r="H17" s="131">
        <v>0</v>
      </c>
      <c r="I17" s="131">
        <v>0</v>
      </c>
      <c r="J17" s="114">
        <v>0</v>
      </c>
      <c r="K17" s="99">
        <v>0</v>
      </c>
      <c r="L17" s="99">
        <v>0</v>
      </c>
      <c r="M17" s="114">
        <v>0</v>
      </c>
      <c r="N17" s="131">
        <v>0</v>
      </c>
      <c r="O17" s="120">
        <v>0</v>
      </c>
      <c r="P17" s="200">
        <f t="shared" si="0"/>
        <v>0</v>
      </c>
      <c r="Q17" s="202">
        <f>P17+'2. COMPR DEV 30%'!C15+'2. COMPR DEV 30%'!E15+'3. COMP VR'!C15+'3. COMP VR'!E15+'4. COMP VP'!D18+'4. COMP VP'!F18</f>
        <v>0</v>
      </c>
      <c r="R17" s="202"/>
      <c r="T17" s="188"/>
      <c r="U17" s="246"/>
      <c r="V17" s="239"/>
    </row>
    <row r="18" spans="1:24" ht="23.1" customHeight="1" x14ac:dyDescent="0.2">
      <c r="A18" s="100" t="s">
        <v>10</v>
      </c>
      <c r="B18" s="116">
        <v>0</v>
      </c>
      <c r="C18" s="130">
        <v>0</v>
      </c>
      <c r="D18" s="130">
        <v>0</v>
      </c>
      <c r="E18" s="116">
        <v>0</v>
      </c>
      <c r="F18" s="116">
        <v>0</v>
      </c>
      <c r="G18" s="114">
        <v>0</v>
      </c>
      <c r="H18" s="131">
        <v>0</v>
      </c>
      <c r="I18" s="131">
        <v>0</v>
      </c>
      <c r="J18" s="114">
        <v>0</v>
      </c>
      <c r="K18" s="99">
        <v>0</v>
      </c>
      <c r="L18" s="99">
        <v>0</v>
      </c>
      <c r="M18" s="114">
        <v>0</v>
      </c>
      <c r="N18" s="131">
        <v>0</v>
      </c>
      <c r="O18" s="120">
        <v>0</v>
      </c>
      <c r="P18" s="200">
        <f t="shared" si="0"/>
        <v>0</v>
      </c>
      <c r="Q18" s="202">
        <f>P18+'2. COMPR DEV 30%'!C16+'2. COMPR DEV 30%'!E16+'3. COMP VR'!C16+'3. COMP VR'!E16+'4. COMP VP'!D19+'4. COMP VP'!F19</f>
        <v>0</v>
      </c>
      <c r="T18" s="188"/>
      <c r="U18" s="246"/>
      <c r="V18" s="239"/>
    </row>
    <row r="19" spans="1:24" ht="23.1" customHeight="1" x14ac:dyDescent="0.2">
      <c r="A19" s="101" t="s">
        <v>11</v>
      </c>
      <c r="B19" s="116">
        <v>0</v>
      </c>
      <c r="C19" s="130">
        <v>0</v>
      </c>
      <c r="D19" s="130">
        <v>0</v>
      </c>
      <c r="E19" s="116">
        <v>0</v>
      </c>
      <c r="F19" s="116">
        <v>0</v>
      </c>
      <c r="G19" s="114">
        <v>0</v>
      </c>
      <c r="H19" s="131">
        <v>0</v>
      </c>
      <c r="I19" s="131">
        <v>0</v>
      </c>
      <c r="J19" s="114">
        <v>0</v>
      </c>
      <c r="K19" s="99">
        <v>0</v>
      </c>
      <c r="L19" s="99">
        <v>0</v>
      </c>
      <c r="M19" s="114">
        <v>0</v>
      </c>
      <c r="N19" s="131">
        <v>0</v>
      </c>
      <c r="O19" s="120">
        <v>0</v>
      </c>
      <c r="P19" s="200">
        <f t="shared" si="0"/>
        <v>0</v>
      </c>
      <c r="Q19" s="202">
        <f>P19+'2. COMPR DEV 30%'!C17+'2. COMPR DEV 30%'!E17+'3. COMP VR'!C17+'3. COMP VR'!E17+'4. COMP VP'!D20+'4. COMP VP'!F20</f>
        <v>0</v>
      </c>
      <c r="R19" s="203"/>
      <c r="T19" s="188"/>
      <c r="U19" s="246"/>
      <c r="V19" s="239"/>
      <c r="X19" s="239"/>
    </row>
    <row r="20" spans="1:24" ht="23.1" customHeight="1" x14ac:dyDescent="0.2">
      <c r="A20" s="102" t="s">
        <v>12</v>
      </c>
      <c r="B20" s="116">
        <v>0</v>
      </c>
      <c r="C20" s="130">
        <v>0</v>
      </c>
      <c r="D20" s="130">
        <v>0</v>
      </c>
      <c r="E20" s="116">
        <v>0</v>
      </c>
      <c r="F20" s="116">
        <v>0</v>
      </c>
      <c r="G20" s="114">
        <v>0</v>
      </c>
      <c r="H20" s="131">
        <v>0</v>
      </c>
      <c r="I20" s="131">
        <v>0</v>
      </c>
      <c r="J20" s="114">
        <v>0</v>
      </c>
      <c r="K20" s="99">
        <v>0</v>
      </c>
      <c r="L20" s="99">
        <v>0</v>
      </c>
      <c r="M20" s="114">
        <v>0</v>
      </c>
      <c r="N20" s="131">
        <v>0</v>
      </c>
      <c r="O20" s="120">
        <v>0</v>
      </c>
      <c r="P20" s="200">
        <f t="shared" si="0"/>
        <v>0</v>
      </c>
      <c r="Q20" s="202">
        <f>P20+'2. COMPR DEV 30%'!C18+'2. COMPR DEV 30%'!E18+'3. COMP VR'!C18+'3. COMP VR'!E18+'4. COMP VP'!D21+'4. COMP VP'!F21</f>
        <v>0</v>
      </c>
      <c r="R20" s="205"/>
      <c r="T20" s="198"/>
      <c r="U20" s="246"/>
      <c r="V20" s="239"/>
    </row>
    <row r="21" spans="1:24" ht="23.1" customHeight="1" x14ac:dyDescent="0.2">
      <c r="A21" s="103" t="s">
        <v>13</v>
      </c>
      <c r="B21" s="116">
        <v>0</v>
      </c>
      <c r="C21" s="130">
        <v>0</v>
      </c>
      <c r="D21" s="130">
        <v>0</v>
      </c>
      <c r="E21" s="116">
        <v>0</v>
      </c>
      <c r="F21" s="116">
        <v>0</v>
      </c>
      <c r="G21" s="114">
        <v>0</v>
      </c>
      <c r="H21" s="131">
        <v>0</v>
      </c>
      <c r="I21" s="131">
        <v>0</v>
      </c>
      <c r="J21" s="114">
        <v>0</v>
      </c>
      <c r="K21" s="99">
        <v>0</v>
      </c>
      <c r="L21" s="99">
        <v>0</v>
      </c>
      <c r="M21" s="114">
        <v>0</v>
      </c>
      <c r="N21" s="131">
        <v>0</v>
      </c>
      <c r="O21" s="120">
        <v>0</v>
      </c>
      <c r="P21" s="200">
        <f t="shared" si="0"/>
        <v>0</v>
      </c>
      <c r="Q21" s="202">
        <f>P21+'2. COMPR DEV 30%'!C19+'2. COMPR DEV 30%'!E19+'3. COMP VR'!C19+'3. COMP VR'!E19+'4. COMP VP'!D22+'4. COMP VP'!F22</f>
        <v>0</v>
      </c>
      <c r="R21" s="203"/>
      <c r="T21" s="198"/>
      <c r="U21" s="246"/>
      <c r="V21" s="239"/>
    </row>
    <row r="22" spans="1:24" ht="23.1" customHeight="1" thickBot="1" x14ac:dyDescent="0.25">
      <c r="A22" s="103" t="s">
        <v>14</v>
      </c>
      <c r="B22" s="116">
        <v>0</v>
      </c>
      <c r="C22" s="130">
        <v>0</v>
      </c>
      <c r="D22" s="130">
        <v>0</v>
      </c>
      <c r="E22" s="116">
        <v>0</v>
      </c>
      <c r="F22" s="116">
        <v>0</v>
      </c>
      <c r="G22" s="114">
        <v>0</v>
      </c>
      <c r="H22" s="131">
        <v>0</v>
      </c>
      <c r="I22" s="131">
        <v>0</v>
      </c>
      <c r="J22" s="114">
        <v>0</v>
      </c>
      <c r="K22" s="99">
        <v>0</v>
      </c>
      <c r="L22" s="99">
        <v>0</v>
      </c>
      <c r="M22" s="114">
        <v>0</v>
      </c>
      <c r="N22" s="131">
        <v>0</v>
      </c>
      <c r="O22" s="120">
        <v>0</v>
      </c>
      <c r="P22" s="200">
        <f t="shared" si="0"/>
        <v>0</v>
      </c>
      <c r="Q22" s="202">
        <f>P22+'2. COMPR DEV 30%'!C20+'2. COMPR DEV 30%'!E20+'3. COMP VR'!C20+'3. COMP VR'!E20+'4. COMP VP'!D23+'4. COMP VP'!F23</f>
        <v>0</v>
      </c>
      <c r="R22" s="202"/>
      <c r="T22" s="198"/>
      <c r="U22" s="246"/>
      <c r="V22" s="239"/>
    </row>
    <row r="23" spans="1:24" ht="27.75" customHeight="1" thickBot="1" x14ac:dyDescent="0.25">
      <c r="A23" s="121" t="s">
        <v>0</v>
      </c>
      <c r="B23" s="122">
        <f t="shared" ref="B23:I23" si="1">SUM(B11:B22)</f>
        <v>16</v>
      </c>
      <c r="C23" s="122">
        <f t="shared" si="1"/>
        <v>176</v>
      </c>
      <c r="D23" s="122">
        <f t="shared" si="1"/>
        <v>423</v>
      </c>
      <c r="E23" s="122">
        <f t="shared" si="1"/>
        <v>88</v>
      </c>
      <c r="F23" s="122">
        <f t="shared" si="1"/>
        <v>104</v>
      </c>
      <c r="G23" s="123">
        <f t="shared" si="1"/>
        <v>282865.57</v>
      </c>
      <c r="H23" s="123">
        <f t="shared" si="1"/>
        <v>589508.44999999995</v>
      </c>
      <c r="I23" s="123">
        <f t="shared" si="1"/>
        <v>14857.14</v>
      </c>
      <c r="J23" s="123">
        <f t="shared" ref="J23:O23" si="2">SUM(J11:J22)</f>
        <v>19047.64</v>
      </c>
      <c r="K23" s="123">
        <f t="shared" si="2"/>
        <v>0</v>
      </c>
      <c r="L23" s="123">
        <f t="shared" si="2"/>
        <v>0</v>
      </c>
      <c r="M23" s="123">
        <f t="shared" si="2"/>
        <v>22000.01</v>
      </c>
      <c r="N23" s="123">
        <f t="shared" si="2"/>
        <v>41142.959999999999</v>
      </c>
      <c r="O23" s="124">
        <f t="shared" si="2"/>
        <v>0</v>
      </c>
      <c r="P23" s="206">
        <f>G23+H23+I23+J23+K23+L23+M23+N23+O23</f>
        <v>969421.77</v>
      </c>
      <c r="Q23" s="207">
        <f>SUM(Q11:Q22)</f>
        <v>1566663.79</v>
      </c>
      <c r="T23" s="188"/>
      <c r="U23" s="246"/>
      <c r="V23" s="239"/>
    </row>
    <row r="24" spans="1:24" s="198" customFormat="1" x14ac:dyDescent="0.2">
      <c r="A24" s="89" t="s">
        <v>118</v>
      </c>
      <c r="B24" s="247"/>
      <c r="C24" s="247"/>
      <c r="D24" s="247"/>
      <c r="E24" s="247"/>
      <c r="F24" s="247"/>
      <c r="G24" s="211"/>
      <c r="H24" s="247"/>
      <c r="I24" s="247"/>
      <c r="J24" s="247"/>
      <c r="K24" s="247"/>
      <c r="L24" s="247"/>
      <c r="M24" s="211"/>
      <c r="N24" s="1" t="s">
        <v>136</v>
      </c>
      <c r="O24" s="211"/>
      <c r="Q24" s="201">
        <f>SUM(Q11:Q23)-Q23</f>
        <v>1566663.79</v>
      </c>
      <c r="R24" s="203"/>
    </row>
    <row r="25" spans="1:24" s="198" customFormat="1" x14ac:dyDescent="0.2">
      <c r="A25" s="5" t="s">
        <v>88</v>
      </c>
      <c r="B25" s="88"/>
      <c r="C25" s="247"/>
      <c r="D25" s="247"/>
      <c r="E25" s="247"/>
      <c r="F25" s="247"/>
      <c r="G25" s="211"/>
      <c r="H25" s="247"/>
      <c r="I25" s="247"/>
      <c r="J25" s="247"/>
      <c r="K25" s="247"/>
      <c r="L25" s="247"/>
      <c r="M25" s="211"/>
      <c r="N25" s="211"/>
      <c r="O25" s="211"/>
      <c r="P25" s="208"/>
      <c r="Q25" s="203"/>
      <c r="V25" s="203"/>
    </row>
    <row r="26" spans="1:24" s="198" customFormat="1" x14ac:dyDescent="0.2">
      <c r="B26" s="249"/>
      <c r="C26" s="247"/>
      <c r="D26" s="247"/>
      <c r="E26" s="247"/>
      <c r="F26" s="247"/>
      <c r="G26" s="211"/>
      <c r="H26" s="247"/>
      <c r="I26" s="247"/>
      <c r="J26" s="247"/>
      <c r="K26" s="247"/>
      <c r="L26" s="247"/>
      <c r="M26" s="211"/>
      <c r="N26" s="211"/>
      <c r="O26" s="211"/>
      <c r="P26" s="203"/>
      <c r="Q26" s="240"/>
      <c r="V26" s="203"/>
    </row>
    <row r="27" spans="1:24" s="198" customFormat="1" x14ac:dyDescent="0.2">
      <c r="A27" s="247"/>
      <c r="B27" s="249"/>
      <c r="C27" s="247"/>
      <c r="D27" s="247"/>
      <c r="E27" s="247"/>
      <c r="F27" s="247"/>
      <c r="G27" s="211"/>
      <c r="H27" s="247"/>
      <c r="I27" s="247"/>
      <c r="J27" s="247"/>
      <c r="K27" s="247"/>
      <c r="L27" s="247"/>
      <c r="M27" s="211"/>
      <c r="N27" s="211"/>
      <c r="O27" s="211"/>
      <c r="P27" s="203"/>
      <c r="Q27" s="203"/>
    </row>
    <row r="28" spans="1:24" s="198" customFormat="1" x14ac:dyDescent="0.2">
      <c r="A28" s="88" t="s">
        <v>72</v>
      </c>
      <c r="B28" s="249"/>
      <c r="C28" s="248"/>
      <c r="D28" s="248"/>
      <c r="E28" s="248"/>
      <c r="F28" s="248"/>
      <c r="G28" s="88"/>
      <c r="H28" s="248"/>
      <c r="I28" s="248"/>
      <c r="J28" s="248"/>
      <c r="K28" s="248"/>
      <c r="L28" s="248"/>
      <c r="M28" s="88"/>
      <c r="N28" s="88"/>
      <c r="O28" s="88"/>
      <c r="P28" s="88"/>
      <c r="Q28" s="203"/>
    </row>
    <row r="29" spans="1:24" s="198" customFormat="1" x14ac:dyDescent="0.2">
      <c r="A29" s="248"/>
      <c r="B29" s="249"/>
      <c r="C29" s="247"/>
      <c r="D29" s="247"/>
      <c r="E29" s="247"/>
      <c r="F29" s="247"/>
      <c r="G29" s="211"/>
      <c r="H29" s="247"/>
      <c r="I29" s="247"/>
      <c r="J29" s="247"/>
      <c r="K29" s="247"/>
      <c r="L29" s="247"/>
      <c r="M29" s="211"/>
      <c r="N29" s="211"/>
      <c r="O29" s="211"/>
      <c r="Q29" s="240"/>
      <c r="U29" s="203"/>
    </row>
    <row r="30" spans="1:24" s="198" customFormat="1" x14ac:dyDescent="0.2">
      <c r="A30" s="248"/>
      <c r="B30" s="88"/>
      <c r="C30" s="248"/>
      <c r="D30" s="248"/>
      <c r="E30" s="248"/>
      <c r="F30" s="248"/>
      <c r="G30" s="88"/>
      <c r="H30" s="248"/>
      <c r="I30" s="248"/>
      <c r="J30" s="248"/>
      <c r="K30" s="248"/>
      <c r="L30" s="248"/>
      <c r="M30" s="88"/>
      <c r="N30" s="88"/>
      <c r="O30" s="88"/>
      <c r="P30" s="88"/>
      <c r="Q30" s="240"/>
    </row>
    <row r="31" spans="1:24" s="198" customFormat="1" x14ac:dyDescent="0.2">
      <c r="A31" s="248"/>
      <c r="B31" s="88"/>
      <c r="C31" s="248"/>
      <c r="D31" s="248"/>
      <c r="E31" s="248"/>
      <c r="F31" s="248"/>
      <c r="G31" s="88"/>
      <c r="H31" s="248"/>
      <c r="I31" s="248"/>
      <c r="J31" s="248"/>
      <c r="K31" s="248"/>
      <c r="L31" s="248"/>
      <c r="M31" s="88"/>
      <c r="N31" s="88"/>
      <c r="O31" s="88"/>
      <c r="P31" s="88"/>
    </row>
    <row r="32" spans="1:24" s="198" customFormat="1" x14ac:dyDescent="0.2">
      <c r="A32" s="248"/>
      <c r="B32" s="88"/>
      <c r="C32" s="248"/>
      <c r="D32" s="248"/>
      <c r="E32" s="248"/>
      <c r="F32" s="248"/>
      <c r="G32" s="7" t="s">
        <v>119</v>
      </c>
      <c r="H32" s="258"/>
      <c r="I32" s="259"/>
      <c r="J32" s="260"/>
      <c r="K32" s="260"/>
      <c r="L32" s="4"/>
      <c r="M32" s="7" t="s">
        <v>67</v>
      </c>
      <c r="N32" s="258"/>
      <c r="O32" s="259"/>
      <c r="P32" s="209"/>
    </row>
    <row r="33" spans="1:18" s="198" customFormat="1" x14ac:dyDescent="0.2">
      <c r="A33" s="248"/>
      <c r="B33" s="88"/>
      <c r="D33" s="248"/>
      <c r="E33" s="248"/>
      <c r="F33" s="248"/>
      <c r="G33" s="15"/>
      <c r="H33" s="8" t="s">
        <v>120</v>
      </c>
      <c r="I33" s="1"/>
      <c r="J33" s="5"/>
      <c r="K33" s="5"/>
      <c r="L33" s="4"/>
      <c r="M33" s="15"/>
      <c r="N33" s="8" t="s">
        <v>122</v>
      </c>
      <c r="O33" s="1"/>
    </row>
    <row r="34" spans="1:18" s="198" customFormat="1" x14ac:dyDescent="0.2">
      <c r="A34" s="248"/>
      <c r="B34" s="88"/>
      <c r="C34" s="248"/>
      <c r="D34" s="248"/>
      <c r="E34" s="248"/>
      <c r="F34" s="248"/>
      <c r="G34" s="3"/>
      <c r="H34" s="261" t="s">
        <v>123</v>
      </c>
      <c r="I34" s="1"/>
      <c r="J34" s="2"/>
      <c r="K34" s="2"/>
      <c r="L34" s="1"/>
      <c r="M34" s="3"/>
      <c r="N34" s="261" t="s">
        <v>121</v>
      </c>
      <c r="O34" s="1"/>
      <c r="Q34" s="250"/>
    </row>
    <row r="35" spans="1:18" x14ac:dyDescent="0.2">
      <c r="A35" s="5"/>
      <c r="B35" s="243"/>
      <c r="C35" s="244"/>
      <c r="D35" s="244"/>
      <c r="E35" s="244"/>
      <c r="F35" s="244"/>
      <c r="G35" s="188"/>
      <c r="H35" s="244"/>
      <c r="I35" s="244"/>
      <c r="J35" s="2"/>
      <c r="K35" s="2"/>
      <c r="L35" s="2"/>
      <c r="Q35" s="250"/>
      <c r="R35" s="203"/>
    </row>
    <row r="36" spans="1:18" x14ac:dyDescent="0.2">
      <c r="A36" s="5"/>
      <c r="B36" s="4"/>
      <c r="C36" s="2"/>
      <c r="D36" s="2"/>
      <c r="E36" s="2"/>
      <c r="F36" s="2"/>
      <c r="H36" s="2"/>
      <c r="I36" s="2"/>
      <c r="J36" s="2"/>
      <c r="K36" s="2"/>
      <c r="L36" s="2"/>
      <c r="P36" s="210"/>
      <c r="Q36" s="250"/>
    </row>
    <row r="37" spans="1:18" x14ac:dyDescent="0.2">
      <c r="A37" s="5"/>
      <c r="B37" s="3"/>
      <c r="C37" s="12"/>
      <c r="D37" s="12"/>
      <c r="E37" s="12"/>
      <c r="F37" s="12"/>
      <c r="G37" s="104"/>
      <c r="H37" s="12"/>
      <c r="I37" s="12"/>
      <c r="J37" s="12"/>
      <c r="K37" s="12"/>
      <c r="L37" s="12"/>
      <c r="M37" s="3"/>
      <c r="N37" s="3"/>
      <c r="O37" s="3"/>
      <c r="P37" s="210"/>
    </row>
    <row r="38" spans="1:18" ht="10.5" customHeight="1" x14ac:dyDescent="0.2">
      <c r="A38" s="5"/>
      <c r="B38" s="3"/>
      <c r="C38" s="2"/>
      <c r="D38" s="2"/>
      <c r="E38" s="2"/>
      <c r="F38" s="2"/>
      <c r="H38" s="2"/>
      <c r="I38" s="2"/>
      <c r="J38" s="2"/>
      <c r="K38" s="2"/>
      <c r="L38" s="2"/>
    </row>
    <row r="39" spans="1:18" x14ac:dyDescent="0.2">
      <c r="A39" s="5"/>
      <c r="B39" s="3"/>
      <c r="C39" s="2"/>
      <c r="D39" s="2"/>
      <c r="E39" s="2"/>
      <c r="F39" s="2"/>
      <c r="G39" s="104"/>
      <c r="H39" s="2"/>
      <c r="I39" s="2"/>
      <c r="J39" s="2"/>
      <c r="K39" s="2"/>
      <c r="L39" s="2"/>
    </row>
    <row r="40" spans="1:18" x14ac:dyDescent="0.2">
      <c r="A40" s="13"/>
      <c r="B40" s="13"/>
      <c r="C40" s="13"/>
      <c r="D40" s="13"/>
      <c r="E40" s="18"/>
      <c r="H40" s="239"/>
    </row>
    <row r="41" spans="1:18" x14ac:dyDescent="0.2">
      <c r="A41" s="13"/>
      <c r="B41" s="13"/>
      <c r="C41" s="13"/>
      <c r="D41" s="13"/>
      <c r="E41" s="18"/>
    </row>
    <row r="42" spans="1:18" x14ac:dyDescent="0.2">
      <c r="A42" s="13"/>
      <c r="B42" s="13"/>
      <c r="C42" s="13"/>
      <c r="D42" s="13"/>
      <c r="E42" s="16"/>
      <c r="F42" s="3"/>
      <c r="N42" s="3"/>
      <c r="O42" s="3"/>
      <c r="P42" s="211"/>
    </row>
    <row r="43" spans="1:18" x14ac:dyDescent="0.2">
      <c r="A43" s="13"/>
      <c r="B43" s="13"/>
      <c r="C43" s="13"/>
      <c r="D43" s="13"/>
      <c r="E43" s="18"/>
    </row>
    <row r="44" spans="1:18" x14ac:dyDescent="0.2">
      <c r="A44" s="13"/>
      <c r="B44" s="13"/>
      <c r="C44" s="13"/>
      <c r="D44" s="13"/>
      <c r="E44" s="18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I23" sqref="I23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7" t="s">
        <v>111</v>
      </c>
    </row>
    <row r="3" spans="1:11" ht="15" x14ac:dyDescent="0.25">
      <c r="A3" s="46"/>
      <c r="B3" s="46"/>
      <c r="C3" s="46"/>
      <c r="H3" s="46"/>
      <c r="I3" s="46"/>
      <c r="J3" s="46"/>
      <c r="K3" s="45"/>
    </row>
    <row r="4" spans="1:11" s="9" customFormat="1" ht="9" x14ac:dyDescent="0.15">
      <c r="A4" s="461" t="s">
        <v>41</v>
      </c>
      <c r="B4" s="461"/>
      <c r="C4" s="461"/>
      <c r="D4" s="461"/>
      <c r="E4" s="461"/>
      <c r="F4" s="87"/>
      <c r="G4" s="461" t="s">
        <v>41</v>
      </c>
      <c r="H4" s="461"/>
      <c r="I4" s="461"/>
      <c r="J4" s="461"/>
      <c r="K4" s="461"/>
    </row>
    <row r="5" spans="1:11" s="9" customFormat="1" ht="9" x14ac:dyDescent="0.15">
      <c r="A5" s="461" t="s">
        <v>42</v>
      </c>
      <c r="B5" s="461"/>
      <c r="C5" s="461"/>
      <c r="D5" s="461"/>
      <c r="E5" s="461"/>
      <c r="F5" s="87"/>
      <c r="G5" s="461" t="s">
        <v>42</v>
      </c>
      <c r="H5" s="461"/>
      <c r="I5" s="461"/>
      <c r="J5" s="461"/>
      <c r="K5" s="461"/>
    </row>
    <row r="6" spans="1:11" s="9" customFormat="1" ht="9" x14ac:dyDescent="0.15">
      <c r="A6" s="465" t="s">
        <v>124</v>
      </c>
      <c r="B6" s="465"/>
      <c r="C6" s="465"/>
      <c r="D6" s="465"/>
      <c r="E6" s="465"/>
      <c r="F6" s="87"/>
      <c r="G6" s="465" t="s">
        <v>131</v>
      </c>
      <c r="H6" s="465"/>
      <c r="I6" s="465"/>
      <c r="J6" s="465"/>
      <c r="K6" s="465"/>
    </row>
    <row r="7" spans="1:11" ht="15" customHeight="1" x14ac:dyDescent="0.25">
      <c r="A7" s="92"/>
      <c r="B7" s="462" t="s">
        <v>125</v>
      </c>
      <c r="C7" s="463"/>
      <c r="D7" s="463"/>
      <c r="E7" s="464"/>
      <c r="F7" s="45"/>
      <c r="G7" s="48"/>
      <c r="H7" s="466" t="s">
        <v>130</v>
      </c>
      <c r="I7" s="467"/>
      <c r="J7" s="467"/>
      <c r="K7" s="468"/>
    </row>
    <row r="8" spans="1:11" ht="77.25" customHeight="1" x14ac:dyDescent="0.25">
      <c r="A8" s="93" t="s">
        <v>43</v>
      </c>
      <c r="B8" s="94" t="s">
        <v>66</v>
      </c>
      <c r="C8" s="95" t="s">
        <v>45</v>
      </c>
      <c r="D8" s="96" t="s">
        <v>46</v>
      </c>
      <c r="E8" s="97" t="s">
        <v>47</v>
      </c>
      <c r="F8" s="45"/>
      <c r="G8" s="49" t="s">
        <v>43</v>
      </c>
      <c r="H8" s="22" t="s">
        <v>66</v>
      </c>
      <c r="I8" s="50" t="s">
        <v>45</v>
      </c>
      <c r="J8" s="51" t="s">
        <v>46</v>
      </c>
      <c r="K8" s="52" t="s">
        <v>47</v>
      </c>
    </row>
    <row r="9" spans="1:11" ht="15" x14ac:dyDescent="0.25">
      <c r="A9" s="149" t="s">
        <v>30</v>
      </c>
      <c r="B9" s="150">
        <f>6+6+3+1</f>
        <v>16</v>
      </c>
      <c r="C9" s="151">
        <f>232.33+240.99+71+58.76</f>
        <v>603.08000000000004</v>
      </c>
      <c r="D9" s="151">
        <f>7744.51+8033.19+2366.96+1958.58</f>
        <v>20103.239999999998</v>
      </c>
      <c r="E9" s="152">
        <f>2091.02+2168.98+639.09+528.81</f>
        <v>5427.9</v>
      </c>
      <c r="F9" s="45"/>
      <c r="G9" s="53" t="s">
        <v>30</v>
      </c>
      <c r="H9" s="150">
        <v>25</v>
      </c>
      <c r="I9" s="151">
        <v>857.02</v>
      </c>
      <c r="J9" s="151">
        <v>28566.57</v>
      </c>
      <c r="K9" s="152">
        <v>7712.96</v>
      </c>
    </row>
    <row r="10" spans="1:11" ht="15" x14ac:dyDescent="0.25">
      <c r="A10" s="149" t="s">
        <v>31</v>
      </c>
      <c r="B10" s="150">
        <f>4+8+7+2</f>
        <v>21</v>
      </c>
      <c r="C10" s="151">
        <f>140+341.73+319.59+14.65</f>
        <v>815.96999999999991</v>
      </c>
      <c r="D10" s="151">
        <f>4666.74+11390.98+10653.14+488.3</f>
        <v>27199.16</v>
      </c>
      <c r="E10" s="152">
        <f>1260.02+3075.58+2876.35+131.84</f>
        <v>7343.7900000000009</v>
      </c>
      <c r="F10" s="45"/>
      <c r="G10" s="53" t="s">
        <v>31</v>
      </c>
      <c r="H10" s="150">
        <v>25</v>
      </c>
      <c r="I10" s="153">
        <v>911.44</v>
      </c>
      <c r="J10" s="153">
        <v>12434.68</v>
      </c>
      <c r="K10" s="152">
        <v>8202.7500000000018</v>
      </c>
    </row>
    <row r="11" spans="1:11" ht="15" x14ac:dyDescent="0.25">
      <c r="A11" s="149" t="s">
        <v>32</v>
      </c>
      <c r="B11" s="150">
        <f>4+7+9+10+2</f>
        <v>32</v>
      </c>
      <c r="C11" s="151">
        <f>168.99+268.91+265.68+275.56+73.27</f>
        <v>1052.4100000000001</v>
      </c>
      <c r="D11" s="151">
        <f>5632.92+8963.5+8855.56+9185.65+2442.18</f>
        <v>35079.81</v>
      </c>
      <c r="E11" s="152">
        <f>1520.89+2420.15+2390.99+2480.13+659.39</f>
        <v>9471.5499999999993</v>
      </c>
      <c r="F11" s="45"/>
      <c r="G11" s="53" t="s">
        <v>32</v>
      </c>
      <c r="H11" s="150">
        <v>23</v>
      </c>
      <c r="I11" s="153">
        <v>895.42000000000007</v>
      </c>
      <c r="J11" s="262">
        <v>29846.589999999997</v>
      </c>
      <c r="K11" s="263">
        <v>8058.5500000000011</v>
      </c>
    </row>
    <row r="12" spans="1:11" ht="15" x14ac:dyDescent="0.25">
      <c r="A12" s="149" t="s">
        <v>33</v>
      </c>
      <c r="B12" s="150">
        <v>0</v>
      </c>
      <c r="C12" s="153">
        <v>0</v>
      </c>
      <c r="D12" s="153">
        <v>0</v>
      </c>
      <c r="E12" s="152">
        <v>0</v>
      </c>
      <c r="F12" s="45"/>
      <c r="G12" s="53" t="s">
        <v>33</v>
      </c>
      <c r="H12" s="150">
        <v>10</v>
      </c>
      <c r="I12" s="153">
        <v>269.23</v>
      </c>
      <c r="J12" s="153">
        <v>8973.65</v>
      </c>
      <c r="K12" s="152">
        <v>2422.86</v>
      </c>
    </row>
    <row r="13" spans="1:11" ht="15" x14ac:dyDescent="0.25">
      <c r="A13" s="149" t="s">
        <v>34</v>
      </c>
      <c r="B13" s="150">
        <v>0</v>
      </c>
      <c r="C13" s="151">
        <v>0</v>
      </c>
      <c r="D13" s="151">
        <v>0</v>
      </c>
      <c r="E13" s="152">
        <v>0</v>
      </c>
      <c r="F13" s="45"/>
      <c r="G13" s="53" t="s">
        <v>34</v>
      </c>
      <c r="H13" s="150">
        <v>14</v>
      </c>
      <c r="I13" s="153">
        <v>548.13</v>
      </c>
      <c r="J13" s="153">
        <v>18270.580000000002</v>
      </c>
      <c r="K13" s="152">
        <v>4933.05</v>
      </c>
    </row>
    <row r="14" spans="1:11" ht="15" x14ac:dyDescent="0.25">
      <c r="A14" s="149" t="s">
        <v>35</v>
      </c>
      <c r="B14" s="150">
        <v>0</v>
      </c>
      <c r="C14" s="151">
        <v>0</v>
      </c>
      <c r="D14" s="151">
        <v>0</v>
      </c>
      <c r="E14" s="152">
        <v>0</v>
      </c>
      <c r="F14" s="45"/>
      <c r="G14" s="53" t="s">
        <v>35</v>
      </c>
      <c r="H14" s="150">
        <v>16</v>
      </c>
      <c r="I14" s="153">
        <v>743.39</v>
      </c>
      <c r="J14" s="153">
        <v>24779.439999999999</v>
      </c>
      <c r="K14" s="152">
        <v>6690.45</v>
      </c>
    </row>
    <row r="15" spans="1:11" ht="15" x14ac:dyDescent="0.25">
      <c r="A15" s="154" t="s">
        <v>36</v>
      </c>
      <c r="B15" s="150">
        <v>0</v>
      </c>
      <c r="C15" s="153">
        <v>0</v>
      </c>
      <c r="D15" s="153">
        <v>0</v>
      </c>
      <c r="E15" s="152">
        <v>0</v>
      </c>
      <c r="F15" s="45"/>
      <c r="G15" s="53" t="s">
        <v>36</v>
      </c>
      <c r="H15" s="150">
        <v>17</v>
      </c>
      <c r="I15" s="153">
        <v>489.1</v>
      </c>
      <c r="J15" s="153">
        <v>16302.849999999999</v>
      </c>
      <c r="K15" s="152">
        <v>4401.7700000000004</v>
      </c>
    </row>
    <row r="16" spans="1:11" ht="15" x14ac:dyDescent="0.25">
      <c r="A16" s="149" t="s">
        <v>37</v>
      </c>
      <c r="B16" s="150">
        <v>0</v>
      </c>
      <c r="C16" s="151">
        <v>0</v>
      </c>
      <c r="D16" s="151">
        <v>0</v>
      </c>
      <c r="E16" s="152">
        <v>0</v>
      </c>
      <c r="F16" s="45"/>
      <c r="G16" s="53" t="s">
        <v>37</v>
      </c>
      <c r="H16" s="150">
        <v>23</v>
      </c>
      <c r="I16" s="153">
        <v>808.94</v>
      </c>
      <c r="J16" s="153">
        <v>26964.11</v>
      </c>
      <c r="K16" s="152">
        <v>7280.2999999999993</v>
      </c>
    </row>
    <row r="17" spans="1:13" ht="15" x14ac:dyDescent="0.25">
      <c r="A17" s="149" t="s">
        <v>48</v>
      </c>
      <c r="B17" s="150">
        <v>0</v>
      </c>
      <c r="C17" s="151">
        <v>0</v>
      </c>
      <c r="D17" s="151">
        <v>0</v>
      </c>
      <c r="E17" s="152">
        <v>0</v>
      </c>
      <c r="F17" s="45"/>
      <c r="G17" s="53" t="s">
        <v>48</v>
      </c>
      <c r="H17" s="150">
        <v>33</v>
      </c>
      <c r="I17" s="153">
        <v>1020.5999999999999</v>
      </c>
      <c r="J17" s="153">
        <v>34019.47</v>
      </c>
      <c r="K17" s="152">
        <v>9185.25</v>
      </c>
    </row>
    <row r="18" spans="1:13" ht="15" x14ac:dyDescent="0.25">
      <c r="A18" s="149" t="s">
        <v>38</v>
      </c>
      <c r="B18" s="150">
        <v>0</v>
      </c>
      <c r="C18" s="151">
        <v>0</v>
      </c>
      <c r="D18" s="151">
        <v>0</v>
      </c>
      <c r="E18" s="152">
        <v>0</v>
      </c>
      <c r="F18" s="45"/>
      <c r="G18" s="53" t="s">
        <v>38</v>
      </c>
      <c r="H18" s="150">
        <v>23</v>
      </c>
      <c r="I18" s="153">
        <v>937.36</v>
      </c>
      <c r="J18" s="153">
        <v>31244.399999999998</v>
      </c>
      <c r="K18" s="152">
        <v>8435.9599999999991</v>
      </c>
    </row>
    <row r="19" spans="1:13" ht="15" x14ac:dyDescent="0.25">
      <c r="A19" s="149" t="s">
        <v>39</v>
      </c>
      <c r="B19" s="150">
        <v>0</v>
      </c>
      <c r="C19" s="151">
        <v>0</v>
      </c>
      <c r="D19" s="151">
        <v>0</v>
      </c>
      <c r="E19" s="152">
        <v>0</v>
      </c>
      <c r="F19" s="45"/>
      <c r="G19" s="53" t="s">
        <v>39</v>
      </c>
      <c r="H19" s="150">
        <v>19</v>
      </c>
      <c r="I19" s="153">
        <v>705.8900000000001</v>
      </c>
      <c r="J19" s="153">
        <v>23529.39</v>
      </c>
      <c r="K19" s="152">
        <v>6352.91</v>
      </c>
    </row>
    <row r="20" spans="1:13" ht="15" x14ac:dyDescent="0.25">
      <c r="A20" s="149" t="s">
        <v>40</v>
      </c>
      <c r="B20" s="150">
        <v>0</v>
      </c>
      <c r="C20" s="151">
        <v>0</v>
      </c>
      <c r="D20" s="151">
        <v>0</v>
      </c>
      <c r="E20" s="152">
        <v>0</v>
      </c>
      <c r="F20" s="45"/>
      <c r="G20" s="53" t="s">
        <v>40</v>
      </c>
      <c r="H20" s="150">
        <v>20</v>
      </c>
      <c r="I20" s="153">
        <v>761.49</v>
      </c>
      <c r="J20" s="153">
        <v>25382.79</v>
      </c>
      <c r="K20" s="152">
        <v>6853.34</v>
      </c>
    </row>
    <row r="21" spans="1:13" ht="15" x14ac:dyDescent="0.25">
      <c r="A21" s="155" t="s">
        <v>0</v>
      </c>
      <c r="B21" s="156">
        <f>SUM(B9:B20)</f>
        <v>69</v>
      </c>
      <c r="C21" s="157">
        <f>SUM(C9:C20)</f>
        <v>2471.46</v>
      </c>
      <c r="D21" s="158">
        <f>SUM(D9:D20)</f>
        <v>82382.209999999992</v>
      </c>
      <c r="E21" s="159">
        <f>SUM(E9:E20)</f>
        <v>22243.239999999998</v>
      </c>
      <c r="F21" s="45"/>
      <c r="G21" s="54" t="s">
        <v>0</v>
      </c>
      <c r="H21" s="62">
        <v>248</v>
      </c>
      <c r="I21" s="85">
        <v>8948.01</v>
      </c>
      <c r="J21" s="264">
        <v>280314.51999999996</v>
      </c>
      <c r="K21" s="86">
        <v>80530.149999999994</v>
      </c>
    </row>
    <row r="22" spans="1:13" ht="15" x14ac:dyDescent="0.25">
      <c r="A22" s="90" t="s">
        <v>118</v>
      </c>
      <c r="B22" s="47"/>
      <c r="C22" s="47"/>
      <c r="D22" s="47"/>
      <c r="F22" s="45"/>
      <c r="G22" s="55"/>
      <c r="H22" s="47"/>
      <c r="I22" s="1" t="s">
        <v>136</v>
      </c>
    </row>
    <row r="23" spans="1:13" ht="15" x14ac:dyDescent="0.25">
      <c r="A23" s="47"/>
      <c r="B23" s="47"/>
      <c r="C23" s="47"/>
      <c r="D23" s="47"/>
      <c r="E23" s="47"/>
      <c r="F23" s="45"/>
      <c r="G23" s="47"/>
      <c r="H23" s="47"/>
      <c r="I23" s="47"/>
      <c r="J23" s="47"/>
      <c r="K23" s="47"/>
    </row>
    <row r="24" spans="1:13" ht="15" x14ac:dyDescent="0.25">
      <c r="A24" s="56"/>
      <c r="B24" s="47"/>
      <c r="C24" s="57"/>
      <c r="D24" s="105"/>
      <c r="E24" s="47"/>
      <c r="F24" s="45"/>
      <c r="G24" s="56"/>
      <c r="H24" s="47"/>
      <c r="I24" s="47"/>
      <c r="J24" s="47"/>
      <c r="K24" s="47"/>
      <c r="M24" s="42"/>
    </row>
    <row r="25" spans="1:13" x14ac:dyDescent="0.2">
      <c r="A25" s="47"/>
      <c r="B25" s="7" t="s">
        <v>119</v>
      </c>
      <c r="C25" s="258"/>
      <c r="D25" s="259"/>
      <c r="E25" s="260"/>
      <c r="F25" s="260"/>
      <c r="G25" s="4"/>
      <c r="H25" s="7" t="s">
        <v>67</v>
      </c>
      <c r="I25" s="258"/>
      <c r="J25" s="259"/>
      <c r="K25" s="209"/>
    </row>
    <row r="26" spans="1:13" x14ac:dyDescent="0.2">
      <c r="A26" s="56"/>
      <c r="B26" s="15"/>
      <c r="C26" s="8" t="s">
        <v>120</v>
      </c>
      <c r="D26" s="1"/>
      <c r="E26" s="5"/>
      <c r="F26" s="5"/>
      <c r="G26" s="4"/>
      <c r="H26" s="15"/>
      <c r="I26" s="8" t="s">
        <v>122</v>
      </c>
      <c r="J26" s="1"/>
      <c r="K26" s="198"/>
    </row>
    <row r="27" spans="1:13" x14ac:dyDescent="0.2">
      <c r="A27" s="47"/>
      <c r="B27" s="3"/>
      <c r="C27" s="261" t="s">
        <v>123</v>
      </c>
      <c r="D27" s="1"/>
      <c r="E27" s="2"/>
      <c r="F27" s="2"/>
      <c r="G27" s="1"/>
      <c r="H27" s="3"/>
      <c r="I27" s="261" t="s">
        <v>121</v>
      </c>
      <c r="J27" s="1"/>
      <c r="K27" s="198"/>
    </row>
    <row r="28" spans="1:13" ht="15" x14ac:dyDescent="0.25">
      <c r="A28" s="45"/>
      <c r="B28" s="45"/>
      <c r="C28" s="58"/>
      <c r="E28" s="45"/>
      <c r="F28" s="47"/>
      <c r="G28" s="45"/>
      <c r="H28" s="45"/>
      <c r="I28" s="47"/>
      <c r="J28" s="47"/>
      <c r="K28" s="45"/>
    </row>
    <row r="29" spans="1:13" ht="15" x14ac:dyDescent="0.25">
      <c r="A29" s="45"/>
      <c r="B29" s="45"/>
      <c r="C29" s="47"/>
      <c r="E29" s="45"/>
      <c r="F29" s="59"/>
      <c r="G29" s="45"/>
      <c r="H29" s="45"/>
      <c r="I29" s="47"/>
      <c r="J29" s="47"/>
      <c r="K29" s="45"/>
    </row>
    <row r="30" spans="1:13" ht="15" x14ac:dyDescent="0.25">
      <c r="A30" s="60"/>
      <c r="B30" s="45"/>
      <c r="C30" s="47"/>
      <c r="D30" s="42"/>
      <c r="E30" s="45"/>
      <c r="F30" s="56"/>
      <c r="G30" s="60"/>
      <c r="H30" s="45"/>
      <c r="I30" s="47"/>
      <c r="J30" s="47"/>
      <c r="K30" s="45"/>
    </row>
    <row r="31" spans="1:13" ht="15" x14ac:dyDescent="0.25">
      <c r="A31" s="58"/>
      <c r="B31" s="45"/>
      <c r="C31" s="58"/>
      <c r="D31" s="58"/>
      <c r="E31" s="58"/>
      <c r="F31" s="45"/>
      <c r="G31" s="45"/>
      <c r="H31" s="45"/>
      <c r="I31" s="45"/>
      <c r="J31" s="45"/>
      <c r="K31" s="45"/>
    </row>
    <row r="32" spans="1:13" ht="15" x14ac:dyDescent="0.25">
      <c r="A32" s="45"/>
      <c r="B32" s="45"/>
      <c r="C32" s="45"/>
      <c r="D32" s="45"/>
      <c r="E32" s="45"/>
    </row>
    <row r="33" spans="1:5" ht="15" x14ac:dyDescent="0.25">
      <c r="A33" s="45"/>
      <c r="B33" s="45"/>
      <c r="C33" s="45"/>
      <c r="D33" s="45"/>
      <c r="E33" s="45"/>
    </row>
    <row r="34" spans="1:5" ht="15" x14ac:dyDescent="0.25">
      <c r="A34" s="45"/>
      <c r="B34" s="45"/>
      <c r="C34" s="45"/>
      <c r="D34" s="45"/>
      <c r="E34" s="45"/>
    </row>
    <row r="35" spans="1:5" ht="15" x14ac:dyDescent="0.25">
      <c r="A35" s="47"/>
      <c r="B35" s="45"/>
      <c r="C35" s="45"/>
      <c r="D35" s="45"/>
      <c r="E35" s="45"/>
    </row>
    <row r="36" spans="1:5" x14ac:dyDescent="0.2">
      <c r="A36" s="61"/>
      <c r="B36" s="47"/>
      <c r="C36" s="47"/>
      <c r="D36" s="47"/>
      <c r="E36" s="47"/>
    </row>
    <row r="37" spans="1:5" ht="15" x14ac:dyDescent="0.25">
      <c r="A37" s="45"/>
      <c r="B37" s="58"/>
      <c r="C37" s="58"/>
      <c r="D37" s="58"/>
      <c r="E37" s="47"/>
    </row>
    <row r="38" spans="1:5" ht="15" x14ac:dyDescent="0.25">
      <c r="A38" s="45"/>
      <c r="B38" s="58"/>
      <c r="C38" s="58"/>
      <c r="D38" s="58"/>
      <c r="E38" s="47"/>
    </row>
    <row r="39" spans="1:5" x14ac:dyDescent="0.2">
      <c r="A39" s="47"/>
      <c r="B39" s="47"/>
      <c r="C39" s="47"/>
      <c r="D39" s="47"/>
      <c r="E39" s="47"/>
    </row>
    <row r="40" spans="1:5" x14ac:dyDescent="0.2">
      <c r="A40" s="47"/>
      <c r="B40" s="47"/>
      <c r="C40" s="47"/>
      <c r="D40" s="47"/>
      <c r="E40" s="47"/>
    </row>
    <row r="41" spans="1:5" x14ac:dyDescent="0.2">
      <c r="A41" s="47"/>
      <c r="B41" s="47"/>
      <c r="C41" s="47"/>
      <c r="D41" s="47"/>
      <c r="E41" s="47"/>
    </row>
    <row r="42" spans="1:5" x14ac:dyDescent="0.2">
      <c r="A42" s="47"/>
      <c r="B42" s="47"/>
      <c r="C42" s="47"/>
      <c r="D42" s="47"/>
      <c r="E42" s="47"/>
    </row>
    <row r="43" spans="1:5" x14ac:dyDescent="0.2">
      <c r="A43" s="47"/>
      <c r="B43" s="47"/>
      <c r="C43" s="47"/>
      <c r="D43" s="47"/>
      <c r="E43" s="47"/>
    </row>
    <row r="44" spans="1:5" x14ac:dyDescent="0.2">
      <c r="A44" s="47"/>
      <c r="B44" s="47"/>
      <c r="C44" s="47"/>
      <c r="D44" s="47"/>
      <c r="E44" s="47"/>
    </row>
    <row r="45" spans="1:5" x14ac:dyDescent="0.2">
      <c r="A45" s="47"/>
      <c r="B45" s="47"/>
      <c r="C45" s="47"/>
      <c r="D45" s="47"/>
      <c r="E45" s="47"/>
    </row>
    <row r="46" spans="1:5" x14ac:dyDescent="0.2">
      <c r="A46" s="47"/>
      <c r="B46" s="47"/>
      <c r="C46" s="47"/>
      <c r="D46" s="47"/>
      <c r="E46" s="47"/>
    </row>
    <row r="47" spans="1:5" x14ac:dyDescent="0.2">
      <c r="A47" s="47"/>
      <c r="B47" s="47"/>
      <c r="C47" s="47"/>
      <c r="D47" s="47"/>
      <c r="E47" s="47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44"/>
  <sheetViews>
    <sheetView zoomScaleNormal="100" workbookViewId="0">
      <selection activeCell="I23" sqref="I23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7" t="s">
        <v>117</v>
      </c>
    </row>
    <row r="4" spans="1:14" x14ac:dyDescent="0.2">
      <c r="A4" s="469" t="s">
        <v>49</v>
      </c>
      <c r="B4" s="469"/>
      <c r="C4" s="469"/>
      <c r="D4" s="469"/>
      <c r="E4" s="469"/>
      <c r="F4" s="1"/>
      <c r="G4" s="469" t="s">
        <v>49</v>
      </c>
      <c r="H4" s="469"/>
      <c r="I4" s="469"/>
      <c r="J4" s="469"/>
      <c r="K4" s="469"/>
    </row>
    <row r="5" spans="1:14" x14ac:dyDescent="0.2">
      <c r="A5" s="469" t="s">
        <v>126</v>
      </c>
      <c r="B5" s="469"/>
      <c r="C5" s="469"/>
      <c r="D5" s="469"/>
      <c r="E5" s="469"/>
      <c r="F5" s="1"/>
      <c r="G5" s="469" t="s">
        <v>133</v>
      </c>
      <c r="H5" s="469"/>
      <c r="I5" s="469"/>
      <c r="J5" s="469"/>
      <c r="K5" s="469"/>
    </row>
    <row r="6" spans="1:14" x14ac:dyDescent="0.2">
      <c r="A6" s="43"/>
      <c r="B6" s="43"/>
      <c r="C6" s="43"/>
      <c r="D6" s="43"/>
      <c r="E6" s="43"/>
      <c r="F6" s="1"/>
      <c r="G6" s="43"/>
      <c r="H6" s="43"/>
      <c r="I6" s="43"/>
      <c r="J6" s="43"/>
      <c r="K6" s="43"/>
    </row>
    <row r="7" spans="1:14" ht="12.75" customHeight="1" x14ac:dyDescent="0.2">
      <c r="A7" s="21"/>
      <c r="B7" s="462" t="str">
        <f>'2. COMPR DEV 30%'!B7:E7</f>
        <v>DEL 01 DE ENERO AL 31 DE DICIEMBRE DEL AÑO 2022</v>
      </c>
      <c r="C7" s="463"/>
      <c r="D7" s="463"/>
      <c r="E7" s="464"/>
      <c r="G7" s="21"/>
      <c r="H7" s="470" t="s">
        <v>130</v>
      </c>
      <c r="I7" s="471"/>
      <c r="J7" s="471"/>
      <c r="K7" s="472"/>
    </row>
    <row r="8" spans="1:14" ht="45" x14ac:dyDescent="0.2">
      <c r="A8" s="33" t="s">
        <v>43</v>
      </c>
      <c r="B8" s="22" t="s">
        <v>44</v>
      </c>
      <c r="C8" s="23" t="s">
        <v>45</v>
      </c>
      <c r="D8" s="98" t="s">
        <v>46</v>
      </c>
      <c r="E8" s="24" t="s">
        <v>47</v>
      </c>
      <c r="G8" s="33" t="s">
        <v>43</v>
      </c>
      <c r="H8" s="63" t="s">
        <v>44</v>
      </c>
      <c r="I8" s="35" t="s">
        <v>45</v>
      </c>
      <c r="J8" s="35" t="s">
        <v>46</v>
      </c>
      <c r="K8" s="64" t="s">
        <v>47</v>
      </c>
    </row>
    <row r="9" spans="1:14" x14ac:dyDescent="0.2">
      <c r="A9" s="160" t="s">
        <v>30</v>
      </c>
      <c r="B9" s="161">
        <f>6+14+12+24</f>
        <v>56</v>
      </c>
      <c r="C9" s="162">
        <f>8.12+14.53+8.48+22.13</f>
        <v>53.26</v>
      </c>
      <c r="D9" s="162">
        <f>4728.27+10811.43+13975.72+19573.03</f>
        <v>49088.45</v>
      </c>
      <c r="E9" s="162">
        <f>4350.58+9856.94+13277.77+19035.22</f>
        <v>46520.51</v>
      </c>
      <c r="G9" s="29" t="s">
        <v>30</v>
      </c>
      <c r="H9" s="161">
        <v>83</v>
      </c>
      <c r="I9" s="162">
        <v>115.64000000000001</v>
      </c>
      <c r="J9" s="162">
        <v>83311.760000000009</v>
      </c>
      <c r="K9" s="162">
        <v>78765.06</v>
      </c>
      <c r="L9" s="42"/>
      <c r="M9" s="42"/>
    </row>
    <row r="10" spans="1:14" x14ac:dyDescent="0.2">
      <c r="A10" s="160" t="s">
        <v>31</v>
      </c>
      <c r="B10" s="161">
        <f>19+14+27+31</f>
        <v>91</v>
      </c>
      <c r="C10" s="162">
        <f>41.5+12.89+44.41+57.64</f>
        <v>156.44</v>
      </c>
      <c r="D10" s="162">
        <f>38034.94+12572.96+26573.64+38432.83</f>
        <v>115614.37000000001</v>
      </c>
      <c r="E10" s="162">
        <f>37428.41+11199.48+24892.53+36170.2</f>
        <v>109690.62</v>
      </c>
      <c r="F10" s="125"/>
      <c r="G10" s="25" t="s">
        <v>31</v>
      </c>
      <c r="H10" s="164">
        <v>85</v>
      </c>
      <c r="I10" s="270">
        <v>166.46000000000004</v>
      </c>
      <c r="J10" s="270">
        <v>82953.849999999991</v>
      </c>
      <c r="K10" s="269">
        <v>79310.16</v>
      </c>
      <c r="L10" s="11"/>
      <c r="M10" s="11"/>
    </row>
    <row r="11" spans="1:14" x14ac:dyDescent="0.2">
      <c r="A11" s="160" t="s">
        <v>32</v>
      </c>
      <c r="B11" s="161">
        <f>16+16+19+33+13</f>
        <v>97</v>
      </c>
      <c r="C11" s="162">
        <f>26.4+17.8+13.36+30.92+8.19</f>
        <v>96.67</v>
      </c>
      <c r="D11" s="162">
        <f>16989.91+11625.92+19453.72+23149.07+10675.57</f>
        <v>81894.19</v>
      </c>
      <c r="E11" s="162">
        <f>15876.21+10711.41+17530.25+20522.62+9654.69</f>
        <v>74295.179999999993</v>
      </c>
      <c r="G11" s="66" t="s">
        <v>32</v>
      </c>
      <c r="H11" s="164">
        <v>99</v>
      </c>
      <c r="I11" s="270">
        <v>130.04000000000002</v>
      </c>
      <c r="J11" s="270">
        <v>99120.49</v>
      </c>
      <c r="K11" s="269">
        <v>94341.91</v>
      </c>
      <c r="L11" s="67"/>
      <c r="M11" s="68"/>
    </row>
    <row r="12" spans="1:14" x14ac:dyDescent="0.2">
      <c r="A12" s="160" t="s">
        <v>33</v>
      </c>
      <c r="B12" s="161">
        <v>0</v>
      </c>
      <c r="C12" s="162">
        <v>0</v>
      </c>
      <c r="D12" s="162">
        <v>0</v>
      </c>
      <c r="E12" s="162">
        <v>0</v>
      </c>
      <c r="G12" s="29" t="s">
        <v>33</v>
      </c>
      <c r="H12" s="164">
        <v>62</v>
      </c>
      <c r="I12" s="270">
        <v>71.45</v>
      </c>
      <c r="J12" s="270">
        <v>54884.89</v>
      </c>
      <c r="K12" s="269">
        <v>50897.62</v>
      </c>
      <c r="L12" s="68"/>
      <c r="M12" s="69"/>
    </row>
    <row r="13" spans="1:14" x14ac:dyDescent="0.2">
      <c r="A13" s="160" t="s">
        <v>34</v>
      </c>
      <c r="B13" s="161">
        <v>0</v>
      </c>
      <c r="C13" s="162">
        <v>0</v>
      </c>
      <c r="D13" s="162">
        <v>0</v>
      </c>
      <c r="E13" s="162">
        <v>0</v>
      </c>
      <c r="G13" s="29" t="s">
        <v>34</v>
      </c>
      <c r="H13" s="164">
        <v>96</v>
      </c>
      <c r="I13" s="270">
        <v>85.09</v>
      </c>
      <c r="J13" s="270">
        <v>85567.81</v>
      </c>
      <c r="K13" s="269">
        <v>75952.350000000006</v>
      </c>
      <c r="L13" s="42"/>
      <c r="M13" s="68"/>
    </row>
    <row r="14" spans="1:14" x14ac:dyDescent="0.2">
      <c r="A14" s="160" t="s">
        <v>35</v>
      </c>
      <c r="B14" s="161">
        <v>0</v>
      </c>
      <c r="C14" s="162">
        <v>0</v>
      </c>
      <c r="D14" s="162">
        <v>0</v>
      </c>
      <c r="E14" s="162">
        <v>0</v>
      </c>
      <c r="G14" s="29" t="s">
        <v>35</v>
      </c>
      <c r="H14" s="164">
        <v>82</v>
      </c>
      <c r="I14" s="270">
        <v>85.36</v>
      </c>
      <c r="J14" s="270">
        <v>73274.09</v>
      </c>
      <c r="K14" s="269">
        <v>69752.92</v>
      </c>
      <c r="L14" s="68"/>
      <c r="M14" s="70"/>
      <c r="N14" s="42"/>
    </row>
    <row r="15" spans="1:14" x14ac:dyDescent="0.2">
      <c r="A15" s="163" t="s">
        <v>36</v>
      </c>
      <c r="B15" s="161">
        <v>0</v>
      </c>
      <c r="C15" s="162">
        <v>0</v>
      </c>
      <c r="D15" s="162">
        <v>0</v>
      </c>
      <c r="E15" s="162">
        <v>0</v>
      </c>
      <c r="G15" s="29" t="s">
        <v>36</v>
      </c>
      <c r="H15" s="164">
        <v>75</v>
      </c>
      <c r="I15" s="270">
        <v>118.37</v>
      </c>
      <c r="J15" s="270">
        <v>73737.26999999999</v>
      </c>
      <c r="K15" s="269">
        <v>67993.59</v>
      </c>
      <c r="L15" s="42"/>
      <c r="M15" s="70"/>
      <c r="N15" s="42"/>
    </row>
    <row r="16" spans="1:14" x14ac:dyDescent="0.2">
      <c r="A16" s="160" t="s">
        <v>37</v>
      </c>
      <c r="B16" s="161">
        <v>0</v>
      </c>
      <c r="C16" s="162">
        <v>0</v>
      </c>
      <c r="D16" s="162">
        <v>0</v>
      </c>
      <c r="E16" s="162">
        <v>0</v>
      </c>
      <c r="G16" s="29" t="s">
        <v>37</v>
      </c>
      <c r="H16" s="164">
        <v>82</v>
      </c>
      <c r="I16" s="270">
        <v>142.56</v>
      </c>
      <c r="J16" s="270">
        <v>88260.59</v>
      </c>
      <c r="K16" s="269">
        <v>83459.06</v>
      </c>
      <c r="L16" s="71"/>
      <c r="M16" s="11"/>
      <c r="N16" s="42"/>
    </row>
    <row r="17" spans="1:14" x14ac:dyDescent="0.2">
      <c r="A17" s="160" t="s">
        <v>48</v>
      </c>
      <c r="B17" s="161">
        <v>0</v>
      </c>
      <c r="C17" s="162">
        <v>0</v>
      </c>
      <c r="D17" s="162">
        <v>0</v>
      </c>
      <c r="E17" s="162">
        <v>0</v>
      </c>
      <c r="G17" s="29" t="s">
        <v>48</v>
      </c>
      <c r="H17" s="164">
        <v>76</v>
      </c>
      <c r="I17" s="270">
        <v>77.539999999999992</v>
      </c>
      <c r="J17" s="270">
        <v>65717.95</v>
      </c>
      <c r="K17" s="269">
        <v>59994.15</v>
      </c>
      <c r="L17" s="68"/>
      <c r="M17" s="11"/>
      <c r="N17" s="42"/>
    </row>
    <row r="18" spans="1:14" x14ac:dyDescent="0.2">
      <c r="A18" s="160" t="s">
        <v>38</v>
      </c>
      <c r="B18" s="161">
        <v>0</v>
      </c>
      <c r="C18" s="162">
        <v>0</v>
      </c>
      <c r="D18" s="162">
        <v>0</v>
      </c>
      <c r="E18" s="162">
        <v>0</v>
      </c>
      <c r="G18" s="29" t="s">
        <v>38</v>
      </c>
      <c r="H18" s="164">
        <v>91</v>
      </c>
      <c r="I18" s="270">
        <v>108.77000000000001</v>
      </c>
      <c r="J18" s="270">
        <v>91407.44</v>
      </c>
      <c r="K18" s="269">
        <v>85501.53</v>
      </c>
      <c r="L18" s="68"/>
      <c r="M18" s="72"/>
      <c r="N18" s="42"/>
    </row>
    <row r="19" spans="1:14" x14ac:dyDescent="0.2">
      <c r="A19" s="160" t="s">
        <v>39</v>
      </c>
      <c r="B19" s="161">
        <v>0</v>
      </c>
      <c r="C19" s="162">
        <v>0</v>
      </c>
      <c r="D19" s="162">
        <v>0</v>
      </c>
      <c r="E19" s="162">
        <v>0</v>
      </c>
      <c r="G19" s="29" t="s">
        <v>39</v>
      </c>
      <c r="H19" s="164">
        <v>113</v>
      </c>
      <c r="I19" s="270">
        <v>140.94</v>
      </c>
      <c r="J19" s="270">
        <v>102316.38</v>
      </c>
      <c r="K19" s="269">
        <v>93843.42</v>
      </c>
      <c r="L19" s="72"/>
      <c r="M19" s="11"/>
      <c r="N19" s="42"/>
    </row>
    <row r="20" spans="1:14" x14ac:dyDescent="0.2">
      <c r="A20" s="160" t="s">
        <v>40</v>
      </c>
      <c r="B20" s="161">
        <v>0</v>
      </c>
      <c r="C20" s="162">
        <v>0</v>
      </c>
      <c r="D20" s="162">
        <v>0</v>
      </c>
      <c r="E20" s="162">
        <v>0</v>
      </c>
      <c r="G20" s="29" t="s">
        <v>40</v>
      </c>
      <c r="H20" s="164">
        <v>103</v>
      </c>
      <c r="I20" s="270">
        <v>168.64</v>
      </c>
      <c r="J20" s="270">
        <v>104655.48</v>
      </c>
      <c r="K20" s="269">
        <v>99934.23000000001</v>
      </c>
      <c r="L20" s="42"/>
      <c r="M20" s="68"/>
      <c r="N20" s="42"/>
    </row>
    <row r="21" spans="1:14" x14ac:dyDescent="0.2">
      <c r="A21" s="31" t="s">
        <v>0</v>
      </c>
      <c r="B21" s="73">
        <f>SUM(B9:B20)</f>
        <v>244</v>
      </c>
      <c r="C21" s="106">
        <f>SUM(C9:C20)</f>
        <v>306.37</v>
      </c>
      <c r="D21" s="106">
        <f>SUM(D9:D20)</f>
        <v>246597.01</v>
      </c>
      <c r="E21" s="106">
        <f>SUM(E9:E20)</f>
        <v>230506.31</v>
      </c>
      <c r="G21" s="31" t="s">
        <v>0</v>
      </c>
      <c r="H21" s="74">
        <v>1047</v>
      </c>
      <c r="I21" s="75">
        <v>1410.8600000000001</v>
      </c>
      <c r="J21" s="75">
        <v>1005207.9999999999</v>
      </c>
      <c r="K21" s="75">
        <v>939746</v>
      </c>
      <c r="L21" s="11"/>
      <c r="M21" s="11"/>
      <c r="N21" s="42"/>
    </row>
    <row r="22" spans="1:14" x14ac:dyDescent="0.2">
      <c r="A22" s="89" t="s">
        <v>118</v>
      </c>
      <c r="B22" s="1"/>
      <c r="C22" s="1"/>
      <c r="D22" s="1"/>
      <c r="E22" s="6"/>
      <c r="G22" s="27"/>
      <c r="H22" s="1"/>
      <c r="I22" s="1" t="s">
        <v>136</v>
      </c>
      <c r="J22" s="1"/>
    </row>
    <row r="23" spans="1:14" x14ac:dyDescent="0.2">
      <c r="A23" s="88"/>
      <c r="B23" s="14"/>
    </row>
    <row r="24" spans="1:14" x14ac:dyDescent="0.2">
      <c r="A24" s="88"/>
      <c r="B24" s="1"/>
      <c r="C24" s="1"/>
      <c r="D24" s="1"/>
      <c r="E24" s="1"/>
      <c r="F24" s="1"/>
    </row>
    <row r="25" spans="1:14" x14ac:dyDescent="0.2">
      <c r="A25" s="88"/>
      <c r="B25" s="15"/>
      <c r="C25" s="1"/>
      <c r="D25" s="1"/>
      <c r="E25" s="1"/>
      <c r="F25" s="1"/>
    </row>
    <row r="26" spans="1:14" x14ac:dyDescent="0.2">
      <c r="A26" s="4"/>
      <c r="B26" s="17"/>
      <c r="C26" s="1"/>
      <c r="D26" s="1"/>
      <c r="F26" s="1"/>
      <c r="J26" s="1"/>
    </row>
    <row r="27" spans="1:14" x14ac:dyDescent="0.2">
      <c r="A27" s="4"/>
      <c r="B27" s="44"/>
      <c r="C27" s="257"/>
      <c r="D27" s="257"/>
      <c r="E27" s="257"/>
      <c r="F27" s="1"/>
    </row>
    <row r="28" spans="1:14" x14ac:dyDescent="0.2">
      <c r="A28" s="4"/>
      <c r="B28" s="7" t="s">
        <v>119</v>
      </c>
      <c r="C28" s="258"/>
      <c r="D28" s="259"/>
      <c r="E28" s="260"/>
      <c r="F28" s="260"/>
      <c r="G28" s="4"/>
      <c r="H28" s="7" t="s">
        <v>67</v>
      </c>
      <c r="I28" s="258"/>
      <c r="J28" s="259"/>
      <c r="K28" s="209"/>
    </row>
    <row r="29" spans="1:14" x14ac:dyDescent="0.2">
      <c r="A29" s="4"/>
      <c r="B29" s="15"/>
      <c r="C29" s="8" t="s">
        <v>120</v>
      </c>
      <c r="D29" s="1"/>
      <c r="E29" s="5"/>
      <c r="F29" s="5"/>
      <c r="G29" s="4"/>
      <c r="H29" s="15"/>
      <c r="I29" s="8" t="s">
        <v>122</v>
      </c>
      <c r="J29" s="1"/>
      <c r="K29" s="198"/>
    </row>
    <row r="30" spans="1:14" x14ac:dyDescent="0.2">
      <c r="A30" s="4"/>
      <c r="B30" s="3"/>
      <c r="C30" s="261" t="s">
        <v>123</v>
      </c>
      <c r="D30" s="1"/>
      <c r="E30" s="2"/>
      <c r="F30" s="2"/>
      <c r="G30" s="1"/>
      <c r="H30" s="3"/>
      <c r="I30" s="261" t="s">
        <v>121</v>
      </c>
      <c r="J30" s="1"/>
      <c r="K30" s="198"/>
    </row>
    <row r="31" spans="1:14" x14ac:dyDescent="0.2">
      <c r="A31" s="76"/>
      <c r="B31" s="9"/>
      <c r="C31" s="9"/>
      <c r="F31" s="1"/>
    </row>
    <row r="32" spans="1:14" x14ac:dyDescent="0.2">
      <c r="A32" s="9"/>
      <c r="B32" s="4"/>
      <c r="F32" s="1"/>
      <c r="H32" s="1"/>
      <c r="I32" s="1"/>
    </row>
    <row r="33" spans="1:9" x14ac:dyDescent="0.2">
      <c r="A33" s="26"/>
      <c r="B33" s="1"/>
      <c r="C33" s="1"/>
      <c r="D33" s="1"/>
      <c r="E33" s="1"/>
      <c r="F33" s="1"/>
      <c r="H33" s="1"/>
      <c r="I33" s="1"/>
    </row>
    <row r="34" spans="1:9" x14ac:dyDescent="0.2">
      <c r="B34" s="3"/>
      <c r="C34" s="3"/>
      <c r="D34" s="3"/>
      <c r="E34" s="1"/>
      <c r="F34" s="1"/>
      <c r="H34" s="1"/>
      <c r="I34" s="1"/>
    </row>
    <row r="35" spans="1:9" x14ac:dyDescent="0.2">
      <c r="B35" s="3"/>
      <c r="C35" s="3"/>
      <c r="D35" s="3"/>
      <c r="E35" s="1"/>
      <c r="F35" s="1"/>
    </row>
    <row r="36" spans="1:9" x14ac:dyDescent="0.2">
      <c r="A36" s="1"/>
      <c r="B36" s="1"/>
      <c r="C36" s="1"/>
      <c r="D36" s="1"/>
      <c r="E36" s="1"/>
      <c r="F36" s="1"/>
    </row>
    <row r="37" spans="1:9" x14ac:dyDescent="0.2">
      <c r="A37" s="1"/>
      <c r="B37" s="1"/>
      <c r="C37" s="1"/>
      <c r="D37" s="1"/>
      <c r="E37" s="1"/>
      <c r="F37" s="1"/>
    </row>
    <row r="38" spans="1:9" x14ac:dyDescent="0.2">
      <c r="A38" s="1"/>
      <c r="B38" s="1"/>
      <c r="C38" s="1"/>
      <c r="D38" s="1"/>
      <c r="E38" s="1"/>
      <c r="F38" s="1"/>
    </row>
    <row r="39" spans="1:9" x14ac:dyDescent="0.2">
      <c r="A39" s="1"/>
      <c r="B39" s="1"/>
      <c r="C39" s="1"/>
      <c r="D39" s="1"/>
      <c r="E39" s="1"/>
      <c r="F39" s="1"/>
    </row>
    <row r="40" spans="1:9" x14ac:dyDescent="0.2">
      <c r="A40" s="1"/>
      <c r="B40" s="1"/>
      <c r="C40" s="1"/>
      <c r="D40" s="1"/>
      <c r="E40" s="1"/>
      <c r="F40" s="1"/>
    </row>
    <row r="41" spans="1:9" x14ac:dyDescent="0.2">
      <c r="A41" s="1"/>
      <c r="B41" s="1"/>
      <c r="C41" s="1"/>
      <c r="D41" s="1"/>
      <c r="E41" s="1"/>
      <c r="F41" s="1"/>
    </row>
    <row r="42" spans="1:9" x14ac:dyDescent="0.2">
      <c r="A42" s="1"/>
      <c r="B42" s="1"/>
      <c r="C42" s="1"/>
      <c r="D42" s="1"/>
      <c r="E42" s="1"/>
      <c r="F42" s="1"/>
    </row>
    <row r="43" spans="1:9" x14ac:dyDescent="0.2">
      <c r="A43" s="1"/>
      <c r="B43" s="1"/>
      <c r="C43" s="1"/>
      <c r="D43" s="1"/>
      <c r="E43" s="1"/>
      <c r="F43" s="1"/>
    </row>
    <row r="44" spans="1:9" x14ac:dyDescent="0.2">
      <c r="A44" s="1"/>
      <c r="B44" s="1"/>
      <c r="C44" s="1"/>
      <c r="D44" s="1"/>
      <c r="E44" s="1"/>
      <c r="F44" s="1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2"/>
  <sheetViews>
    <sheetView topLeftCell="A7" workbookViewId="0">
      <selection activeCell="J26" sqref="J26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1:15" x14ac:dyDescent="0.2">
      <c r="L3" s="17" t="s">
        <v>116</v>
      </c>
    </row>
    <row r="5" spans="1:15" x14ac:dyDescent="0.2">
      <c r="B5" s="19"/>
    </row>
    <row r="6" spans="1:15" x14ac:dyDescent="0.2">
      <c r="B6" s="20"/>
      <c r="C6" s="20"/>
      <c r="D6" s="20"/>
      <c r="E6" s="20"/>
    </row>
    <row r="7" spans="1:15" x14ac:dyDescent="0.2">
      <c r="B7" s="20"/>
      <c r="C7" s="20"/>
      <c r="D7" s="20"/>
      <c r="E7" s="20"/>
    </row>
    <row r="8" spans="1:15" x14ac:dyDescent="0.2">
      <c r="B8" s="469" t="s">
        <v>50</v>
      </c>
      <c r="C8" s="469"/>
      <c r="D8" s="469"/>
      <c r="E8" s="469"/>
      <c r="F8" s="469"/>
      <c r="G8" s="1"/>
      <c r="H8" s="469" t="s">
        <v>50</v>
      </c>
      <c r="I8" s="469"/>
      <c r="J8" s="469"/>
      <c r="K8" s="469"/>
      <c r="L8" s="469"/>
    </row>
    <row r="9" spans="1:15" x14ac:dyDescent="0.2">
      <c r="B9" s="473" t="s">
        <v>127</v>
      </c>
      <c r="C9" s="473"/>
      <c r="D9" s="473"/>
      <c r="E9" s="473"/>
      <c r="F9" s="473"/>
      <c r="G9" s="1"/>
      <c r="H9" s="473" t="s">
        <v>132</v>
      </c>
      <c r="I9" s="473"/>
      <c r="J9" s="473"/>
      <c r="K9" s="473"/>
      <c r="L9" s="473"/>
    </row>
    <row r="10" spans="1:15" ht="12.75" customHeight="1" x14ac:dyDescent="0.2">
      <c r="B10" s="21"/>
      <c r="C10" s="462" t="s">
        <v>128</v>
      </c>
      <c r="D10" s="463"/>
      <c r="E10" s="463"/>
      <c r="F10" s="464"/>
      <c r="H10" s="21"/>
      <c r="I10" s="470" t="s">
        <v>130</v>
      </c>
      <c r="J10" s="471"/>
      <c r="K10" s="471"/>
      <c r="L10" s="474"/>
    </row>
    <row r="11" spans="1:15" ht="45" x14ac:dyDescent="0.2">
      <c r="B11" s="33" t="s">
        <v>43</v>
      </c>
      <c r="C11" s="40" t="s">
        <v>65</v>
      </c>
      <c r="D11" s="35" t="s">
        <v>45</v>
      </c>
      <c r="E11" s="253" t="s">
        <v>46</v>
      </c>
      <c r="F11" s="255" t="s">
        <v>51</v>
      </c>
      <c r="H11" s="33" t="s">
        <v>43</v>
      </c>
      <c r="I11" s="40" t="s">
        <v>65</v>
      </c>
      <c r="J11" s="35" t="s">
        <v>45</v>
      </c>
      <c r="K11" s="35" t="s">
        <v>46</v>
      </c>
      <c r="L11" s="28" t="s">
        <v>51</v>
      </c>
      <c r="N11" s="197"/>
    </row>
    <row r="12" spans="1:15" x14ac:dyDescent="0.2">
      <c r="A12" s="195"/>
      <c r="B12" s="29" t="s">
        <v>30</v>
      </c>
      <c r="C12" s="38">
        <f>9+19+5+13</f>
        <v>46</v>
      </c>
      <c r="D12" s="162">
        <f>57.24+183.18+41.57+116.58</f>
        <v>398.57</v>
      </c>
      <c r="E12" s="162">
        <f>10856.4+33025.8+8155.8+20548.8</f>
        <v>72586.8</v>
      </c>
      <c r="F12" s="162">
        <f>11371.35+34673.99+8529.87+21597.73</f>
        <v>76172.94</v>
      </c>
      <c r="H12" s="29" t="s">
        <v>30</v>
      </c>
      <c r="I12" s="38">
        <v>47</v>
      </c>
      <c r="J12" s="265">
        <v>394.84000000000003</v>
      </c>
      <c r="K12" s="265">
        <v>90036.48000000001</v>
      </c>
      <c r="L12" s="266">
        <v>96748.079999999987</v>
      </c>
      <c r="M12" s="91"/>
      <c r="N12" s="70"/>
      <c r="O12" s="42"/>
    </row>
    <row r="13" spans="1:15" x14ac:dyDescent="0.2">
      <c r="A13" s="195"/>
      <c r="B13" s="29" t="s">
        <v>31</v>
      </c>
      <c r="C13" s="38">
        <f>11+21+19+9</f>
        <v>60</v>
      </c>
      <c r="D13" s="36">
        <f>87.89+177.85+207.82+79.6</f>
        <v>553.16</v>
      </c>
      <c r="E13" s="254">
        <f>16264.2+31936.2+36779.4+13489.8</f>
        <v>98469.6</v>
      </c>
      <c r="F13" s="256">
        <f>17054.99+33536.48+38649.36+14206.13</f>
        <v>103446.96</v>
      </c>
      <c r="H13" s="29" t="s">
        <v>31</v>
      </c>
      <c r="I13" s="164">
        <v>42</v>
      </c>
      <c r="J13" s="267">
        <v>356.93000000000006</v>
      </c>
      <c r="K13" s="267">
        <v>65469.229999999996</v>
      </c>
      <c r="L13" s="165">
        <v>68785.97</v>
      </c>
      <c r="M13" s="91"/>
      <c r="N13" s="68"/>
      <c r="O13" s="42"/>
    </row>
    <row r="14" spans="1:15" x14ac:dyDescent="0.2">
      <c r="A14" s="195"/>
      <c r="B14" s="29" t="s">
        <v>32</v>
      </c>
      <c r="C14" s="38">
        <f>19+23+15+27+9</f>
        <v>93</v>
      </c>
      <c r="D14" s="36">
        <f>141.71+173.19+146.51+216.45+65.22</f>
        <v>743.07999999999993</v>
      </c>
      <c r="E14" s="36">
        <f>25440.4+32554.2+27678+53815.69+12490.8</f>
        <v>151979.09</v>
      </c>
      <c r="F14" s="30">
        <f>26715.48+34112.56+28996.36+57497.88+13077.65</f>
        <v>160399.93</v>
      </c>
      <c r="H14" s="29" t="s">
        <v>32</v>
      </c>
      <c r="I14" s="164">
        <v>85</v>
      </c>
      <c r="J14" s="267">
        <v>609.20000000000005</v>
      </c>
      <c r="K14" s="267">
        <v>122088.59999999999</v>
      </c>
      <c r="L14" s="165">
        <v>128533.81</v>
      </c>
      <c r="M14" s="91"/>
      <c r="N14" s="67"/>
      <c r="O14" s="11"/>
    </row>
    <row r="15" spans="1:15" x14ac:dyDescent="0.2">
      <c r="A15" s="195"/>
      <c r="B15" s="29" t="s">
        <v>33</v>
      </c>
      <c r="C15" s="38">
        <v>0</v>
      </c>
      <c r="D15" s="36">
        <v>0</v>
      </c>
      <c r="E15" s="36">
        <v>0</v>
      </c>
      <c r="F15" s="30">
        <v>0</v>
      </c>
      <c r="H15" s="29" t="s">
        <v>33</v>
      </c>
      <c r="I15" s="164">
        <v>116</v>
      </c>
      <c r="J15" s="268">
        <v>970.55</v>
      </c>
      <c r="K15" s="268">
        <v>184753.2</v>
      </c>
      <c r="L15" s="269">
        <v>193886.79</v>
      </c>
      <c r="M15" s="77"/>
      <c r="N15" s="70"/>
      <c r="O15" s="11"/>
    </row>
    <row r="16" spans="1:15" x14ac:dyDescent="0.2">
      <c r="A16" s="195"/>
      <c r="B16" s="29" t="s">
        <v>34</v>
      </c>
      <c r="C16" s="38">
        <v>0</v>
      </c>
      <c r="D16" s="36">
        <v>0</v>
      </c>
      <c r="E16" s="36">
        <v>0</v>
      </c>
      <c r="F16" s="30">
        <v>0</v>
      </c>
      <c r="H16" s="29" t="s">
        <v>34</v>
      </c>
      <c r="I16" s="164">
        <v>124</v>
      </c>
      <c r="J16" s="267">
        <v>1019.6600000000001</v>
      </c>
      <c r="K16" s="267">
        <v>190551.96</v>
      </c>
      <c r="L16" s="165">
        <v>200123.46000000002</v>
      </c>
      <c r="M16" s="68"/>
      <c r="N16" s="67"/>
      <c r="O16" s="11"/>
    </row>
    <row r="17" spans="1:16" x14ac:dyDescent="0.2">
      <c r="A17" s="195"/>
      <c r="B17" s="29" t="s">
        <v>35</v>
      </c>
      <c r="C17" s="38">
        <v>0</v>
      </c>
      <c r="D17" s="36">
        <v>0</v>
      </c>
      <c r="E17" s="36">
        <v>0</v>
      </c>
      <c r="F17" s="30">
        <v>0</v>
      </c>
      <c r="H17" s="29" t="s">
        <v>35</v>
      </c>
      <c r="I17" s="164">
        <v>78</v>
      </c>
      <c r="J17" s="267">
        <v>515.70000000000005</v>
      </c>
      <c r="K17" s="267">
        <v>93701.400000000009</v>
      </c>
      <c r="L17" s="165">
        <v>98341.62</v>
      </c>
      <c r="M17" s="68"/>
      <c r="N17" s="67"/>
      <c r="O17" s="11"/>
    </row>
    <row r="18" spans="1:16" x14ac:dyDescent="0.2">
      <c r="A18" s="195"/>
      <c r="B18" s="25" t="s">
        <v>52</v>
      </c>
      <c r="C18" s="38">
        <v>0</v>
      </c>
      <c r="D18" s="36">
        <v>0</v>
      </c>
      <c r="E18" s="36">
        <v>0</v>
      </c>
      <c r="F18" s="30">
        <v>0</v>
      </c>
      <c r="G18" s="78"/>
      <c r="H18" s="79" t="s">
        <v>52</v>
      </c>
      <c r="I18" s="164">
        <v>104</v>
      </c>
      <c r="J18" s="267">
        <v>776.40000000000009</v>
      </c>
      <c r="K18" s="267">
        <v>143984.12</v>
      </c>
      <c r="L18" s="165">
        <v>151223.74</v>
      </c>
      <c r="M18" s="42"/>
      <c r="N18" s="67"/>
      <c r="O18" s="42"/>
    </row>
    <row r="19" spans="1:16" x14ac:dyDescent="0.2">
      <c r="A19" s="195"/>
      <c r="B19" s="65" t="s">
        <v>37</v>
      </c>
      <c r="C19" s="38">
        <v>0</v>
      </c>
      <c r="D19" s="36">
        <v>0</v>
      </c>
      <c r="E19" s="36">
        <v>0</v>
      </c>
      <c r="F19" s="30">
        <v>0</v>
      </c>
      <c r="H19" s="66" t="s">
        <v>37</v>
      </c>
      <c r="I19" s="164">
        <v>82</v>
      </c>
      <c r="J19" s="267">
        <v>717.84</v>
      </c>
      <c r="K19" s="267">
        <v>137550.51</v>
      </c>
      <c r="L19" s="165">
        <v>144996.56999999998</v>
      </c>
      <c r="M19" s="42"/>
      <c r="N19" s="11"/>
      <c r="O19" s="11"/>
    </row>
    <row r="20" spans="1:16" x14ac:dyDescent="0.2">
      <c r="A20" s="195"/>
      <c r="B20" s="65" t="s">
        <v>48</v>
      </c>
      <c r="C20" s="38">
        <v>0</v>
      </c>
      <c r="D20" s="36">
        <v>0</v>
      </c>
      <c r="E20" s="36">
        <v>0</v>
      </c>
      <c r="F20" s="30">
        <v>0</v>
      </c>
      <c r="H20" s="29" t="s">
        <v>48</v>
      </c>
      <c r="I20" s="164">
        <v>87</v>
      </c>
      <c r="J20" s="267">
        <v>649.84</v>
      </c>
      <c r="K20" s="267">
        <v>116931.48000000001</v>
      </c>
      <c r="L20" s="165">
        <v>122778.89</v>
      </c>
      <c r="M20" s="80"/>
      <c r="N20" s="71"/>
      <c r="O20" s="68"/>
      <c r="P20" s="11"/>
    </row>
    <row r="21" spans="1:16" x14ac:dyDescent="0.2">
      <c r="A21" s="195"/>
      <c r="B21" s="29" t="s">
        <v>38</v>
      </c>
      <c r="C21" s="38">
        <v>0</v>
      </c>
      <c r="D21" s="36">
        <v>0</v>
      </c>
      <c r="E21" s="36">
        <v>0</v>
      </c>
      <c r="F21" s="30">
        <v>0</v>
      </c>
      <c r="H21" s="29" t="s">
        <v>38</v>
      </c>
      <c r="I21" s="164">
        <v>78</v>
      </c>
      <c r="J21" s="267">
        <v>584.67999999999995</v>
      </c>
      <c r="K21" s="267">
        <v>109804.79999999999</v>
      </c>
      <c r="L21" s="165">
        <v>115415.43</v>
      </c>
      <c r="M21" s="68"/>
      <c r="N21" s="42"/>
      <c r="O21" s="11"/>
    </row>
    <row r="22" spans="1:16" x14ac:dyDescent="0.2">
      <c r="A22" s="195"/>
      <c r="B22" s="29" t="s">
        <v>39</v>
      </c>
      <c r="C22" s="38">
        <v>0</v>
      </c>
      <c r="D22" s="36">
        <v>0</v>
      </c>
      <c r="E22" s="36">
        <v>0</v>
      </c>
      <c r="F22" s="30">
        <v>0</v>
      </c>
      <c r="H22" s="29" t="s">
        <v>39</v>
      </c>
      <c r="I22" s="164">
        <v>85</v>
      </c>
      <c r="J22" s="267">
        <v>637.45000000000005</v>
      </c>
      <c r="K22" s="267">
        <v>137100.24</v>
      </c>
      <c r="L22" s="165">
        <v>146791.25</v>
      </c>
      <c r="M22" s="81"/>
      <c r="N22" s="82"/>
      <c r="O22" s="11"/>
      <c r="P22" s="1"/>
    </row>
    <row r="23" spans="1:16" x14ac:dyDescent="0.2">
      <c r="A23" s="195"/>
      <c r="B23" s="29" t="s">
        <v>40</v>
      </c>
      <c r="C23" s="38">
        <v>0</v>
      </c>
      <c r="D23" s="36">
        <v>0</v>
      </c>
      <c r="E23" s="36">
        <v>0</v>
      </c>
      <c r="F23" s="30">
        <v>0</v>
      </c>
      <c r="H23" s="29" t="s">
        <v>40</v>
      </c>
      <c r="I23" s="164">
        <v>65</v>
      </c>
      <c r="J23" s="267">
        <v>500.15999999999997</v>
      </c>
      <c r="K23" s="267">
        <v>100520.67</v>
      </c>
      <c r="L23" s="165">
        <v>106928.54000000001</v>
      </c>
      <c r="M23" s="68"/>
      <c r="N23" s="11"/>
      <c r="O23" s="11"/>
    </row>
    <row r="24" spans="1:16" x14ac:dyDescent="0.2">
      <c r="A24" s="195"/>
      <c r="B24" s="31" t="s">
        <v>0</v>
      </c>
      <c r="C24" s="39">
        <f>SUM(C12:C23)</f>
        <v>199</v>
      </c>
      <c r="D24" s="37">
        <f>SUM(D12:D23)</f>
        <v>1694.81</v>
      </c>
      <c r="E24" s="83">
        <f>SUM(E12:E23)</f>
        <v>323035.49</v>
      </c>
      <c r="F24" s="32">
        <f>SUM(F12:F23)</f>
        <v>340019.83</v>
      </c>
      <c r="H24" s="31" t="s">
        <v>0</v>
      </c>
      <c r="I24" s="39">
        <v>993</v>
      </c>
      <c r="J24" s="37">
        <v>7733.2500000000009</v>
      </c>
      <c r="K24" s="83">
        <v>1492492.69</v>
      </c>
      <c r="L24" s="32">
        <v>1574554.15</v>
      </c>
      <c r="M24" s="42"/>
      <c r="N24" s="84"/>
      <c r="O24" s="11"/>
    </row>
    <row r="25" spans="1:16" x14ac:dyDescent="0.2">
      <c r="A25" s="195"/>
      <c r="B25" s="196" t="s">
        <v>118</v>
      </c>
      <c r="C25" s="195"/>
      <c r="D25" s="195"/>
      <c r="E25" s="195"/>
      <c r="F25" s="195"/>
      <c r="I25" s="4"/>
      <c r="J25" s="1" t="s">
        <v>136</v>
      </c>
      <c r="L25" s="7"/>
      <c r="M25" s="42"/>
    </row>
    <row r="26" spans="1:16" x14ac:dyDescent="0.2">
      <c r="A26" s="195"/>
      <c r="B26" s="195"/>
      <c r="C26" s="195"/>
      <c r="D26" s="195"/>
      <c r="E26" s="195"/>
      <c r="F26" s="195"/>
      <c r="I26" s="4"/>
      <c r="N26" s="11"/>
    </row>
    <row r="27" spans="1:16" x14ac:dyDescent="0.2">
      <c r="A27" s="4"/>
      <c r="B27" s="88"/>
      <c r="C27" s="1"/>
      <c r="D27" s="1"/>
      <c r="E27" s="1"/>
      <c r="F27" s="1"/>
      <c r="G27" s="1"/>
    </row>
    <row r="28" spans="1:16" x14ac:dyDescent="0.2">
      <c r="B28" s="88"/>
    </row>
    <row r="29" spans="1:16" x14ac:dyDescent="0.2">
      <c r="B29" s="88"/>
      <c r="E29" s="14"/>
      <c r="N29" s="11"/>
    </row>
    <row r="30" spans="1:16" x14ac:dyDescent="0.2">
      <c r="B30" s="1"/>
      <c r="D30" s="3"/>
      <c r="E30" s="3"/>
    </row>
    <row r="31" spans="1:16" x14ac:dyDescent="0.2">
      <c r="B31" s="1"/>
      <c r="C31" s="7" t="s">
        <v>119</v>
      </c>
      <c r="D31" s="258"/>
      <c r="E31" s="259"/>
      <c r="F31" s="260"/>
      <c r="G31" s="260"/>
      <c r="H31" s="4"/>
      <c r="I31" s="7" t="s">
        <v>67</v>
      </c>
      <c r="J31" s="258"/>
      <c r="K31" s="259"/>
      <c r="L31" s="209"/>
    </row>
    <row r="32" spans="1:16" x14ac:dyDescent="0.2">
      <c r="A32" s="1"/>
      <c r="B32" s="34"/>
      <c r="C32" s="15"/>
      <c r="D32" s="8" t="s">
        <v>120</v>
      </c>
      <c r="E32" s="1"/>
      <c r="F32" s="5"/>
      <c r="G32" s="5"/>
      <c r="H32" s="4"/>
      <c r="I32" s="15"/>
      <c r="J32" s="8" t="s">
        <v>122</v>
      </c>
      <c r="K32" s="1"/>
      <c r="L32" s="198"/>
      <c r="M32" s="4"/>
    </row>
    <row r="33" spans="1:13" x14ac:dyDescent="0.2">
      <c r="A33" s="41"/>
      <c r="B33" s="41"/>
      <c r="C33" s="3"/>
      <c r="D33" s="261" t="s">
        <v>123</v>
      </c>
      <c r="E33" s="1"/>
      <c r="F33" s="2"/>
      <c r="G33" s="2"/>
      <c r="H33" s="1"/>
      <c r="I33" s="3"/>
      <c r="J33" s="261" t="s">
        <v>121</v>
      </c>
      <c r="K33" s="1"/>
      <c r="L33" s="198"/>
      <c r="M33" s="4"/>
    </row>
    <row r="34" spans="1:13" x14ac:dyDescent="0.2">
      <c r="B34" s="4"/>
      <c r="C34" s="1"/>
      <c r="D34" s="1"/>
      <c r="E34" s="1"/>
      <c r="F34" s="4"/>
      <c r="G34" s="4"/>
      <c r="H34" s="4"/>
      <c r="I34" s="4"/>
      <c r="J34" s="4"/>
      <c r="K34" s="4"/>
      <c r="L34" s="4"/>
      <c r="M34" s="4"/>
    </row>
    <row r="35" spans="1:13" x14ac:dyDescent="0.2">
      <c r="B35" s="1"/>
      <c r="C35" s="1"/>
      <c r="D35" s="1"/>
      <c r="E35" s="1"/>
      <c r="F35" s="1"/>
      <c r="G35" s="1"/>
    </row>
    <row r="36" spans="1:13" x14ac:dyDescent="0.2">
      <c r="F36" s="1"/>
      <c r="G36" s="1"/>
    </row>
    <row r="37" spans="1:13" x14ac:dyDescent="0.2">
      <c r="F37" s="1"/>
      <c r="G37" s="1"/>
    </row>
    <row r="38" spans="1:13" x14ac:dyDescent="0.2">
      <c r="F38" s="1"/>
      <c r="G38" s="1"/>
    </row>
    <row r="39" spans="1:13" x14ac:dyDescent="0.2">
      <c r="B39" s="1"/>
      <c r="C39" s="1"/>
      <c r="D39" s="1"/>
      <c r="E39" s="1"/>
      <c r="F39" s="1"/>
      <c r="G39" s="1"/>
    </row>
    <row r="40" spans="1:13" x14ac:dyDescent="0.2">
      <c r="B40" s="1"/>
      <c r="C40" s="1"/>
      <c r="D40" s="1"/>
      <c r="E40" s="1"/>
      <c r="F40" s="1"/>
      <c r="G40" s="1"/>
    </row>
    <row r="41" spans="1:13" x14ac:dyDescent="0.2">
      <c r="B41" s="1"/>
      <c r="C41" s="1"/>
      <c r="D41" s="1"/>
      <c r="E41" s="1"/>
      <c r="F41" s="1"/>
      <c r="G41" s="1"/>
    </row>
    <row r="42" spans="1:13" x14ac:dyDescent="0.2">
      <c r="B42" s="1"/>
      <c r="C42" s="1"/>
      <c r="D42" s="1"/>
      <c r="E42" s="1"/>
      <c r="F42" s="1"/>
      <c r="G42" s="1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18"/>
  <sheetViews>
    <sheetView workbookViewId="0">
      <selection activeCell="E7" sqref="E7"/>
    </sheetView>
  </sheetViews>
  <sheetFormatPr baseColWidth="10" defaultRowHeight="12.75" x14ac:dyDescent="0.2"/>
  <sheetData>
    <row r="1" spans="1:20" ht="18" x14ac:dyDescent="0.2">
      <c r="A1" s="475" t="s">
        <v>138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</row>
    <row r="2" spans="1:20" ht="90" x14ac:dyDescent="0.2">
      <c r="A2" s="272" t="s">
        <v>139</v>
      </c>
      <c r="B2" s="272" t="s">
        <v>140</v>
      </c>
      <c r="C2" s="273" t="s">
        <v>53</v>
      </c>
      <c r="D2" s="272" t="s">
        <v>141</v>
      </c>
      <c r="E2" s="274" t="s">
        <v>142</v>
      </c>
      <c r="F2" s="275" t="s">
        <v>54</v>
      </c>
      <c r="G2" s="276" t="s">
        <v>143</v>
      </c>
      <c r="H2" s="277" t="s">
        <v>18</v>
      </c>
      <c r="I2" s="278" t="s">
        <v>144</v>
      </c>
      <c r="J2" s="279" t="s">
        <v>55</v>
      </c>
      <c r="K2" s="279" t="s">
        <v>56</v>
      </c>
      <c r="L2" s="279" t="s">
        <v>145</v>
      </c>
      <c r="M2" s="279" t="s">
        <v>57</v>
      </c>
      <c r="N2" s="279" t="s">
        <v>58</v>
      </c>
      <c r="O2" s="280" t="s">
        <v>146</v>
      </c>
      <c r="P2" s="281" t="s">
        <v>110</v>
      </c>
      <c r="Q2" s="282" t="s">
        <v>59</v>
      </c>
      <c r="R2" s="283" t="s">
        <v>17</v>
      </c>
      <c r="S2" s="284" t="s">
        <v>68</v>
      </c>
      <c r="T2" s="285"/>
    </row>
    <row r="3" spans="1:20" ht="45" x14ac:dyDescent="0.2">
      <c r="A3" s="286">
        <v>1</v>
      </c>
      <c r="B3" s="287">
        <v>44564</v>
      </c>
      <c r="C3" s="288" t="s">
        <v>147</v>
      </c>
      <c r="D3" s="289" t="s">
        <v>148</v>
      </c>
      <c r="E3" s="290" t="s">
        <v>149</v>
      </c>
      <c r="F3" s="286">
        <v>79</v>
      </c>
      <c r="G3" s="286" t="s">
        <v>150</v>
      </c>
      <c r="H3" s="286" t="s">
        <v>23</v>
      </c>
      <c r="I3" s="291">
        <v>4</v>
      </c>
      <c r="J3" s="292">
        <v>3428.57</v>
      </c>
      <c r="K3" s="292">
        <v>0</v>
      </c>
      <c r="L3" s="292" t="e">
        <f>IF([2]!Tabla1[[#This Row],[S.V.O.]]&gt;11428.57,1200,IF([2]!Tabla1[[#This Row],[S.V.O.]]&lt;5714.29,0,[2]!Tabla1[[#This Row],[S.V.O.]]*0.1))</f>
        <v>#REF!</v>
      </c>
      <c r="M3" s="292">
        <v>0</v>
      </c>
      <c r="N3" s="292">
        <v>0</v>
      </c>
      <c r="O3" s="292">
        <v>0</v>
      </c>
      <c r="P3" s="293">
        <v>44522</v>
      </c>
      <c r="Q3" s="294" t="s">
        <v>109</v>
      </c>
      <c r="R3" s="295" t="s">
        <v>26</v>
      </c>
      <c r="S3" s="295" t="s">
        <v>151</v>
      </c>
      <c r="T3" s="296"/>
    </row>
    <row r="4" spans="1:20" ht="54" x14ac:dyDescent="0.2">
      <c r="A4" s="286">
        <v>2</v>
      </c>
      <c r="B4" s="297">
        <v>44564</v>
      </c>
      <c r="C4" s="288" t="s">
        <v>152</v>
      </c>
      <c r="D4" s="289" t="s">
        <v>153</v>
      </c>
      <c r="E4" s="290" t="s">
        <v>154</v>
      </c>
      <c r="F4" s="286">
        <v>58</v>
      </c>
      <c r="G4" s="286" t="s">
        <v>155</v>
      </c>
      <c r="H4" s="286" t="s">
        <v>20</v>
      </c>
      <c r="I4" s="291">
        <v>2</v>
      </c>
      <c r="J4" s="292">
        <v>3428.57</v>
      </c>
      <c r="K4" s="292">
        <v>30000</v>
      </c>
      <c r="L4" s="292" t="e">
        <f>IF([2]!Tabla1[[#This Row],[S.V.O.]]&gt;11428.57,1200,IF([2]!Tabla1[[#This Row],[S.V.O.]]&lt;5714.29,0,[2]!Tabla1[[#This Row],[S.V.O.]]*0.1))</f>
        <v>#REF!</v>
      </c>
      <c r="M4" s="292">
        <v>0</v>
      </c>
      <c r="N4" s="292">
        <v>1142.8599999999999</v>
      </c>
      <c r="O4" s="292">
        <v>0</v>
      </c>
      <c r="P4" s="293">
        <v>44521</v>
      </c>
      <c r="Q4" s="298" t="s">
        <v>156</v>
      </c>
      <c r="R4" s="295" t="s">
        <v>28</v>
      </c>
      <c r="S4" s="295" t="s">
        <v>28</v>
      </c>
      <c r="T4" s="296"/>
    </row>
    <row r="5" spans="1:20" ht="45.75" x14ac:dyDescent="0.2">
      <c r="A5" s="286">
        <v>3</v>
      </c>
      <c r="B5" s="297">
        <v>44564</v>
      </c>
      <c r="C5" s="288" t="s">
        <v>157</v>
      </c>
      <c r="D5" s="289" t="s">
        <v>158</v>
      </c>
      <c r="E5" s="290" t="s">
        <v>159</v>
      </c>
      <c r="F5" s="286">
        <v>83</v>
      </c>
      <c r="G5" s="286" t="s">
        <v>150</v>
      </c>
      <c r="H5" s="286" t="s">
        <v>23</v>
      </c>
      <c r="I5" s="291">
        <v>4</v>
      </c>
      <c r="J5" s="292">
        <v>0</v>
      </c>
      <c r="K5" s="292">
        <v>3428.57</v>
      </c>
      <c r="L5" s="292" t="e">
        <f>IF([2]!Tabla1[[#This Row],[S.V.O.]]&gt;11428.57,1200,IF([2]!Tabla1[[#This Row],[S.V.O.]]&lt;5714.29,0,[2]!Tabla1[[#This Row],[S.V.O.]]*0.1))</f>
        <v>#REF!</v>
      </c>
      <c r="M5" s="292">
        <v>0</v>
      </c>
      <c r="N5" s="292">
        <v>0</v>
      </c>
      <c r="O5" s="292">
        <v>0</v>
      </c>
      <c r="P5" s="293">
        <v>44478</v>
      </c>
      <c r="Q5" s="299" t="s">
        <v>160</v>
      </c>
      <c r="R5" s="295" t="s">
        <v>27</v>
      </c>
      <c r="S5" s="295" t="s">
        <v>27</v>
      </c>
      <c r="T5" s="296"/>
    </row>
    <row r="6" spans="1:20" ht="36" x14ac:dyDescent="0.2">
      <c r="A6" s="286">
        <v>4</v>
      </c>
      <c r="B6" s="297">
        <v>44564</v>
      </c>
      <c r="C6" s="288" t="s">
        <v>161</v>
      </c>
      <c r="D6" s="289" t="s">
        <v>162</v>
      </c>
      <c r="E6" s="290" t="s">
        <v>163</v>
      </c>
      <c r="F6" s="286">
        <v>79</v>
      </c>
      <c r="G6" s="286" t="s">
        <v>155</v>
      </c>
      <c r="H6" s="286" t="s">
        <v>23</v>
      </c>
      <c r="I6" s="291">
        <v>3</v>
      </c>
      <c r="J6" s="292">
        <v>0</v>
      </c>
      <c r="K6" s="292">
        <v>3428.57</v>
      </c>
      <c r="L6" s="292" t="e">
        <f>IF([2]!Tabla1[[#This Row],[S.V.O.]]&gt;11428.57,1200,IF([2]!Tabla1[[#This Row],[S.V.O.]]&lt;5714.29,0,[2]!Tabla1[[#This Row],[S.V.O.]]*0.1))</f>
        <v>#REF!</v>
      </c>
      <c r="M6" s="292">
        <v>0</v>
      </c>
      <c r="N6" s="292">
        <v>1142.8599999999999</v>
      </c>
      <c r="O6" s="292">
        <v>0</v>
      </c>
      <c r="P6" s="293">
        <v>44529</v>
      </c>
      <c r="Q6" s="299" t="s">
        <v>164</v>
      </c>
      <c r="R6" s="295" t="s">
        <v>28</v>
      </c>
      <c r="S6" s="295" t="s">
        <v>28</v>
      </c>
      <c r="T6" s="296"/>
    </row>
    <row r="7" spans="1:20" ht="99" x14ac:dyDescent="0.2">
      <c r="A7" s="286">
        <v>5</v>
      </c>
      <c r="B7" s="297">
        <v>44564</v>
      </c>
      <c r="C7" s="288" t="s">
        <v>165</v>
      </c>
      <c r="D7" s="289" t="s">
        <v>166</v>
      </c>
      <c r="E7" s="290" t="s">
        <v>167</v>
      </c>
      <c r="F7" s="286">
        <v>54</v>
      </c>
      <c r="G7" s="286" t="s">
        <v>150</v>
      </c>
      <c r="H7" s="286" t="s">
        <v>20</v>
      </c>
      <c r="I7" s="291">
        <v>2</v>
      </c>
      <c r="J7" s="292">
        <v>3428.57</v>
      </c>
      <c r="K7" s="292">
        <v>0</v>
      </c>
      <c r="L7" s="292" t="e">
        <f>IF([2]!Tabla1[[#This Row],[S.V.O.]]&gt;11428.57,1200,IF([2]!Tabla1[[#This Row],[S.V.O.]]&lt;5714.29,0,[2]!Tabla1[[#This Row],[S.V.O.]]*0.1))</f>
        <v>#REF!</v>
      </c>
      <c r="M7" s="292">
        <v>1714.57</v>
      </c>
      <c r="N7" s="292">
        <v>0</v>
      </c>
      <c r="O7" s="292">
        <v>0</v>
      </c>
      <c r="P7" s="293">
        <v>44515</v>
      </c>
      <c r="Q7" s="298" t="s">
        <v>168</v>
      </c>
      <c r="R7" s="295" t="s">
        <v>62</v>
      </c>
      <c r="S7" s="295" t="s">
        <v>62</v>
      </c>
      <c r="T7" s="296"/>
    </row>
    <row r="8" spans="1:20" ht="60" x14ac:dyDescent="0.2">
      <c r="A8" s="286">
        <v>6</v>
      </c>
      <c r="B8" s="297">
        <v>44564</v>
      </c>
      <c r="C8" s="288" t="s">
        <v>169</v>
      </c>
      <c r="D8" s="289" t="s">
        <v>170</v>
      </c>
      <c r="E8" s="290" t="s">
        <v>171</v>
      </c>
      <c r="F8" s="286">
        <v>73</v>
      </c>
      <c r="G8" s="286" t="s">
        <v>155</v>
      </c>
      <c r="H8" s="286" t="s">
        <v>23</v>
      </c>
      <c r="I8" s="291">
        <v>2</v>
      </c>
      <c r="J8" s="292">
        <v>0</v>
      </c>
      <c r="K8" s="292">
        <v>3428.57</v>
      </c>
      <c r="L8" s="292" t="e">
        <f>IF([2]!Tabla1[[#This Row],[S.V.O.]]&gt;11428.57,1200,IF([2]!Tabla1[[#This Row],[S.V.O.]]&lt;5714.29,0,[2]!Tabla1[[#This Row],[S.V.O.]]*0.1))</f>
        <v>#REF!</v>
      </c>
      <c r="M8" s="292">
        <v>0</v>
      </c>
      <c r="N8" s="292">
        <v>0</v>
      </c>
      <c r="O8" s="292">
        <v>0</v>
      </c>
      <c r="P8" s="293">
        <v>44190</v>
      </c>
      <c r="Q8" s="298" t="s">
        <v>172</v>
      </c>
      <c r="R8" s="295" t="s">
        <v>173</v>
      </c>
      <c r="S8" s="295" t="s">
        <v>62</v>
      </c>
      <c r="T8" s="296"/>
    </row>
    <row r="9" spans="1:20" ht="63" x14ac:dyDescent="0.2">
      <c r="A9" s="286">
        <v>7</v>
      </c>
      <c r="B9" s="297">
        <v>44564</v>
      </c>
      <c r="C9" s="288" t="s">
        <v>174</v>
      </c>
      <c r="D9" s="289" t="s">
        <v>175</v>
      </c>
      <c r="E9" s="290" t="s">
        <v>176</v>
      </c>
      <c r="F9" s="286">
        <v>67</v>
      </c>
      <c r="G9" s="286" t="s">
        <v>155</v>
      </c>
      <c r="H9" s="286" t="s">
        <v>20</v>
      </c>
      <c r="I9" s="291">
        <v>1</v>
      </c>
      <c r="J9" s="292">
        <v>3428.57</v>
      </c>
      <c r="K9" s="292">
        <v>0</v>
      </c>
      <c r="L9" s="292" t="e">
        <f>IF([2]!Tabla1[[#This Row],[S.V.O.]]&gt;11428.57,1200,IF([2]!Tabla1[[#This Row],[S.V.O.]]&lt;5714.29,0,[2]!Tabla1[[#This Row],[S.V.O.]]*0.1))</f>
        <v>#REF!</v>
      </c>
      <c r="M9" s="292">
        <v>0</v>
      </c>
      <c r="N9" s="292">
        <v>0</v>
      </c>
      <c r="O9" s="292">
        <v>0</v>
      </c>
      <c r="P9" s="293">
        <v>44518</v>
      </c>
      <c r="Q9" s="298" t="s">
        <v>177</v>
      </c>
      <c r="R9" s="295" t="s">
        <v>62</v>
      </c>
      <c r="S9" s="295" t="s">
        <v>62</v>
      </c>
      <c r="T9" s="296"/>
    </row>
    <row r="10" spans="1:20" ht="117" x14ac:dyDescent="0.2">
      <c r="A10" s="286">
        <v>8</v>
      </c>
      <c r="B10" s="300">
        <v>44565</v>
      </c>
      <c r="C10" s="301" t="s">
        <v>178</v>
      </c>
      <c r="D10" s="289" t="s">
        <v>179</v>
      </c>
      <c r="E10" s="290" t="s">
        <v>180</v>
      </c>
      <c r="F10" s="286">
        <v>75</v>
      </c>
      <c r="G10" s="286" t="s">
        <v>150</v>
      </c>
      <c r="H10" s="286" t="s">
        <v>23</v>
      </c>
      <c r="I10" s="291">
        <v>3</v>
      </c>
      <c r="J10" s="292">
        <v>0</v>
      </c>
      <c r="K10" s="292">
        <v>3428.57</v>
      </c>
      <c r="L10" s="292" t="e">
        <f>IF([2]!Tabla1[[#This Row],[S.V.O.]]&gt;11428.57,1200,IF([2]!Tabla1[[#This Row],[S.V.O.]]&lt;5714.29,0,[2]!Tabla1[[#This Row],[S.V.O.]]*0.1))</f>
        <v>#REF!</v>
      </c>
      <c r="M10" s="292">
        <v>0</v>
      </c>
      <c r="N10" s="292">
        <v>0</v>
      </c>
      <c r="O10" s="292">
        <v>0</v>
      </c>
      <c r="P10" s="293">
        <v>44518</v>
      </c>
      <c r="Q10" s="298" t="s">
        <v>181</v>
      </c>
      <c r="R10" s="295" t="s">
        <v>60</v>
      </c>
      <c r="S10" s="295" t="s">
        <v>60</v>
      </c>
      <c r="T10" s="296"/>
    </row>
    <row r="11" spans="1:20" ht="48" x14ac:dyDescent="0.2">
      <c r="A11" s="286">
        <v>9</v>
      </c>
      <c r="B11" s="297">
        <v>44565</v>
      </c>
      <c r="C11" s="288" t="s">
        <v>182</v>
      </c>
      <c r="D11" s="289" t="s">
        <v>183</v>
      </c>
      <c r="E11" s="290" t="s">
        <v>184</v>
      </c>
      <c r="F11" s="286">
        <v>81</v>
      </c>
      <c r="G11" s="286" t="s">
        <v>150</v>
      </c>
      <c r="H11" s="286" t="s">
        <v>23</v>
      </c>
      <c r="I11" s="291">
        <v>5</v>
      </c>
      <c r="J11" s="292">
        <v>0</v>
      </c>
      <c r="K11" s="292">
        <v>3428.57</v>
      </c>
      <c r="L11" s="292" t="e">
        <f>IF([2]!Tabla1[[#This Row],[S.V.O.]]&gt;11428.57,1200,IF([2]!Tabla1[[#This Row],[S.V.O.]]&lt;5714.29,0,[2]!Tabla1[[#This Row],[S.V.O.]]*0.1))</f>
        <v>#REF!</v>
      </c>
      <c r="M11" s="292">
        <v>0</v>
      </c>
      <c r="N11" s="292">
        <v>0</v>
      </c>
      <c r="O11" s="292">
        <v>0</v>
      </c>
      <c r="P11" s="293">
        <v>44488</v>
      </c>
      <c r="Q11" s="298" t="s">
        <v>185</v>
      </c>
      <c r="R11" s="295" t="s">
        <v>60</v>
      </c>
      <c r="S11" s="295" t="s">
        <v>60</v>
      </c>
      <c r="T11" s="296"/>
    </row>
    <row r="12" spans="1:20" ht="90" x14ac:dyDescent="0.2">
      <c r="A12" s="286">
        <v>10</v>
      </c>
      <c r="B12" s="297">
        <v>44566</v>
      </c>
      <c r="C12" s="288" t="s">
        <v>186</v>
      </c>
      <c r="D12" s="289" t="s">
        <v>187</v>
      </c>
      <c r="E12" s="290" t="s">
        <v>188</v>
      </c>
      <c r="F12" s="286">
        <v>60</v>
      </c>
      <c r="G12" s="286" t="s">
        <v>155</v>
      </c>
      <c r="H12" s="286" t="s">
        <v>20</v>
      </c>
      <c r="I12" s="291">
        <v>2</v>
      </c>
      <c r="J12" s="292">
        <v>3428.57</v>
      </c>
      <c r="K12" s="292">
        <v>0</v>
      </c>
      <c r="L12" s="292" t="e">
        <f>IF([2]!Tabla1[[#This Row],[S.V.O.]]&gt;11428.57,1200,IF([2]!Tabla1[[#This Row],[S.V.O.]]&lt;5714.29,0,[2]!Tabla1[[#This Row],[S.V.O.]]*0.1))</f>
        <v>#REF!</v>
      </c>
      <c r="M12" s="292">
        <v>2285.71</v>
      </c>
      <c r="N12" s="292">
        <v>0</v>
      </c>
      <c r="O12" s="292">
        <v>0</v>
      </c>
      <c r="P12" s="293">
        <v>44535</v>
      </c>
      <c r="Q12" s="298" t="s">
        <v>189</v>
      </c>
      <c r="R12" s="302" t="s">
        <v>190</v>
      </c>
      <c r="S12" s="295" t="s">
        <v>60</v>
      </c>
      <c r="T12" s="296"/>
    </row>
    <row r="13" spans="1:20" ht="36" x14ac:dyDescent="0.2">
      <c r="A13" s="286">
        <v>11</v>
      </c>
      <c r="B13" s="297">
        <v>44566</v>
      </c>
      <c r="C13" s="288" t="s">
        <v>191</v>
      </c>
      <c r="D13" s="289" t="s">
        <v>192</v>
      </c>
      <c r="E13" s="290" t="s">
        <v>193</v>
      </c>
      <c r="F13" s="286">
        <v>60</v>
      </c>
      <c r="G13" s="286" t="s">
        <v>150</v>
      </c>
      <c r="H13" s="286" t="s">
        <v>20</v>
      </c>
      <c r="I13" s="291">
        <v>4</v>
      </c>
      <c r="J13" s="292">
        <v>3428.57</v>
      </c>
      <c r="K13" s="292">
        <v>30000</v>
      </c>
      <c r="L13" s="292">
        <v>1200</v>
      </c>
      <c r="M13" s="292">
        <v>0</v>
      </c>
      <c r="N13" s="292">
        <v>1142.8599999999999</v>
      </c>
      <c r="O13" s="292">
        <v>0</v>
      </c>
      <c r="P13" s="293">
        <v>44478</v>
      </c>
      <c r="Q13" s="298" t="s">
        <v>194</v>
      </c>
      <c r="R13" s="295" t="s">
        <v>60</v>
      </c>
      <c r="S13" s="303" t="s">
        <v>61</v>
      </c>
      <c r="T13" s="296"/>
    </row>
    <row r="14" spans="1:20" ht="48" x14ac:dyDescent="0.2">
      <c r="A14" s="286">
        <v>12</v>
      </c>
      <c r="B14" s="297">
        <v>44567</v>
      </c>
      <c r="C14" s="288" t="s">
        <v>195</v>
      </c>
      <c r="D14" s="289" t="s">
        <v>196</v>
      </c>
      <c r="E14" s="290" t="s">
        <v>197</v>
      </c>
      <c r="F14" s="286">
        <v>35</v>
      </c>
      <c r="G14" s="286" t="s">
        <v>150</v>
      </c>
      <c r="H14" s="286" t="s">
        <v>21</v>
      </c>
      <c r="I14" s="291">
        <v>1</v>
      </c>
      <c r="J14" s="292">
        <v>3428.57</v>
      </c>
      <c r="K14" s="292"/>
      <c r="L14" s="292">
        <v>0</v>
      </c>
      <c r="M14" s="292">
        <v>0</v>
      </c>
      <c r="N14" s="292">
        <v>0</v>
      </c>
      <c r="O14" s="292">
        <v>0</v>
      </c>
      <c r="P14" s="293">
        <v>44533</v>
      </c>
      <c r="Q14" s="298" t="s">
        <v>198</v>
      </c>
      <c r="R14" s="295" t="s">
        <v>60</v>
      </c>
      <c r="S14" s="303" t="s">
        <v>61</v>
      </c>
      <c r="T14" s="296"/>
    </row>
    <row r="15" spans="1:20" ht="48" x14ac:dyDescent="0.2">
      <c r="A15" s="286">
        <v>13</v>
      </c>
      <c r="B15" s="297">
        <v>44571</v>
      </c>
      <c r="C15" s="288" t="s">
        <v>199</v>
      </c>
      <c r="D15" s="289" t="s">
        <v>200</v>
      </c>
      <c r="E15" s="290" t="s">
        <v>201</v>
      </c>
      <c r="F15" s="286">
        <v>53</v>
      </c>
      <c r="G15" s="286" t="s">
        <v>155</v>
      </c>
      <c r="H15" s="286" t="s">
        <v>20</v>
      </c>
      <c r="I15" s="291">
        <v>5</v>
      </c>
      <c r="J15" s="292">
        <v>3428.57</v>
      </c>
      <c r="K15" s="292">
        <v>3428.57</v>
      </c>
      <c r="L15" s="292" t="e">
        <f>IF([2]!Tabla1[[#This Row],[S.V.O.]]&gt;11428.57,1200,IF([2]!Tabla1[[#This Row],[S.V.O.]]&lt;5714.29,0,[2]!Tabla1[[#This Row],[S.V.O.]]*0.1))</f>
        <v>#REF!</v>
      </c>
      <c r="M15" s="292">
        <v>0</v>
      </c>
      <c r="N15" s="292">
        <v>1142.8599999999999</v>
      </c>
      <c r="O15" s="292">
        <v>0</v>
      </c>
      <c r="P15" s="293">
        <v>44552</v>
      </c>
      <c r="Q15" s="298" t="s">
        <v>202</v>
      </c>
      <c r="R15" s="295" t="s">
        <v>60</v>
      </c>
      <c r="S15" s="295" t="s">
        <v>62</v>
      </c>
      <c r="T15" s="296"/>
    </row>
    <row r="16" spans="1:20" ht="63" x14ac:dyDescent="0.2">
      <c r="A16" s="304">
        <v>14</v>
      </c>
      <c r="B16" s="305">
        <v>44574</v>
      </c>
      <c r="C16" s="306" t="s">
        <v>203</v>
      </c>
      <c r="D16" s="307" t="s">
        <v>204</v>
      </c>
      <c r="E16" s="308" t="s">
        <v>205</v>
      </c>
      <c r="F16" s="304">
        <v>58</v>
      </c>
      <c r="G16" s="304" t="s">
        <v>155</v>
      </c>
      <c r="H16" s="304" t="s">
        <v>21</v>
      </c>
      <c r="I16" s="309">
        <v>3</v>
      </c>
      <c r="J16" s="310">
        <v>3428.57</v>
      </c>
      <c r="K16" s="310">
        <v>0</v>
      </c>
      <c r="L16" s="292" t="e">
        <f>IF([2]!Tabla1[[#This Row],[S.V.O.]]&gt;11428.57,1200,IF([2]!Tabla1[[#This Row],[S.V.O.]]&lt;5714.29,0,[2]!Tabla1[[#This Row],[S.V.O.]]*0.1))</f>
        <v>#REF!</v>
      </c>
      <c r="M16" s="310">
        <v>1142.8599999999999</v>
      </c>
      <c r="N16" s="292">
        <v>1142.8599999999999</v>
      </c>
      <c r="O16" s="310">
        <v>0</v>
      </c>
      <c r="P16" s="311">
        <v>44466</v>
      </c>
      <c r="Q16" s="312" t="s">
        <v>206</v>
      </c>
      <c r="R16" s="295" t="s">
        <v>60</v>
      </c>
      <c r="S16" s="295" t="s">
        <v>60</v>
      </c>
      <c r="T16" s="296"/>
    </row>
    <row r="17" spans="1:20" ht="45" x14ac:dyDescent="0.2">
      <c r="A17" s="304">
        <v>15</v>
      </c>
      <c r="B17" s="305">
        <v>44575</v>
      </c>
      <c r="C17" s="288" t="s">
        <v>207</v>
      </c>
      <c r="D17" s="307" t="s">
        <v>208</v>
      </c>
      <c r="E17" s="308" t="s">
        <v>209</v>
      </c>
      <c r="F17" s="304">
        <v>80</v>
      </c>
      <c r="G17" s="304" t="s">
        <v>155</v>
      </c>
      <c r="H17" s="304" t="s">
        <v>23</v>
      </c>
      <c r="I17" s="309">
        <v>1</v>
      </c>
      <c r="J17" s="292">
        <v>3428.57</v>
      </c>
      <c r="K17" s="292">
        <v>0</v>
      </c>
      <c r="L17" s="292" t="e">
        <f>IF([2]!Tabla1[[#This Row],[S.V.O.]]&gt;11428.57,1200,IF([2]!Tabla1[[#This Row],[S.V.O.]]&lt;5714.29,0,[2]!Tabla1[[#This Row],[S.V.O.]]*0.1))</f>
        <v>#REF!</v>
      </c>
      <c r="M17" s="292">
        <v>0</v>
      </c>
      <c r="N17" s="292">
        <v>0</v>
      </c>
      <c r="O17" s="292">
        <v>0</v>
      </c>
      <c r="P17" s="311">
        <v>44557</v>
      </c>
      <c r="Q17" s="312" t="s">
        <v>210</v>
      </c>
      <c r="R17" s="295" t="s">
        <v>60</v>
      </c>
      <c r="S17" s="295" t="s">
        <v>60</v>
      </c>
      <c r="T17" s="313"/>
    </row>
    <row r="18" spans="1:20" ht="48" x14ac:dyDescent="0.2">
      <c r="A18" s="304">
        <v>16</v>
      </c>
      <c r="B18" s="305">
        <v>44575</v>
      </c>
      <c r="C18" s="288" t="s">
        <v>211</v>
      </c>
      <c r="D18" s="307" t="s">
        <v>212</v>
      </c>
      <c r="E18" s="308" t="s">
        <v>213</v>
      </c>
      <c r="F18" s="304">
        <v>56</v>
      </c>
      <c r="G18" s="304" t="s">
        <v>150</v>
      </c>
      <c r="H18" s="304" t="s">
        <v>20</v>
      </c>
      <c r="I18" s="309">
        <v>4</v>
      </c>
      <c r="J18" s="292">
        <v>3428.57</v>
      </c>
      <c r="K18" s="310">
        <v>11428.57</v>
      </c>
      <c r="L18" s="292" t="e">
        <f>IF([2]!Tabla1[[#This Row],[S.V.O.]]&gt;11428.57,1200,IF([2]!Tabla1[[#This Row],[S.V.O.]]&lt;5714.29,0,[2]!Tabla1[[#This Row],[S.V.O.]]*0.1))</f>
        <v>#REF!</v>
      </c>
      <c r="M18" s="292">
        <v>0</v>
      </c>
      <c r="N18" s="292">
        <v>1142.8599999999999</v>
      </c>
      <c r="O18" s="292">
        <v>0</v>
      </c>
      <c r="P18" s="311">
        <v>44368</v>
      </c>
      <c r="Q18" s="312" t="s">
        <v>214</v>
      </c>
      <c r="R18" s="314" t="s">
        <v>62</v>
      </c>
      <c r="S18" s="295" t="s">
        <v>19</v>
      </c>
      <c r="T18" s="313"/>
    </row>
    <row r="19" spans="1:20" ht="48" x14ac:dyDescent="0.2">
      <c r="A19" s="304">
        <v>17</v>
      </c>
      <c r="B19" s="305">
        <v>44575</v>
      </c>
      <c r="C19" s="288" t="s">
        <v>215</v>
      </c>
      <c r="D19" s="307" t="s">
        <v>216</v>
      </c>
      <c r="E19" s="308" t="s">
        <v>217</v>
      </c>
      <c r="F19" s="304">
        <v>57</v>
      </c>
      <c r="G19" s="304" t="s">
        <v>155</v>
      </c>
      <c r="H19" s="304" t="s">
        <v>20</v>
      </c>
      <c r="I19" s="309">
        <v>4</v>
      </c>
      <c r="J19" s="292">
        <v>0</v>
      </c>
      <c r="K19" s="310">
        <v>5714.29</v>
      </c>
      <c r="L19" s="292" t="e">
        <f>IF([2]!Tabla1[[#This Row],[S.V.O.]]&gt;11428.57,1200,IF([2]!Tabla1[[#This Row],[S.V.O.]]&lt;5714.29,0,[2]!Tabla1[[#This Row],[S.V.O.]]*0.1))</f>
        <v>#REF!</v>
      </c>
      <c r="M19" s="292">
        <v>0</v>
      </c>
      <c r="N19" s="292">
        <v>1142.8599999999999</v>
      </c>
      <c r="O19" s="292">
        <v>0</v>
      </c>
      <c r="P19" s="311">
        <v>44394</v>
      </c>
      <c r="Q19" s="312" t="s">
        <v>29</v>
      </c>
      <c r="R19" s="295" t="s">
        <v>60</v>
      </c>
      <c r="S19" s="295" t="s">
        <v>60</v>
      </c>
      <c r="T19" s="313"/>
    </row>
    <row r="20" spans="1:20" ht="72" x14ac:dyDescent="0.2">
      <c r="A20" s="304">
        <v>18</v>
      </c>
      <c r="B20" s="305">
        <v>44575</v>
      </c>
      <c r="C20" s="288" t="s">
        <v>218</v>
      </c>
      <c r="D20" s="307" t="s">
        <v>219</v>
      </c>
      <c r="E20" s="308" t="s">
        <v>220</v>
      </c>
      <c r="F20" s="304">
        <v>57</v>
      </c>
      <c r="G20" s="304" t="s">
        <v>155</v>
      </c>
      <c r="H20" s="304" t="s">
        <v>20</v>
      </c>
      <c r="I20" s="309">
        <v>4</v>
      </c>
      <c r="J20" s="292">
        <v>3428.57</v>
      </c>
      <c r="K20" s="310">
        <v>8000</v>
      </c>
      <c r="L20" s="292" t="e">
        <f>IF([2]!Tabla1[[#This Row],[S.V.O.]]&gt;11428.57,1200,IF([2]!Tabla1[[#This Row],[S.V.O.]]&lt;5714.29,0,[2]!Tabla1[[#This Row],[S.V.O.]]*0.1))</f>
        <v>#REF!</v>
      </c>
      <c r="M20" s="292">
        <v>0</v>
      </c>
      <c r="N20" s="292">
        <v>1142.8599999999999</v>
      </c>
      <c r="O20" s="292">
        <v>0</v>
      </c>
      <c r="P20" s="311">
        <v>44456</v>
      </c>
      <c r="Q20" s="312" t="s">
        <v>221</v>
      </c>
      <c r="R20" s="295"/>
      <c r="S20" s="295"/>
      <c r="T20" s="315" t="s">
        <v>222</v>
      </c>
    </row>
    <row r="21" spans="1:20" ht="60" x14ac:dyDescent="0.2">
      <c r="A21" s="304">
        <v>19</v>
      </c>
      <c r="B21" s="297">
        <v>44575</v>
      </c>
      <c r="C21" s="288" t="s">
        <v>223</v>
      </c>
      <c r="D21" s="289" t="s">
        <v>224</v>
      </c>
      <c r="E21" s="290" t="s">
        <v>225</v>
      </c>
      <c r="F21" s="286">
        <v>93</v>
      </c>
      <c r="G21" s="286" t="s">
        <v>155</v>
      </c>
      <c r="H21" s="286" t="s">
        <v>23</v>
      </c>
      <c r="I21" s="291">
        <v>3</v>
      </c>
      <c r="J21" s="316">
        <v>0</v>
      </c>
      <c r="K21" s="316">
        <v>1142.8599999999999</v>
      </c>
      <c r="L21" s="316">
        <v>0</v>
      </c>
      <c r="M21" s="316">
        <v>0</v>
      </c>
      <c r="N21" s="316">
        <v>0</v>
      </c>
      <c r="O21" s="316">
        <v>0</v>
      </c>
      <c r="P21" s="293">
        <v>44545</v>
      </c>
      <c r="Q21" s="298" t="s">
        <v>226</v>
      </c>
      <c r="R21" s="295" t="s">
        <v>60</v>
      </c>
      <c r="S21" s="295" t="s">
        <v>60</v>
      </c>
      <c r="T21" s="313"/>
    </row>
    <row r="22" spans="1:20" ht="36" x14ac:dyDescent="0.2">
      <c r="A22" s="304">
        <v>20</v>
      </c>
      <c r="B22" s="305">
        <v>44575</v>
      </c>
      <c r="C22" s="306" t="s">
        <v>227</v>
      </c>
      <c r="D22" s="317" t="s">
        <v>228</v>
      </c>
      <c r="E22" s="318" t="s">
        <v>229</v>
      </c>
      <c r="F22" s="319">
        <v>79</v>
      </c>
      <c r="G22" s="319" t="s">
        <v>150</v>
      </c>
      <c r="H22" s="319" t="s">
        <v>23</v>
      </c>
      <c r="I22" s="320">
        <v>2</v>
      </c>
      <c r="J22" s="321">
        <v>0</v>
      </c>
      <c r="K22" s="321">
        <v>3428.57</v>
      </c>
      <c r="L22" s="321">
        <v>0</v>
      </c>
      <c r="M22" s="321">
        <v>0</v>
      </c>
      <c r="N22" s="322">
        <v>1142.8599999999999</v>
      </c>
      <c r="O22" s="321">
        <v>0</v>
      </c>
      <c r="P22" s="311">
        <v>44564</v>
      </c>
      <c r="Q22" s="312" t="s">
        <v>230</v>
      </c>
      <c r="R22" s="295" t="s">
        <v>60</v>
      </c>
      <c r="S22" s="295" t="s">
        <v>60</v>
      </c>
      <c r="T22" s="313"/>
    </row>
    <row r="23" spans="1:20" ht="48" x14ac:dyDescent="0.2">
      <c r="A23" s="304">
        <v>21</v>
      </c>
      <c r="B23" s="305">
        <v>44575</v>
      </c>
      <c r="C23" s="288" t="s">
        <v>231</v>
      </c>
      <c r="D23" s="323" t="s">
        <v>232</v>
      </c>
      <c r="E23" s="308" t="s">
        <v>233</v>
      </c>
      <c r="F23" s="304">
        <v>37</v>
      </c>
      <c r="G23" s="304" t="s">
        <v>150</v>
      </c>
      <c r="H23" s="304" t="s">
        <v>20</v>
      </c>
      <c r="I23" s="309">
        <v>1</v>
      </c>
      <c r="J23" s="292">
        <v>3428.57</v>
      </c>
      <c r="K23" s="292">
        <v>0</v>
      </c>
      <c r="L23" s="292" t="e">
        <f>IF([2]!Tabla1[[#This Row],[S.V.O.]]&gt;11428.57,1200,IF([2]!Tabla1[[#This Row],[S.V.O.]]&lt;5714.29,0,[2]!Tabla1[[#This Row],[S.V.O.]]*0.1))</f>
        <v>#REF!</v>
      </c>
      <c r="M23" s="292">
        <v>0</v>
      </c>
      <c r="N23" s="292">
        <v>0</v>
      </c>
      <c r="O23" s="292">
        <v>0</v>
      </c>
      <c r="P23" s="311">
        <v>43893</v>
      </c>
      <c r="Q23" s="312" t="s">
        <v>109</v>
      </c>
      <c r="R23" s="314" t="s">
        <v>62</v>
      </c>
      <c r="S23" s="314" t="s">
        <v>62</v>
      </c>
      <c r="T23" s="313"/>
    </row>
    <row r="24" spans="1:20" ht="126" x14ac:dyDescent="0.2">
      <c r="A24" s="304">
        <v>22</v>
      </c>
      <c r="B24" s="305">
        <v>44575</v>
      </c>
      <c r="C24" s="288" t="s">
        <v>234</v>
      </c>
      <c r="D24" s="307" t="s">
        <v>235</v>
      </c>
      <c r="E24" s="308" t="s">
        <v>236</v>
      </c>
      <c r="F24" s="304">
        <v>78</v>
      </c>
      <c r="G24" s="304" t="s">
        <v>150</v>
      </c>
      <c r="H24" s="304" t="s">
        <v>20</v>
      </c>
      <c r="I24" s="309">
        <v>1</v>
      </c>
      <c r="J24" s="292">
        <v>3428.57</v>
      </c>
      <c r="K24" s="292">
        <v>0</v>
      </c>
      <c r="L24" s="292" t="e">
        <f>IF([2]!Tabla1[[#This Row],[S.V.O.]]&gt;11428.57,1200,IF([2]!Tabla1[[#This Row],[S.V.O.]]&lt;5714.29,0,[2]!Tabla1[[#This Row],[S.V.O.]]*0.1))</f>
        <v>#REF!</v>
      </c>
      <c r="M24" s="292">
        <v>0</v>
      </c>
      <c r="N24" s="292">
        <v>0</v>
      </c>
      <c r="O24" s="292">
        <v>0</v>
      </c>
      <c r="P24" s="311">
        <v>44516</v>
      </c>
      <c r="Q24" s="312" t="s">
        <v>237</v>
      </c>
      <c r="R24" s="295" t="s">
        <v>60</v>
      </c>
      <c r="S24" s="295" t="s">
        <v>62</v>
      </c>
      <c r="T24" s="313"/>
    </row>
    <row r="25" spans="1:20" ht="36" x14ac:dyDescent="0.2">
      <c r="A25" s="304">
        <v>23</v>
      </c>
      <c r="B25" s="305">
        <v>44575</v>
      </c>
      <c r="C25" s="288" t="s">
        <v>238</v>
      </c>
      <c r="D25" s="307" t="s">
        <v>239</v>
      </c>
      <c r="E25" s="308" t="s">
        <v>240</v>
      </c>
      <c r="F25" s="304">
        <v>90</v>
      </c>
      <c r="G25" s="304" t="s">
        <v>155</v>
      </c>
      <c r="H25" s="304" t="s">
        <v>23</v>
      </c>
      <c r="I25" s="309">
        <v>4</v>
      </c>
      <c r="J25" s="292">
        <v>0</v>
      </c>
      <c r="K25" s="310">
        <v>1142.8599999999999</v>
      </c>
      <c r="L25" s="292" t="e">
        <f>IF([2]!Tabla1[[#This Row],[S.V.O.]]&gt;11428.57,1200,IF([2]!Tabla1[[#This Row],[S.V.O.]]&lt;5714.29,0,[2]!Tabla1[[#This Row],[S.V.O.]]*0.1))</f>
        <v>#REF!</v>
      </c>
      <c r="M25" s="292">
        <v>0</v>
      </c>
      <c r="N25" s="292">
        <v>0</v>
      </c>
      <c r="O25" s="292">
        <v>0</v>
      </c>
      <c r="P25" s="311">
        <v>44059</v>
      </c>
      <c r="Q25" s="312" t="s">
        <v>241</v>
      </c>
      <c r="R25" s="295" t="s">
        <v>62</v>
      </c>
      <c r="S25" s="295" t="s">
        <v>62</v>
      </c>
      <c r="T25" s="313"/>
    </row>
    <row r="26" spans="1:20" ht="48" x14ac:dyDescent="0.2">
      <c r="A26" s="304">
        <v>24</v>
      </c>
      <c r="B26" s="305">
        <v>44575</v>
      </c>
      <c r="C26" s="288" t="s">
        <v>242</v>
      </c>
      <c r="D26" s="307" t="s">
        <v>243</v>
      </c>
      <c r="E26" s="308" t="s">
        <v>244</v>
      </c>
      <c r="F26" s="304">
        <v>51</v>
      </c>
      <c r="G26" s="304" t="s">
        <v>150</v>
      </c>
      <c r="H26" s="304" t="s">
        <v>20</v>
      </c>
      <c r="I26" s="309">
        <v>5</v>
      </c>
      <c r="J26" s="292">
        <v>3428.57</v>
      </c>
      <c r="K26" s="292">
        <v>0</v>
      </c>
      <c r="L26" s="292" t="e">
        <f>IF([2]!Tabla1[[#This Row],[S.V.O.]]&gt;11428.57,1200,IF([2]!Tabla1[[#This Row],[S.V.O.]]&lt;5714.29,0,[2]!Tabla1[[#This Row],[S.V.O.]]*0.1))</f>
        <v>#REF!</v>
      </c>
      <c r="M26" s="292">
        <v>0</v>
      </c>
      <c r="N26" s="292">
        <v>0</v>
      </c>
      <c r="O26" s="292">
        <v>0</v>
      </c>
      <c r="P26" s="311">
        <v>44452</v>
      </c>
      <c r="Q26" s="312" t="s">
        <v>245</v>
      </c>
      <c r="R26" s="295" t="s">
        <v>27</v>
      </c>
      <c r="S26" s="295" t="s">
        <v>27</v>
      </c>
      <c r="T26" s="313"/>
    </row>
    <row r="27" spans="1:20" ht="48" x14ac:dyDescent="0.2">
      <c r="A27" s="304">
        <v>25</v>
      </c>
      <c r="B27" s="305">
        <v>44578</v>
      </c>
      <c r="C27" s="306" t="s">
        <v>246</v>
      </c>
      <c r="D27" s="317" t="s">
        <v>247</v>
      </c>
      <c r="E27" s="318" t="s">
        <v>248</v>
      </c>
      <c r="F27" s="319">
        <v>52</v>
      </c>
      <c r="G27" s="319" t="s">
        <v>150</v>
      </c>
      <c r="H27" s="319" t="s">
        <v>20</v>
      </c>
      <c r="I27" s="320">
        <v>1</v>
      </c>
      <c r="J27" s="321">
        <v>3428.57</v>
      </c>
      <c r="K27" s="321">
        <v>0</v>
      </c>
      <c r="L27" s="292" t="e">
        <f>IF([2]!Tabla1[[#This Row],[S.V.O.]]&gt;11428.57,1200,IF([2]!Tabla1[[#This Row],[S.V.O.]]&lt;5714.29,0,[2]!Tabla1[[#This Row],[S.V.O.]]*0.1))</f>
        <v>#REF!</v>
      </c>
      <c r="M27" s="321">
        <v>0</v>
      </c>
      <c r="N27" s="292">
        <v>0</v>
      </c>
      <c r="O27" s="321">
        <v>0</v>
      </c>
      <c r="P27" s="311">
        <v>43083</v>
      </c>
      <c r="Q27" s="312" t="s">
        <v>249</v>
      </c>
      <c r="R27" s="295" t="s">
        <v>60</v>
      </c>
      <c r="S27" s="295" t="s">
        <v>60</v>
      </c>
      <c r="T27" s="313"/>
    </row>
    <row r="28" spans="1:20" ht="24" x14ac:dyDescent="0.2">
      <c r="A28" s="304">
        <v>26</v>
      </c>
      <c r="B28" s="324">
        <v>44579</v>
      </c>
      <c r="C28" s="325" t="s">
        <v>250</v>
      </c>
      <c r="D28" s="326" t="s">
        <v>251</v>
      </c>
      <c r="E28" s="327" t="s">
        <v>252</v>
      </c>
      <c r="F28" s="328">
        <v>79</v>
      </c>
      <c r="G28" s="328" t="s">
        <v>150</v>
      </c>
      <c r="H28" s="328" t="s">
        <v>23</v>
      </c>
      <c r="I28" s="329">
        <v>1</v>
      </c>
      <c r="J28" s="330">
        <v>0</v>
      </c>
      <c r="K28" s="330">
        <v>3428.57</v>
      </c>
      <c r="L28" s="292" t="e">
        <f>IF([2]!Tabla1[[#This Row],[S.V.O.]]&gt;11428.57,1200,IF([2]!Tabla1[[#This Row],[S.V.O.]]&lt;5714.29,0,[2]!Tabla1[[#This Row],[S.V.O.]]*0.1))</f>
        <v>#REF!</v>
      </c>
      <c r="M28" s="330">
        <v>0</v>
      </c>
      <c r="N28" s="322">
        <v>1142.8599999999999</v>
      </c>
      <c r="O28" s="330">
        <v>0</v>
      </c>
      <c r="P28" s="331">
        <v>44526</v>
      </c>
      <c r="Q28" s="332" t="s">
        <v>115</v>
      </c>
      <c r="R28" s="295" t="s">
        <v>60</v>
      </c>
      <c r="S28" s="295" t="s">
        <v>60</v>
      </c>
      <c r="T28" s="313"/>
    </row>
    <row r="29" spans="1:20" ht="81" x14ac:dyDescent="0.2">
      <c r="A29" s="304">
        <v>27</v>
      </c>
      <c r="B29" s="305">
        <v>44580</v>
      </c>
      <c r="C29" s="325" t="s">
        <v>253</v>
      </c>
      <c r="D29" s="307" t="s">
        <v>254</v>
      </c>
      <c r="E29" s="308" t="s">
        <v>255</v>
      </c>
      <c r="F29" s="304">
        <v>89</v>
      </c>
      <c r="G29" s="304" t="s">
        <v>150</v>
      </c>
      <c r="H29" s="304" t="s">
        <v>23</v>
      </c>
      <c r="I29" s="309">
        <v>1</v>
      </c>
      <c r="J29" s="292">
        <v>0</v>
      </c>
      <c r="K29" s="310">
        <v>1142.8599999999999</v>
      </c>
      <c r="L29" s="292" t="e">
        <f>IF([2]!Tabla1[[#This Row],[S.V.O.]]&gt;11428.57,1200,IF([2]!Tabla1[[#This Row],[S.V.O.]]&lt;5714.29,0,[2]!Tabla1[[#This Row],[S.V.O.]]*0.1))</f>
        <v>#REF!</v>
      </c>
      <c r="M29" s="330">
        <v>0</v>
      </c>
      <c r="N29" s="292">
        <v>0</v>
      </c>
      <c r="O29" s="321">
        <v>0</v>
      </c>
      <c r="P29" s="311">
        <v>44544</v>
      </c>
      <c r="Q29" s="312" t="s">
        <v>256</v>
      </c>
      <c r="R29" s="295" t="s">
        <v>60</v>
      </c>
      <c r="S29" s="295" t="s">
        <v>62</v>
      </c>
      <c r="T29" s="313"/>
    </row>
    <row r="30" spans="1:20" ht="48" x14ac:dyDescent="0.2">
      <c r="A30" s="304">
        <v>28</v>
      </c>
      <c r="B30" s="305">
        <v>44587</v>
      </c>
      <c r="C30" s="325" t="s">
        <v>257</v>
      </c>
      <c r="D30" s="307" t="s">
        <v>258</v>
      </c>
      <c r="E30" s="308" t="s">
        <v>259</v>
      </c>
      <c r="F30" s="304">
        <v>80</v>
      </c>
      <c r="G30" s="304" t="s">
        <v>155</v>
      </c>
      <c r="H30" s="304" t="s">
        <v>23</v>
      </c>
      <c r="I30" s="309">
        <v>2</v>
      </c>
      <c r="J30" s="292">
        <v>0</v>
      </c>
      <c r="K30" s="310">
        <v>3428.57</v>
      </c>
      <c r="L30" s="292" t="e">
        <f>IF([2]!Tabla1[[#This Row],[S.V.O.]]&gt;11428.57,1200,IF([2]!Tabla1[[#This Row],[S.V.O.]]&lt;5714.29,0,[2]!Tabla1[[#This Row],[S.V.O.]]*0.1))</f>
        <v>#REF!</v>
      </c>
      <c r="M30" s="330">
        <v>0</v>
      </c>
      <c r="N30" s="292">
        <v>0</v>
      </c>
      <c r="O30" s="321">
        <v>0</v>
      </c>
      <c r="P30" s="311">
        <v>44571</v>
      </c>
      <c r="Q30" s="312" t="s">
        <v>260</v>
      </c>
      <c r="R30" s="295" t="s">
        <v>60</v>
      </c>
      <c r="S30" s="295" t="s">
        <v>60</v>
      </c>
      <c r="T30" s="313"/>
    </row>
    <row r="31" spans="1:20" ht="63" x14ac:dyDescent="0.2">
      <c r="A31" s="304">
        <v>29</v>
      </c>
      <c r="B31" s="305">
        <v>44588</v>
      </c>
      <c r="C31" s="325" t="s">
        <v>261</v>
      </c>
      <c r="D31" s="307" t="s">
        <v>262</v>
      </c>
      <c r="E31" s="308" t="s">
        <v>263</v>
      </c>
      <c r="F31" s="304">
        <v>66</v>
      </c>
      <c r="G31" s="304" t="s">
        <v>155</v>
      </c>
      <c r="H31" s="304" t="s">
        <v>20</v>
      </c>
      <c r="I31" s="309">
        <v>2</v>
      </c>
      <c r="J31" s="292">
        <v>3428.57</v>
      </c>
      <c r="K31" s="321">
        <v>0</v>
      </c>
      <c r="L31" s="292" t="e">
        <f>IF([2]!Tabla1[[#This Row],[S.V.O.]]&gt;11428.57,1200,IF([2]!Tabla1[[#This Row],[S.V.O.]]&lt;5714.29,0,[2]!Tabla1[[#This Row],[S.V.O.]]*0.1))</f>
        <v>#REF!</v>
      </c>
      <c r="M31" s="321">
        <v>0</v>
      </c>
      <c r="N31" s="292">
        <v>0</v>
      </c>
      <c r="O31" s="321">
        <v>0</v>
      </c>
      <c r="P31" s="311">
        <v>44275</v>
      </c>
      <c r="Q31" s="312" t="s">
        <v>264</v>
      </c>
      <c r="R31" s="295" t="s">
        <v>60</v>
      </c>
      <c r="S31" s="295" t="s">
        <v>60</v>
      </c>
      <c r="T31" s="313"/>
    </row>
    <row r="32" spans="1:20" ht="126" x14ac:dyDescent="0.2">
      <c r="A32" s="304">
        <v>30</v>
      </c>
      <c r="B32" s="305">
        <v>44588</v>
      </c>
      <c r="C32" s="325" t="s">
        <v>265</v>
      </c>
      <c r="D32" s="333" t="s">
        <v>266</v>
      </c>
      <c r="E32" s="334" t="s">
        <v>267</v>
      </c>
      <c r="F32" s="304">
        <v>51</v>
      </c>
      <c r="G32" s="304" t="s">
        <v>150</v>
      </c>
      <c r="H32" s="304" t="s">
        <v>20</v>
      </c>
      <c r="I32" s="309">
        <v>4</v>
      </c>
      <c r="J32" s="292">
        <v>3428.57</v>
      </c>
      <c r="K32" s="321">
        <v>0</v>
      </c>
      <c r="L32" s="292" t="e">
        <f>IF([2]!Tabla1[[#This Row],[S.V.O.]]&gt;11428.57,1200,IF([2]!Tabla1[[#This Row],[S.V.O.]]&lt;5714.29,0,[2]!Tabla1[[#This Row],[S.V.O.]]*0.1))</f>
        <v>#REF!</v>
      </c>
      <c r="M32" s="321">
        <v>0</v>
      </c>
      <c r="N32" s="292">
        <v>0</v>
      </c>
      <c r="O32" s="321">
        <v>0</v>
      </c>
      <c r="P32" s="311">
        <v>44105</v>
      </c>
      <c r="Q32" s="312" t="s">
        <v>268</v>
      </c>
      <c r="R32" s="314" t="s">
        <v>269</v>
      </c>
      <c r="S32" s="335" t="s">
        <v>60</v>
      </c>
      <c r="T32" s="313"/>
    </row>
    <row r="33" spans="1:20" ht="60" x14ac:dyDescent="0.2">
      <c r="A33" s="304">
        <v>31</v>
      </c>
      <c r="B33" s="305">
        <v>44592</v>
      </c>
      <c r="C33" s="325" t="s">
        <v>270</v>
      </c>
      <c r="D33" s="307" t="s">
        <v>271</v>
      </c>
      <c r="E33" s="308" t="s">
        <v>272</v>
      </c>
      <c r="F33" s="304">
        <v>64</v>
      </c>
      <c r="G33" s="304" t="s">
        <v>155</v>
      </c>
      <c r="H33" s="304" t="s">
        <v>23</v>
      </c>
      <c r="I33" s="309">
        <v>3</v>
      </c>
      <c r="J33" s="292">
        <v>0</v>
      </c>
      <c r="K33" s="310">
        <v>3428.57</v>
      </c>
      <c r="L33" s="292" t="e">
        <f>IF([2]!Tabla1[[#This Row],[S.V.O.]]&gt;11428.57,1200,IF([2]!Tabla1[[#This Row],[S.V.O.]]&lt;5714.29,0,[2]!Tabla1[[#This Row],[S.V.O.]]*0.1))</f>
        <v>#REF!</v>
      </c>
      <c r="M33" s="321">
        <v>0</v>
      </c>
      <c r="N33" s="292">
        <v>1142.8599999999999</v>
      </c>
      <c r="O33" s="321">
        <v>0</v>
      </c>
      <c r="P33" s="311">
        <v>44565</v>
      </c>
      <c r="Q33" s="312" t="s">
        <v>273</v>
      </c>
      <c r="R33" s="295" t="s">
        <v>28</v>
      </c>
      <c r="S33" s="295" t="s">
        <v>28</v>
      </c>
      <c r="T33" s="313"/>
    </row>
    <row r="34" spans="1:20" ht="54" x14ac:dyDescent="0.2">
      <c r="A34" s="304">
        <v>32</v>
      </c>
      <c r="B34" s="305">
        <v>44592</v>
      </c>
      <c r="C34" s="325" t="s">
        <v>274</v>
      </c>
      <c r="D34" s="307" t="s">
        <v>275</v>
      </c>
      <c r="E34" s="308" t="s">
        <v>276</v>
      </c>
      <c r="F34" s="304">
        <v>68</v>
      </c>
      <c r="G34" s="304" t="s">
        <v>155</v>
      </c>
      <c r="H34" s="304" t="s">
        <v>23</v>
      </c>
      <c r="I34" s="309">
        <v>2</v>
      </c>
      <c r="J34" s="292">
        <v>0</v>
      </c>
      <c r="K34" s="310">
        <v>11428.57</v>
      </c>
      <c r="L34" s="292" t="e">
        <f>IF([2]!Tabla1[[#This Row],[S.V.O.]]&gt;11428.57,1200,IF([2]!Tabla1[[#This Row],[S.V.O.]]&lt;5714.29,0,[2]!Tabla1[[#This Row],[S.V.O.]]*0.1))</f>
        <v>#REF!</v>
      </c>
      <c r="M34" s="321">
        <v>0</v>
      </c>
      <c r="N34" s="292">
        <v>1142.8599999999999</v>
      </c>
      <c r="O34" s="321">
        <v>0</v>
      </c>
      <c r="P34" s="311">
        <v>44530</v>
      </c>
      <c r="Q34" s="312" t="s">
        <v>277</v>
      </c>
      <c r="R34" s="295" t="s">
        <v>27</v>
      </c>
      <c r="S34" s="295" t="s">
        <v>27</v>
      </c>
      <c r="T34" s="313"/>
    </row>
    <row r="35" spans="1:20" ht="108" x14ac:dyDescent="0.2">
      <c r="A35" s="304">
        <v>33</v>
      </c>
      <c r="B35" s="305">
        <v>44592</v>
      </c>
      <c r="C35" s="325" t="s">
        <v>278</v>
      </c>
      <c r="D35" s="307" t="s">
        <v>279</v>
      </c>
      <c r="E35" s="308" t="s">
        <v>280</v>
      </c>
      <c r="F35" s="304">
        <v>58</v>
      </c>
      <c r="G35" s="304" t="s">
        <v>155</v>
      </c>
      <c r="H35" s="304" t="s">
        <v>20</v>
      </c>
      <c r="I35" s="309">
        <v>3</v>
      </c>
      <c r="J35" s="292">
        <v>3428.57</v>
      </c>
      <c r="K35" s="321">
        <v>0</v>
      </c>
      <c r="L35" s="292" t="e">
        <f>IF([2]!Tabla1[[#This Row],[S.V.O.]]&gt;11428.57,1200,IF([2]!Tabla1[[#This Row],[S.V.O.]]&lt;5714.29,0,[2]!Tabla1[[#This Row],[S.V.O.]]*0.1))</f>
        <v>#REF!</v>
      </c>
      <c r="M35" s="321">
        <v>0</v>
      </c>
      <c r="N35" s="292">
        <v>0</v>
      </c>
      <c r="O35" s="321">
        <v>0</v>
      </c>
      <c r="P35" s="311">
        <v>44542</v>
      </c>
      <c r="Q35" s="312" t="s">
        <v>281</v>
      </c>
      <c r="R35" s="295" t="s">
        <v>28</v>
      </c>
      <c r="S35" s="295" t="s">
        <v>28</v>
      </c>
      <c r="T35" s="313"/>
    </row>
    <row r="36" spans="1:20" ht="36" x14ac:dyDescent="0.2">
      <c r="A36" s="304">
        <v>34</v>
      </c>
      <c r="B36" s="305">
        <v>44592</v>
      </c>
      <c r="C36" s="325" t="s">
        <v>282</v>
      </c>
      <c r="D36" s="307" t="s">
        <v>283</v>
      </c>
      <c r="E36" s="308" t="s">
        <v>284</v>
      </c>
      <c r="F36" s="304">
        <v>75</v>
      </c>
      <c r="G36" s="304" t="s">
        <v>150</v>
      </c>
      <c r="H36" s="304" t="s">
        <v>23</v>
      </c>
      <c r="I36" s="309">
        <v>3</v>
      </c>
      <c r="J36" s="292">
        <v>0</v>
      </c>
      <c r="K36" s="310">
        <v>3428.57</v>
      </c>
      <c r="L36" s="292" t="e">
        <f>IF([2]!Tabla1[[#This Row],[S.V.O.]]&gt;11428.57,1200,IF([2]!Tabla1[[#This Row],[S.V.O.]]&lt;5714.29,0,[2]!Tabla1[[#This Row],[S.V.O.]]*0.1))</f>
        <v>#REF!</v>
      </c>
      <c r="M36" s="321">
        <v>0</v>
      </c>
      <c r="N36" s="292">
        <v>0</v>
      </c>
      <c r="O36" s="321">
        <v>0</v>
      </c>
      <c r="P36" s="311">
        <v>44343</v>
      </c>
      <c r="Q36" s="312" t="s">
        <v>285</v>
      </c>
      <c r="R36" s="295" t="s">
        <v>28</v>
      </c>
      <c r="S36" s="295" t="s">
        <v>28</v>
      </c>
      <c r="T36" s="313"/>
    </row>
    <row r="37" spans="1:20" ht="54.75" thickBot="1" x14ac:dyDescent="0.25">
      <c r="A37" s="336">
        <v>35</v>
      </c>
      <c r="B37" s="337">
        <v>44592</v>
      </c>
      <c r="C37" s="338" t="s">
        <v>286</v>
      </c>
      <c r="D37" s="339" t="s">
        <v>287</v>
      </c>
      <c r="E37" s="340" t="s">
        <v>288</v>
      </c>
      <c r="F37" s="336">
        <v>91</v>
      </c>
      <c r="G37" s="336" t="s">
        <v>155</v>
      </c>
      <c r="H37" s="336" t="s">
        <v>23</v>
      </c>
      <c r="I37" s="341">
        <v>1</v>
      </c>
      <c r="J37" s="342">
        <v>0</v>
      </c>
      <c r="K37" s="342">
        <v>3428.57</v>
      </c>
      <c r="L37" s="342" t="e">
        <f>IF([2]!Tabla1[[#This Row],[S.V.O.]]&gt;11428.57,1200,IF([2]!Tabla1[[#This Row],[S.V.O.]]&lt;5714.29,0,[2]!Tabla1[[#This Row],[S.V.O.]]*0.1))</f>
        <v>#REF!</v>
      </c>
      <c r="M37" s="343">
        <v>0</v>
      </c>
      <c r="N37" s="342">
        <v>0</v>
      </c>
      <c r="O37" s="343">
        <v>0</v>
      </c>
      <c r="P37" s="344">
        <v>43131</v>
      </c>
      <c r="Q37" s="345" t="s">
        <v>289</v>
      </c>
      <c r="R37" s="346" t="s">
        <v>60</v>
      </c>
      <c r="S37" s="346" t="s">
        <v>60</v>
      </c>
      <c r="T37" s="313"/>
    </row>
    <row r="38" spans="1:20" ht="24" x14ac:dyDescent="0.2">
      <c r="A38" s="347">
        <v>1</v>
      </c>
      <c r="B38" s="348">
        <v>44593</v>
      </c>
      <c r="C38" s="349" t="s">
        <v>290</v>
      </c>
      <c r="D38" s="350" t="s">
        <v>291</v>
      </c>
      <c r="E38" s="351" t="s">
        <v>292</v>
      </c>
      <c r="F38" s="352">
        <v>45</v>
      </c>
      <c r="G38" s="352" t="s">
        <v>150</v>
      </c>
      <c r="H38" s="352" t="s">
        <v>20</v>
      </c>
      <c r="I38" s="353">
        <v>2</v>
      </c>
      <c r="J38" s="354">
        <v>3428.57</v>
      </c>
      <c r="K38" s="355">
        <v>3428.57</v>
      </c>
      <c r="L38" s="354" t="e">
        <f>IF([2]!Tabla1[[#This Row],[S.V.O.]]&gt;11428.57,1200,IF([2]!Tabla1[[#This Row],[S.V.O.]]&lt;5714.29,0,[2]!Tabla1[[#This Row],[S.V.O.]]*0.1))</f>
        <v>#REF!</v>
      </c>
      <c r="M38" s="356">
        <v>0</v>
      </c>
      <c r="N38" s="354">
        <v>1142.8599999999999</v>
      </c>
      <c r="O38" s="356">
        <v>0</v>
      </c>
      <c r="P38" s="357">
        <v>44540</v>
      </c>
      <c r="Q38" s="358" t="s">
        <v>293</v>
      </c>
      <c r="R38" s="359" t="s">
        <v>151</v>
      </c>
      <c r="S38" s="359" t="s">
        <v>151</v>
      </c>
      <c r="T38" s="313"/>
    </row>
    <row r="39" spans="1:20" ht="63" x14ac:dyDescent="0.2">
      <c r="A39" s="360">
        <v>2</v>
      </c>
      <c r="B39" s="361">
        <v>44593</v>
      </c>
      <c r="C39" s="325" t="s">
        <v>294</v>
      </c>
      <c r="D39" s="307" t="s">
        <v>295</v>
      </c>
      <c r="E39" s="308" t="s">
        <v>296</v>
      </c>
      <c r="F39" s="304">
        <v>96</v>
      </c>
      <c r="G39" s="304" t="s">
        <v>150</v>
      </c>
      <c r="H39" s="304" t="s">
        <v>23</v>
      </c>
      <c r="I39" s="309">
        <v>1</v>
      </c>
      <c r="J39" s="292">
        <v>0</v>
      </c>
      <c r="K39" s="310">
        <v>1142.8599999999999</v>
      </c>
      <c r="L39" s="292" t="e">
        <f>IF([2]!Tabla1[[#This Row],[S.V.O.]]&gt;11428.57,1200,IF([2]!Tabla1[[#This Row],[S.V.O.]]&lt;5714.29,0,[2]!Tabla1[[#This Row],[S.V.O.]]*0.1))</f>
        <v>#REF!</v>
      </c>
      <c r="M39" s="321">
        <v>0</v>
      </c>
      <c r="N39" s="292">
        <v>0</v>
      </c>
      <c r="O39" s="321">
        <v>0</v>
      </c>
      <c r="P39" s="311">
        <v>44508</v>
      </c>
      <c r="Q39" s="312" t="s">
        <v>297</v>
      </c>
      <c r="R39" s="295" t="s">
        <v>62</v>
      </c>
      <c r="S39" s="295" t="s">
        <v>60</v>
      </c>
      <c r="T39" s="313"/>
    </row>
    <row r="40" spans="1:20" ht="48" x14ac:dyDescent="0.2">
      <c r="A40" s="360">
        <v>3</v>
      </c>
      <c r="B40" s="361">
        <v>44594</v>
      </c>
      <c r="C40" s="325" t="s">
        <v>298</v>
      </c>
      <c r="D40" s="307" t="s">
        <v>299</v>
      </c>
      <c r="E40" s="308" t="s">
        <v>300</v>
      </c>
      <c r="F40" s="304">
        <v>88</v>
      </c>
      <c r="G40" s="304" t="s">
        <v>150</v>
      </c>
      <c r="H40" s="304" t="s">
        <v>23</v>
      </c>
      <c r="I40" s="309">
        <v>3</v>
      </c>
      <c r="J40" s="292">
        <v>0</v>
      </c>
      <c r="K40" s="310">
        <v>3428.57</v>
      </c>
      <c r="L40" s="292" t="e">
        <f>IF([2]!Tabla1[[#This Row],[S.V.O.]]&gt;11428.57,1200,IF([2]!Tabla1[[#This Row],[S.V.O.]]&lt;5714.29,0,[2]!Tabla1[[#This Row],[S.V.O.]]*0.1))</f>
        <v>#REF!</v>
      </c>
      <c r="M40" s="321">
        <v>0</v>
      </c>
      <c r="N40" s="292">
        <v>1142.8599999999999</v>
      </c>
      <c r="O40" s="321">
        <v>0</v>
      </c>
      <c r="P40" s="311">
        <v>44581</v>
      </c>
      <c r="Q40" s="312" t="s">
        <v>301</v>
      </c>
      <c r="R40" s="295" t="s">
        <v>64</v>
      </c>
      <c r="S40" s="295" t="s">
        <v>60</v>
      </c>
      <c r="T40" s="313"/>
    </row>
    <row r="41" spans="1:20" ht="36" x14ac:dyDescent="0.2">
      <c r="A41" s="360">
        <v>4</v>
      </c>
      <c r="B41" s="361">
        <v>44594</v>
      </c>
      <c r="C41" s="325" t="s">
        <v>302</v>
      </c>
      <c r="D41" s="307" t="s">
        <v>303</v>
      </c>
      <c r="E41" s="308" t="s">
        <v>304</v>
      </c>
      <c r="F41" s="304">
        <v>96</v>
      </c>
      <c r="G41" s="304" t="s">
        <v>155</v>
      </c>
      <c r="H41" s="304" t="s">
        <v>23</v>
      </c>
      <c r="I41" s="309">
        <v>3</v>
      </c>
      <c r="J41" s="292">
        <v>0</v>
      </c>
      <c r="K41" s="310">
        <v>1142.8599999999999</v>
      </c>
      <c r="L41" s="292" t="e">
        <f>IF([2]!Tabla1[[#This Row],[S.V.O.]]&gt;11428.57,1200,IF([2]!Tabla1[[#This Row],[S.V.O.]]&lt;5714.29,0,[2]!Tabla1[[#This Row],[S.V.O.]]*0.1))</f>
        <v>#REF!</v>
      </c>
      <c r="M41" s="321">
        <v>0</v>
      </c>
      <c r="N41" s="292">
        <v>0</v>
      </c>
      <c r="O41" s="321">
        <v>0</v>
      </c>
      <c r="P41" s="311">
        <v>44011</v>
      </c>
      <c r="Q41" s="312" t="s">
        <v>305</v>
      </c>
      <c r="R41" s="295" t="s">
        <v>306</v>
      </c>
      <c r="S41" s="295" t="s">
        <v>306</v>
      </c>
      <c r="T41" s="313"/>
    </row>
    <row r="42" spans="1:20" ht="54" x14ac:dyDescent="0.2">
      <c r="A42" s="360">
        <v>5</v>
      </c>
      <c r="B42" s="361">
        <v>44599</v>
      </c>
      <c r="C42" s="325" t="s">
        <v>307</v>
      </c>
      <c r="D42" s="307" t="s">
        <v>308</v>
      </c>
      <c r="E42" s="308" t="s">
        <v>309</v>
      </c>
      <c r="F42" s="304">
        <v>76</v>
      </c>
      <c r="G42" s="304" t="s">
        <v>155</v>
      </c>
      <c r="H42" s="304" t="s">
        <v>23</v>
      </c>
      <c r="I42" s="309">
        <v>1</v>
      </c>
      <c r="J42" s="292">
        <v>0</v>
      </c>
      <c r="K42" s="310">
        <v>3428.57</v>
      </c>
      <c r="L42" s="292" t="e">
        <f>IF([2]!Tabla1[[#This Row],[S.V.O.]]&gt;11428.57,1200,IF([2]!Tabla1[[#This Row],[S.V.O.]]&lt;5714.29,0,[2]!Tabla1[[#This Row],[S.V.O.]]*0.1))</f>
        <v>#REF!</v>
      </c>
      <c r="M42" s="321">
        <v>0</v>
      </c>
      <c r="N42" s="292">
        <v>1142.8599999999999</v>
      </c>
      <c r="O42" s="321">
        <v>0</v>
      </c>
      <c r="P42" s="311">
        <v>44538</v>
      </c>
      <c r="Q42" s="312" t="s">
        <v>310</v>
      </c>
      <c r="R42" s="295" t="s">
        <v>60</v>
      </c>
      <c r="S42" s="295" t="s">
        <v>311</v>
      </c>
      <c r="T42" s="313"/>
    </row>
    <row r="43" spans="1:20" ht="36" x14ac:dyDescent="0.2">
      <c r="A43" s="347">
        <v>6</v>
      </c>
      <c r="B43" s="361">
        <v>44599</v>
      </c>
      <c r="C43" s="362" t="s">
        <v>312</v>
      </c>
      <c r="D43" s="307" t="s">
        <v>313</v>
      </c>
      <c r="E43" s="308" t="s">
        <v>314</v>
      </c>
      <c r="F43" s="363">
        <v>107</v>
      </c>
      <c r="G43" s="304" t="s">
        <v>150</v>
      </c>
      <c r="H43" s="304" t="s">
        <v>23</v>
      </c>
      <c r="I43" s="364">
        <v>1</v>
      </c>
      <c r="J43" s="365">
        <v>0</v>
      </c>
      <c r="K43" s="366">
        <v>2285.71</v>
      </c>
      <c r="L43" s="292" t="e">
        <f>IF([2]!Tabla1[[#This Row],[S.V.O.]]&gt;11428.57,1200,IF([2]!Tabla1[[#This Row],[S.V.O.]]&lt;5714.29,0,[2]!Tabla1[[#This Row],[S.V.O.]]*0.1))</f>
        <v>#REF!</v>
      </c>
      <c r="M43" s="367">
        <v>0</v>
      </c>
      <c r="N43" s="365">
        <v>0</v>
      </c>
      <c r="O43" s="321">
        <v>0</v>
      </c>
      <c r="P43" s="368">
        <v>44586</v>
      </c>
      <c r="Q43" s="369" t="s">
        <v>172</v>
      </c>
      <c r="R43" s="370" t="s">
        <v>60</v>
      </c>
      <c r="S43" s="370" t="s">
        <v>60</v>
      </c>
      <c r="T43" s="313"/>
    </row>
    <row r="44" spans="1:20" ht="48" x14ac:dyDescent="0.2">
      <c r="A44" s="360">
        <v>7</v>
      </c>
      <c r="B44" s="361">
        <v>44600</v>
      </c>
      <c r="C44" s="362" t="s">
        <v>315</v>
      </c>
      <c r="D44" s="307" t="s">
        <v>316</v>
      </c>
      <c r="E44" s="308" t="s">
        <v>317</v>
      </c>
      <c r="F44" s="363">
        <v>71</v>
      </c>
      <c r="G44" s="304" t="s">
        <v>155</v>
      </c>
      <c r="H44" s="304" t="s">
        <v>20</v>
      </c>
      <c r="I44" s="309">
        <v>3</v>
      </c>
      <c r="J44" s="292">
        <v>3428.57</v>
      </c>
      <c r="K44" s="321">
        <v>0</v>
      </c>
      <c r="L44" s="292" t="e">
        <f>IF([2]!Tabla1[[#This Row],[S.V.O.]]&gt;11428.57,1200,IF([2]!Tabla1[[#This Row],[S.V.O.]]&lt;5714.29,0,[2]!Tabla1[[#This Row],[S.V.O.]]*0.1))</f>
        <v>#REF!</v>
      </c>
      <c r="M44" s="321">
        <v>0</v>
      </c>
      <c r="N44" s="292">
        <v>0</v>
      </c>
      <c r="O44" s="321">
        <v>0</v>
      </c>
      <c r="P44" s="368">
        <v>44532</v>
      </c>
      <c r="Q44" s="369" t="s">
        <v>305</v>
      </c>
      <c r="R44" s="370" t="s">
        <v>60</v>
      </c>
      <c r="S44" s="370" t="s">
        <v>60</v>
      </c>
      <c r="T44" s="313"/>
    </row>
    <row r="45" spans="1:20" ht="36" x14ac:dyDescent="0.2">
      <c r="A45" s="360">
        <v>8</v>
      </c>
      <c r="B45" s="361">
        <v>44600</v>
      </c>
      <c r="C45" s="362" t="s">
        <v>318</v>
      </c>
      <c r="D45" s="307" t="s">
        <v>319</v>
      </c>
      <c r="E45" s="308" t="s">
        <v>320</v>
      </c>
      <c r="F45" s="363">
        <v>79</v>
      </c>
      <c r="G45" s="304" t="s">
        <v>150</v>
      </c>
      <c r="H45" s="304" t="s">
        <v>23</v>
      </c>
      <c r="I45" s="364">
        <v>1</v>
      </c>
      <c r="J45" s="292">
        <v>0</v>
      </c>
      <c r="K45" s="310">
        <v>3428.57</v>
      </c>
      <c r="L45" s="292" t="e">
        <f>IF([2]!Tabla1[[#This Row],[S.V.O.]]&gt;11428.57,1200,IF([2]!Tabla1[[#This Row],[S.V.O.]]&lt;5714.29,0,[2]!Tabla1[[#This Row],[S.V.O.]]*0.1))</f>
        <v>#REF!</v>
      </c>
      <c r="M45" s="321">
        <v>0</v>
      </c>
      <c r="N45" s="292">
        <v>0</v>
      </c>
      <c r="O45" s="321">
        <v>0</v>
      </c>
      <c r="P45" s="368">
        <v>44488</v>
      </c>
      <c r="Q45" s="369" t="s">
        <v>321</v>
      </c>
      <c r="R45" s="370" t="s">
        <v>60</v>
      </c>
      <c r="S45" s="370" t="s">
        <v>60</v>
      </c>
      <c r="T45" s="313"/>
    </row>
    <row r="46" spans="1:20" ht="81" x14ac:dyDescent="0.2">
      <c r="A46" s="360">
        <v>9</v>
      </c>
      <c r="B46" s="361">
        <v>44602</v>
      </c>
      <c r="C46" s="371" t="s">
        <v>322</v>
      </c>
      <c r="D46" s="307" t="s">
        <v>323</v>
      </c>
      <c r="E46" s="308" t="s">
        <v>324</v>
      </c>
      <c r="F46" s="363">
        <v>63</v>
      </c>
      <c r="G46" s="304" t="s">
        <v>150</v>
      </c>
      <c r="H46" s="304" t="s">
        <v>20</v>
      </c>
      <c r="I46" s="309">
        <v>1</v>
      </c>
      <c r="J46" s="292">
        <v>3428.57</v>
      </c>
      <c r="K46" s="310">
        <v>11428.57</v>
      </c>
      <c r="L46" s="292" t="e">
        <f>IF([2]!Tabla1[[#This Row],[S.V.O.]]&gt;11428.57,1200,IF([2]!Tabla1[[#This Row],[S.V.O.]]&lt;5714.29,0,[2]!Tabla1[[#This Row],[S.V.O.]]*0.1))</f>
        <v>#REF!</v>
      </c>
      <c r="M46" s="321">
        <v>0</v>
      </c>
      <c r="N46" s="292">
        <v>1142.8599999999999</v>
      </c>
      <c r="O46" s="321">
        <v>0</v>
      </c>
      <c r="P46" s="368">
        <v>44548</v>
      </c>
      <c r="Q46" s="369" t="s">
        <v>325</v>
      </c>
      <c r="R46" s="370" t="s">
        <v>60</v>
      </c>
      <c r="S46" s="370" t="s">
        <v>60</v>
      </c>
      <c r="T46" s="313"/>
    </row>
    <row r="47" spans="1:20" ht="48" x14ac:dyDescent="0.2">
      <c r="A47" s="360">
        <v>10</v>
      </c>
      <c r="B47" s="361">
        <v>44602</v>
      </c>
      <c r="C47" s="325" t="s">
        <v>326</v>
      </c>
      <c r="D47" s="307" t="s">
        <v>327</v>
      </c>
      <c r="E47" s="308" t="s">
        <v>328</v>
      </c>
      <c r="F47" s="304">
        <v>72</v>
      </c>
      <c r="G47" s="304" t="s">
        <v>155</v>
      </c>
      <c r="H47" s="304" t="s">
        <v>23</v>
      </c>
      <c r="I47" s="309">
        <v>2</v>
      </c>
      <c r="J47" s="292">
        <v>0</v>
      </c>
      <c r="K47" s="310">
        <v>2285.71</v>
      </c>
      <c r="L47" s="292" t="e">
        <f>IF([2]!Tabla1[[#This Row],[S.V.O.]]&gt;11428.57,1200,IF([2]!Tabla1[[#This Row],[S.V.O.]]&lt;5714.29,0,[2]!Tabla1[[#This Row],[S.V.O.]]*0.1))</f>
        <v>#REF!</v>
      </c>
      <c r="M47" s="321">
        <v>0</v>
      </c>
      <c r="N47" s="292">
        <v>0</v>
      </c>
      <c r="O47" s="321">
        <v>0</v>
      </c>
      <c r="P47" s="311">
        <v>44529</v>
      </c>
      <c r="Q47" s="312" t="s">
        <v>329</v>
      </c>
      <c r="R47" s="295" t="s">
        <v>64</v>
      </c>
      <c r="S47" s="295" t="s">
        <v>60</v>
      </c>
      <c r="T47" s="313"/>
    </row>
    <row r="48" spans="1:20" ht="36" x14ac:dyDescent="0.2">
      <c r="A48" s="360">
        <v>11</v>
      </c>
      <c r="B48" s="361">
        <v>44602</v>
      </c>
      <c r="C48" s="325" t="s">
        <v>330</v>
      </c>
      <c r="D48" s="307" t="s">
        <v>331</v>
      </c>
      <c r="E48" s="308" t="s">
        <v>332</v>
      </c>
      <c r="F48" s="304">
        <v>83</v>
      </c>
      <c r="G48" s="304" t="s">
        <v>155</v>
      </c>
      <c r="H48" s="304" t="s">
        <v>23</v>
      </c>
      <c r="I48" s="309">
        <v>3</v>
      </c>
      <c r="J48" s="292">
        <v>0</v>
      </c>
      <c r="K48" s="292">
        <v>3428.57</v>
      </c>
      <c r="L48" s="292" t="e">
        <f>IF([2]!Tabla1[[#This Row],[S.V.O.]]&gt;11428.57,1200,IF([2]!Tabla1[[#This Row],[S.V.O.]]&lt;5714.29,0,[2]!Tabla1[[#This Row],[S.V.O.]]*0.1))</f>
        <v>#REF!</v>
      </c>
      <c r="M48" s="321">
        <v>0</v>
      </c>
      <c r="N48" s="292">
        <v>1142.8599999999999</v>
      </c>
      <c r="O48" s="321">
        <v>0</v>
      </c>
      <c r="P48" s="311">
        <v>44578</v>
      </c>
      <c r="Q48" s="312" t="s">
        <v>249</v>
      </c>
      <c r="R48" s="295" t="s">
        <v>64</v>
      </c>
      <c r="S48" s="295" t="s">
        <v>60</v>
      </c>
      <c r="T48" s="313"/>
    </row>
    <row r="49" spans="1:20" ht="36" x14ac:dyDescent="0.2">
      <c r="A49" s="360">
        <v>12</v>
      </c>
      <c r="B49" s="361">
        <v>44602</v>
      </c>
      <c r="C49" s="325" t="s">
        <v>333</v>
      </c>
      <c r="D49" s="323" t="s">
        <v>334</v>
      </c>
      <c r="E49" s="372" t="s">
        <v>335</v>
      </c>
      <c r="F49" s="363">
        <v>38</v>
      </c>
      <c r="G49" s="363" t="s">
        <v>155</v>
      </c>
      <c r="H49" s="363" t="s">
        <v>20</v>
      </c>
      <c r="I49" s="364">
        <v>3</v>
      </c>
      <c r="J49" s="365">
        <v>3428.57</v>
      </c>
      <c r="K49" s="367">
        <v>0</v>
      </c>
      <c r="L49" s="292" t="e">
        <f>IF([2]!Tabla1[[#This Row],[S.V.O.]]&gt;11428.57,1200,IF([2]!Tabla1[[#This Row],[S.V.O.]]&lt;5714.29,0,[2]!Tabla1[[#This Row],[S.V.O.]]*0.1))</f>
        <v>#REF!</v>
      </c>
      <c r="M49" s="367">
        <v>0</v>
      </c>
      <c r="N49" s="365">
        <v>0</v>
      </c>
      <c r="O49" s="367">
        <v>0</v>
      </c>
      <c r="P49" s="368">
        <v>44221</v>
      </c>
      <c r="Q49" s="369" t="s">
        <v>336</v>
      </c>
      <c r="R49" s="373" t="s">
        <v>60</v>
      </c>
      <c r="S49" s="374" t="s">
        <v>60</v>
      </c>
      <c r="T49" s="313"/>
    </row>
    <row r="50" spans="1:20" ht="81" x14ac:dyDescent="0.2">
      <c r="A50" s="360">
        <v>13</v>
      </c>
      <c r="B50" s="361">
        <v>44603</v>
      </c>
      <c r="C50" s="325" t="s">
        <v>337</v>
      </c>
      <c r="D50" s="323" t="s">
        <v>338</v>
      </c>
      <c r="E50" s="372" t="s">
        <v>339</v>
      </c>
      <c r="F50" s="363">
        <v>51</v>
      </c>
      <c r="G50" s="363" t="s">
        <v>155</v>
      </c>
      <c r="H50" s="363" t="s">
        <v>20</v>
      </c>
      <c r="I50" s="364">
        <v>2</v>
      </c>
      <c r="J50" s="365">
        <v>3428.57</v>
      </c>
      <c r="K50" s="366">
        <v>15000</v>
      </c>
      <c r="L50" s="292" t="e">
        <f>IF([2]!Tabla1[[#This Row],[S.V.O.]]&gt;11428.57,1200,IF([2]!Tabla1[[#This Row],[S.V.O.]]&lt;5714.29,0,[2]!Tabla1[[#This Row],[S.V.O.]]*0.1))</f>
        <v>#REF!</v>
      </c>
      <c r="M50" s="367">
        <v>0</v>
      </c>
      <c r="N50" s="365">
        <v>1142.8599999999999</v>
      </c>
      <c r="O50" s="367">
        <v>0</v>
      </c>
      <c r="P50" s="368">
        <v>44525</v>
      </c>
      <c r="Q50" s="369" t="s">
        <v>340</v>
      </c>
      <c r="R50" s="373" t="s">
        <v>60</v>
      </c>
      <c r="S50" s="374" t="s">
        <v>60</v>
      </c>
      <c r="T50" s="313"/>
    </row>
    <row r="51" spans="1:20" ht="54" x14ac:dyDescent="0.2">
      <c r="A51" s="360">
        <v>14</v>
      </c>
      <c r="B51" s="361">
        <v>44603</v>
      </c>
      <c r="C51" s="325" t="s">
        <v>341</v>
      </c>
      <c r="D51" s="323" t="s">
        <v>342</v>
      </c>
      <c r="E51" s="372" t="s">
        <v>343</v>
      </c>
      <c r="F51" s="363">
        <v>53</v>
      </c>
      <c r="G51" s="363" t="s">
        <v>155</v>
      </c>
      <c r="H51" s="363" t="s">
        <v>20</v>
      </c>
      <c r="I51" s="364">
        <v>2</v>
      </c>
      <c r="J51" s="366">
        <v>3428.57</v>
      </c>
      <c r="K51" s="366">
        <v>15000</v>
      </c>
      <c r="L51" s="292" t="e">
        <f>IF([2]!Tabla1[[#This Row],[S.V.O.]]&gt;11428.57,1200,IF([2]!Tabla1[[#This Row],[S.V.O.]]&lt;5714.29,0,[2]!Tabla1[[#This Row],[S.V.O.]]*0.1))</f>
        <v>#REF!</v>
      </c>
      <c r="M51" s="366">
        <v>0</v>
      </c>
      <c r="N51" s="366">
        <v>1142.8599999999999</v>
      </c>
      <c r="O51" s="366">
        <v>0</v>
      </c>
      <c r="P51" s="368">
        <v>43382</v>
      </c>
      <c r="Q51" s="369" t="s">
        <v>344</v>
      </c>
      <c r="R51" s="373" t="s">
        <v>60</v>
      </c>
      <c r="S51" s="374" t="s">
        <v>60</v>
      </c>
      <c r="T51" s="313"/>
    </row>
    <row r="52" spans="1:20" ht="72" x14ac:dyDescent="0.2">
      <c r="A52" s="347">
        <v>15</v>
      </c>
      <c r="B52" s="361">
        <v>44606</v>
      </c>
      <c r="C52" s="325" t="s">
        <v>345</v>
      </c>
      <c r="D52" s="323" t="s">
        <v>346</v>
      </c>
      <c r="E52" s="372" t="s">
        <v>347</v>
      </c>
      <c r="F52" s="363">
        <v>77</v>
      </c>
      <c r="G52" s="363" t="s">
        <v>155</v>
      </c>
      <c r="H52" s="363" t="s">
        <v>23</v>
      </c>
      <c r="I52" s="364">
        <v>4</v>
      </c>
      <c r="J52" s="366">
        <v>0</v>
      </c>
      <c r="K52" s="366">
        <v>3428.57</v>
      </c>
      <c r="L52" s="292" t="e">
        <f>IF([2]!Tabla1[[#This Row],[S.V.O.]]&gt;11428.57,1200,IF([2]!Tabla1[[#This Row],[S.V.O.]]&lt;5714.29,0,[2]!Tabla1[[#This Row],[S.V.O.]]*0.1))</f>
        <v>#REF!</v>
      </c>
      <c r="M52" s="367">
        <v>0</v>
      </c>
      <c r="N52" s="365">
        <v>0</v>
      </c>
      <c r="O52" s="367">
        <v>0</v>
      </c>
      <c r="P52" s="368">
        <v>44594</v>
      </c>
      <c r="Q52" s="369" t="s">
        <v>348</v>
      </c>
      <c r="R52" s="373" t="s">
        <v>60</v>
      </c>
      <c r="S52" s="374" t="s">
        <v>60</v>
      </c>
      <c r="T52" s="313"/>
    </row>
    <row r="53" spans="1:20" ht="48" x14ac:dyDescent="0.2">
      <c r="A53" s="360">
        <v>16</v>
      </c>
      <c r="B53" s="361">
        <v>44608</v>
      </c>
      <c r="C53" s="325" t="s">
        <v>349</v>
      </c>
      <c r="D53" s="307" t="s">
        <v>350</v>
      </c>
      <c r="E53" s="308" t="s">
        <v>351</v>
      </c>
      <c r="F53" s="304">
        <v>58</v>
      </c>
      <c r="G53" s="304" t="s">
        <v>150</v>
      </c>
      <c r="H53" s="304" t="s">
        <v>20</v>
      </c>
      <c r="I53" s="309">
        <v>1</v>
      </c>
      <c r="J53" s="292">
        <v>3428.57</v>
      </c>
      <c r="K53" s="292">
        <v>3428.57</v>
      </c>
      <c r="L53" s="292" t="e">
        <f>IF([2]!Tabla1[[#This Row],[S.V.O.]]&gt;11428.57,1200,IF([2]!Tabla1[[#This Row],[S.V.O.]]&lt;5714.29,0,[2]!Tabla1[[#This Row],[S.V.O.]]*0.1))</f>
        <v>#REF!</v>
      </c>
      <c r="M53" s="321">
        <v>0</v>
      </c>
      <c r="N53" s="292">
        <v>0</v>
      </c>
      <c r="O53" s="321">
        <v>0</v>
      </c>
      <c r="P53" s="311">
        <v>44583</v>
      </c>
      <c r="Q53" s="312" t="s">
        <v>352</v>
      </c>
      <c r="R53" s="295" t="s">
        <v>173</v>
      </c>
      <c r="S53" s="295" t="s">
        <v>173</v>
      </c>
      <c r="T53" s="313"/>
    </row>
    <row r="54" spans="1:20" ht="54" x14ac:dyDescent="0.2">
      <c r="A54" s="360">
        <v>17</v>
      </c>
      <c r="B54" s="361">
        <v>44608</v>
      </c>
      <c r="C54" s="325" t="s">
        <v>353</v>
      </c>
      <c r="D54" s="307" t="s">
        <v>354</v>
      </c>
      <c r="E54" s="308" t="s">
        <v>355</v>
      </c>
      <c r="F54" s="304">
        <v>59</v>
      </c>
      <c r="G54" s="304" t="s">
        <v>150</v>
      </c>
      <c r="H54" s="304" t="s">
        <v>20</v>
      </c>
      <c r="I54" s="309">
        <v>1</v>
      </c>
      <c r="J54" s="292">
        <v>3428.57</v>
      </c>
      <c r="K54" s="292">
        <v>4571.43</v>
      </c>
      <c r="L54" s="292" t="e">
        <f>IF([2]!Tabla1[[#This Row],[S.V.O.]]&gt;11428.57,1200,IF([2]!Tabla1[[#This Row],[S.V.O.]]&lt;5714.29,0,[2]!Tabla1[[#This Row],[S.V.O.]]*0.1))</f>
        <v>#REF!</v>
      </c>
      <c r="M54" s="321">
        <v>0</v>
      </c>
      <c r="N54" s="292">
        <v>0</v>
      </c>
      <c r="O54" s="321">
        <v>0</v>
      </c>
      <c r="P54" s="311">
        <v>44584</v>
      </c>
      <c r="Q54" s="312" t="s">
        <v>356</v>
      </c>
      <c r="R54" s="295" t="s">
        <v>60</v>
      </c>
      <c r="S54" s="295" t="s">
        <v>26</v>
      </c>
      <c r="T54" s="313"/>
    </row>
    <row r="55" spans="1:20" ht="72" x14ac:dyDescent="0.2">
      <c r="A55" s="360">
        <v>18</v>
      </c>
      <c r="B55" s="361">
        <v>44608</v>
      </c>
      <c r="C55" s="325" t="s">
        <v>357</v>
      </c>
      <c r="D55" s="375" t="s">
        <v>358</v>
      </c>
      <c r="E55" s="376" t="s">
        <v>359</v>
      </c>
      <c r="F55" s="377">
        <v>42</v>
      </c>
      <c r="G55" s="377" t="s">
        <v>155</v>
      </c>
      <c r="H55" s="377" t="s">
        <v>20</v>
      </c>
      <c r="I55" s="378">
        <v>2</v>
      </c>
      <c r="J55" s="292">
        <v>3428.57</v>
      </c>
      <c r="K55" s="292">
        <v>0</v>
      </c>
      <c r="L55" s="292" t="e">
        <f>IF([2]!Tabla1[[#This Row],[S.V.O.]]&gt;11428.57,1200,IF([2]!Tabla1[[#This Row],[S.V.O.]]&lt;5714.29,0,[2]!Tabla1[[#This Row],[S.V.O.]]*0.1))</f>
        <v>#REF!</v>
      </c>
      <c r="M55" s="321">
        <v>0</v>
      </c>
      <c r="N55" s="292">
        <v>0</v>
      </c>
      <c r="O55" s="321">
        <v>0</v>
      </c>
      <c r="P55" s="379">
        <v>44513</v>
      </c>
      <c r="Q55" s="380" t="s">
        <v>360</v>
      </c>
      <c r="R55" s="381" t="s">
        <v>60</v>
      </c>
      <c r="S55" s="381" t="s">
        <v>60</v>
      </c>
      <c r="T55" s="313"/>
    </row>
    <row r="56" spans="1:20" ht="48" x14ac:dyDescent="0.2">
      <c r="A56" s="360">
        <v>19</v>
      </c>
      <c r="B56" s="361">
        <v>44608</v>
      </c>
      <c r="C56" s="325" t="s">
        <v>361</v>
      </c>
      <c r="D56" s="307" t="s">
        <v>362</v>
      </c>
      <c r="E56" s="308" t="s">
        <v>363</v>
      </c>
      <c r="F56" s="304">
        <v>64</v>
      </c>
      <c r="G56" s="304" t="s">
        <v>150</v>
      </c>
      <c r="H56" s="304" t="s">
        <v>23</v>
      </c>
      <c r="I56" s="309">
        <v>4</v>
      </c>
      <c r="J56" s="292">
        <v>0</v>
      </c>
      <c r="K56" s="310">
        <v>3428.57</v>
      </c>
      <c r="L56" s="292" t="e">
        <f>IF([2]!Tabla1[[#This Row],[S.V.O.]]&gt;11428.57,1200,IF([2]!Tabla1[[#This Row],[S.V.O.]]&lt;5714.29,0,[2]!Tabla1[[#This Row],[S.V.O.]]*0.1))</f>
        <v>#REF!</v>
      </c>
      <c r="M56" s="321">
        <v>0</v>
      </c>
      <c r="N56" s="292">
        <v>1142.8599999999999</v>
      </c>
      <c r="O56" s="321">
        <v>0</v>
      </c>
      <c r="P56" s="311">
        <v>44602</v>
      </c>
      <c r="Q56" s="312" t="s">
        <v>321</v>
      </c>
      <c r="R56" s="295" t="s">
        <v>60</v>
      </c>
      <c r="S56" s="295" t="s">
        <v>60</v>
      </c>
      <c r="T56" s="313"/>
    </row>
    <row r="57" spans="1:20" ht="72" x14ac:dyDescent="0.2">
      <c r="A57" s="360">
        <v>20</v>
      </c>
      <c r="B57" s="361">
        <v>44609</v>
      </c>
      <c r="C57" s="325" t="s">
        <v>364</v>
      </c>
      <c r="D57" s="375" t="s">
        <v>365</v>
      </c>
      <c r="E57" s="376" t="s">
        <v>366</v>
      </c>
      <c r="F57" s="377">
        <v>57</v>
      </c>
      <c r="G57" s="377" t="s">
        <v>155</v>
      </c>
      <c r="H57" s="377" t="s">
        <v>20</v>
      </c>
      <c r="I57" s="378">
        <v>2</v>
      </c>
      <c r="J57" s="292">
        <v>3428.57</v>
      </c>
      <c r="K57" s="292">
        <v>0</v>
      </c>
      <c r="L57" s="292" t="e">
        <f>IF([2]!Tabla1[[#This Row],[S.V.O.]]&gt;11428.57,1200,IF([2]!Tabla1[[#This Row],[S.V.O.]]&lt;5714.29,0,[2]!Tabla1[[#This Row],[S.V.O.]]*0.1))</f>
        <v>#REF!</v>
      </c>
      <c r="M57" s="321">
        <v>1142.8599999999999</v>
      </c>
      <c r="N57" s="292">
        <v>1142.8599999999999</v>
      </c>
      <c r="O57" s="321">
        <v>0</v>
      </c>
      <c r="P57" s="379">
        <v>44475</v>
      </c>
      <c r="Q57" s="380" t="s">
        <v>367</v>
      </c>
      <c r="R57" s="381" t="s">
        <v>60</v>
      </c>
      <c r="S57" s="381" t="s">
        <v>60</v>
      </c>
      <c r="T57" s="313"/>
    </row>
    <row r="58" spans="1:20" ht="48" x14ac:dyDescent="0.2">
      <c r="A58" s="347">
        <v>21</v>
      </c>
      <c r="B58" s="361">
        <v>44609</v>
      </c>
      <c r="C58" s="325" t="s">
        <v>368</v>
      </c>
      <c r="D58" s="375" t="s">
        <v>369</v>
      </c>
      <c r="E58" s="376" t="s">
        <v>370</v>
      </c>
      <c r="F58" s="377">
        <v>79</v>
      </c>
      <c r="G58" s="377" t="s">
        <v>150</v>
      </c>
      <c r="H58" s="377" t="s">
        <v>23</v>
      </c>
      <c r="I58" s="378">
        <v>4</v>
      </c>
      <c r="J58" s="292"/>
      <c r="K58" s="292">
        <v>2285.71</v>
      </c>
      <c r="L58" s="292" t="e">
        <f>IF([2]!Tabla1[[#This Row],[S.V.O.]]&gt;11428.57,1200,IF([2]!Tabla1[[#This Row],[S.V.O.]]&lt;5714.29,0,[2]!Tabla1[[#This Row],[S.V.O.]]*0.1))</f>
        <v>#REF!</v>
      </c>
      <c r="M58" s="321">
        <v>0</v>
      </c>
      <c r="N58" s="292">
        <v>0</v>
      </c>
      <c r="O58" s="321">
        <v>0</v>
      </c>
      <c r="P58" s="379">
        <v>44491</v>
      </c>
      <c r="Q58" s="380" t="s">
        <v>371</v>
      </c>
      <c r="R58" s="381" t="s">
        <v>60</v>
      </c>
      <c r="S58" s="381" t="s">
        <v>60</v>
      </c>
      <c r="T58" s="313"/>
    </row>
    <row r="59" spans="1:20" ht="48" x14ac:dyDescent="0.2">
      <c r="A59" s="360">
        <v>22</v>
      </c>
      <c r="B59" s="361">
        <v>44610</v>
      </c>
      <c r="C59" s="325" t="s">
        <v>372</v>
      </c>
      <c r="D59" s="307" t="s">
        <v>373</v>
      </c>
      <c r="E59" s="308" t="s">
        <v>374</v>
      </c>
      <c r="F59" s="304">
        <v>70</v>
      </c>
      <c r="G59" s="304" t="s">
        <v>150</v>
      </c>
      <c r="H59" s="304" t="s">
        <v>24</v>
      </c>
      <c r="I59" s="309">
        <v>1</v>
      </c>
      <c r="J59" s="292">
        <v>0</v>
      </c>
      <c r="K59" s="292">
        <v>2285.71</v>
      </c>
      <c r="L59" s="292" t="e">
        <f>IF([2]!Tabla1[[#This Row],[S.V.O.]]&gt;11428.57,1200,IF([2]!Tabla1[[#This Row],[S.V.O.]]&lt;5714.29,0,[2]!Tabla1[[#This Row],[S.V.O.]]*0.1))</f>
        <v>#REF!</v>
      </c>
      <c r="M59" s="321">
        <v>0</v>
      </c>
      <c r="N59" s="292">
        <v>0</v>
      </c>
      <c r="O59" s="321">
        <v>0</v>
      </c>
      <c r="P59" s="311">
        <v>44599</v>
      </c>
      <c r="Q59" s="312" t="s">
        <v>172</v>
      </c>
      <c r="R59" s="295" t="s">
        <v>64</v>
      </c>
      <c r="S59" s="295" t="s">
        <v>60</v>
      </c>
      <c r="T59" s="313"/>
    </row>
    <row r="60" spans="1:20" ht="54" x14ac:dyDescent="0.2">
      <c r="A60" s="360">
        <v>23</v>
      </c>
      <c r="B60" s="361">
        <v>44610</v>
      </c>
      <c r="C60" s="325" t="s">
        <v>375</v>
      </c>
      <c r="D60" s="375" t="s">
        <v>376</v>
      </c>
      <c r="E60" s="376" t="s">
        <v>377</v>
      </c>
      <c r="F60" s="377">
        <v>86</v>
      </c>
      <c r="G60" s="377" t="s">
        <v>155</v>
      </c>
      <c r="H60" s="377" t="s">
        <v>23</v>
      </c>
      <c r="I60" s="378">
        <v>5</v>
      </c>
      <c r="J60" s="292">
        <v>3428.57</v>
      </c>
      <c r="K60" s="292">
        <v>0</v>
      </c>
      <c r="L60" s="292" t="e">
        <f>IF([2]!Tabla1[[#This Row],[S.V.O.]]&gt;11428.57,1200,IF([2]!Tabla1[[#This Row],[S.V.O.]]&lt;5714.29,0,[2]!Tabla1[[#This Row],[S.V.O.]]*0.1))</f>
        <v>#REF!</v>
      </c>
      <c r="M60" s="321">
        <v>0</v>
      </c>
      <c r="N60" s="292">
        <v>1142.8599999999999</v>
      </c>
      <c r="O60" s="321">
        <v>0</v>
      </c>
      <c r="P60" s="379">
        <v>44598</v>
      </c>
      <c r="Q60" s="380" t="s">
        <v>378</v>
      </c>
      <c r="R60" s="381" t="s">
        <v>62</v>
      </c>
      <c r="S60" s="381" t="s">
        <v>62</v>
      </c>
      <c r="T60" s="313"/>
    </row>
    <row r="61" spans="1:20" ht="63" x14ac:dyDescent="0.2">
      <c r="A61" s="360">
        <v>24</v>
      </c>
      <c r="B61" s="361">
        <v>44610</v>
      </c>
      <c r="C61" s="325" t="s">
        <v>379</v>
      </c>
      <c r="D61" s="307" t="s">
        <v>380</v>
      </c>
      <c r="E61" s="308" t="s">
        <v>381</v>
      </c>
      <c r="F61" s="304">
        <v>88</v>
      </c>
      <c r="G61" s="304" t="s">
        <v>155</v>
      </c>
      <c r="H61" s="304" t="s">
        <v>23</v>
      </c>
      <c r="I61" s="309">
        <v>3</v>
      </c>
      <c r="J61" s="292">
        <v>0</v>
      </c>
      <c r="K61" s="310">
        <v>2285.71</v>
      </c>
      <c r="L61" s="292" t="e">
        <f>IF([2]!Tabla1[[#This Row],[S.V.O.]]&gt;11428.57,1200,IF([2]!Tabla1[[#This Row],[S.V.O.]]&lt;5714.29,0,[2]!Tabla1[[#This Row],[S.V.O.]]*0.1))</f>
        <v>#REF!</v>
      </c>
      <c r="M61" s="321">
        <v>0</v>
      </c>
      <c r="N61" s="292">
        <v>0</v>
      </c>
      <c r="O61" s="321">
        <v>0</v>
      </c>
      <c r="P61" s="311">
        <v>44561</v>
      </c>
      <c r="Q61" s="312" t="s">
        <v>382</v>
      </c>
      <c r="R61" s="295" t="s">
        <v>62</v>
      </c>
      <c r="S61" s="295" t="s">
        <v>62</v>
      </c>
      <c r="T61" s="313"/>
    </row>
    <row r="62" spans="1:20" ht="48" x14ac:dyDescent="0.2">
      <c r="A62" s="360">
        <v>25</v>
      </c>
      <c r="B62" s="361">
        <v>44610</v>
      </c>
      <c r="C62" s="325" t="s">
        <v>383</v>
      </c>
      <c r="D62" s="307" t="s">
        <v>384</v>
      </c>
      <c r="E62" s="308" t="s">
        <v>385</v>
      </c>
      <c r="F62" s="304">
        <v>43</v>
      </c>
      <c r="G62" s="304" t="s">
        <v>150</v>
      </c>
      <c r="H62" s="304" t="s">
        <v>20</v>
      </c>
      <c r="I62" s="309">
        <v>2</v>
      </c>
      <c r="J62" s="292">
        <v>3428.57</v>
      </c>
      <c r="K62" s="292">
        <v>0</v>
      </c>
      <c r="L62" s="292" t="e">
        <f>IF([2]!Tabla1[[#This Row],[S.V.O.]]&gt;11428.57,1200,IF([2]!Tabla1[[#This Row],[S.V.O.]]&lt;5714.29,0,[2]!Tabla1[[#This Row],[S.V.O.]]*0.1))</f>
        <v>#REF!</v>
      </c>
      <c r="M62" s="321">
        <v>0</v>
      </c>
      <c r="N62" s="292">
        <v>0</v>
      </c>
      <c r="O62" s="321">
        <v>0</v>
      </c>
      <c r="P62" s="311">
        <v>44446</v>
      </c>
      <c r="Q62" s="312" t="s">
        <v>386</v>
      </c>
      <c r="R62" s="295" t="s">
        <v>19</v>
      </c>
      <c r="S62" s="295" t="s">
        <v>19</v>
      </c>
      <c r="T62" s="313"/>
    </row>
    <row r="63" spans="1:20" ht="48" x14ac:dyDescent="0.2">
      <c r="A63" s="360">
        <v>26</v>
      </c>
      <c r="B63" s="361">
        <v>44610</v>
      </c>
      <c r="C63" s="325" t="s">
        <v>387</v>
      </c>
      <c r="D63" s="307" t="s">
        <v>388</v>
      </c>
      <c r="E63" s="308" t="s">
        <v>389</v>
      </c>
      <c r="F63" s="304">
        <v>81</v>
      </c>
      <c r="G63" s="304" t="s">
        <v>155</v>
      </c>
      <c r="H63" s="304" t="s">
        <v>23</v>
      </c>
      <c r="I63" s="309">
        <v>1</v>
      </c>
      <c r="J63" s="292">
        <v>0</v>
      </c>
      <c r="K63" s="292">
        <v>3428.57</v>
      </c>
      <c r="L63" s="292" t="e">
        <f>IF([2]!Tabla1[[#This Row],[S.V.O.]]&gt;11428.57,1200,IF([2]!Tabla1[[#This Row],[S.V.O.]]&lt;5714.29,0,[2]!Tabla1[[#This Row],[S.V.O.]]*0.1))</f>
        <v>#REF!</v>
      </c>
      <c r="M63" s="321">
        <v>0</v>
      </c>
      <c r="N63" s="292">
        <v>0</v>
      </c>
      <c r="O63" s="321">
        <v>0</v>
      </c>
      <c r="P63" s="311">
        <v>44591</v>
      </c>
      <c r="Q63" s="312" t="s">
        <v>390</v>
      </c>
      <c r="R63" s="295" t="s">
        <v>62</v>
      </c>
      <c r="S63" s="295" t="s">
        <v>19</v>
      </c>
      <c r="T63" s="313"/>
    </row>
    <row r="64" spans="1:20" ht="60" x14ac:dyDescent="0.2">
      <c r="A64" s="347">
        <v>27</v>
      </c>
      <c r="B64" s="361">
        <v>44613</v>
      </c>
      <c r="C64" s="382" t="s">
        <v>391</v>
      </c>
      <c r="D64" s="375" t="s">
        <v>392</v>
      </c>
      <c r="E64" s="376" t="s">
        <v>393</v>
      </c>
      <c r="F64" s="377">
        <v>93</v>
      </c>
      <c r="G64" s="377" t="s">
        <v>155</v>
      </c>
      <c r="H64" s="377" t="s">
        <v>23</v>
      </c>
      <c r="I64" s="378">
        <v>3</v>
      </c>
      <c r="J64" s="292">
        <v>0</v>
      </c>
      <c r="K64" s="292">
        <v>1142.8599999999999</v>
      </c>
      <c r="L64" s="292" t="e">
        <f>IF([2]!Tabla1[[#This Row],[S.V.O.]]&gt;11428.57,1200,IF([2]!Tabla1[[#This Row],[S.V.O.]]&lt;5714.29,0,[2]!Tabla1[[#This Row],[S.V.O.]]*0.1))</f>
        <v>#REF!</v>
      </c>
      <c r="M64" s="321">
        <v>0</v>
      </c>
      <c r="N64" s="292">
        <v>0</v>
      </c>
      <c r="O64" s="321">
        <v>0</v>
      </c>
      <c r="P64" s="379">
        <v>44558</v>
      </c>
      <c r="Q64" s="380" t="s">
        <v>394</v>
      </c>
      <c r="R64" s="383" t="s">
        <v>26</v>
      </c>
      <c r="S64" s="381" t="s">
        <v>60</v>
      </c>
      <c r="T64" s="313"/>
    </row>
    <row r="65" spans="1:20" ht="99" x14ac:dyDescent="0.2">
      <c r="A65" s="360">
        <v>28</v>
      </c>
      <c r="B65" s="361">
        <v>44614</v>
      </c>
      <c r="C65" s="382" t="s">
        <v>395</v>
      </c>
      <c r="D65" s="375" t="s">
        <v>396</v>
      </c>
      <c r="E65" s="376" t="s">
        <v>397</v>
      </c>
      <c r="F65" s="377">
        <v>81</v>
      </c>
      <c r="G65" s="377" t="s">
        <v>155</v>
      </c>
      <c r="H65" s="377" t="s">
        <v>23</v>
      </c>
      <c r="I65" s="378">
        <v>1</v>
      </c>
      <c r="J65" s="292">
        <v>0</v>
      </c>
      <c r="K65" s="292">
        <v>3428.57</v>
      </c>
      <c r="L65" s="292" t="e">
        <f>IF([2]!Tabla1[[#This Row],[S.V.O.]]&gt;11428.57,1200,IF([2]!Tabla1[[#This Row],[S.V.O.]]&lt;5714.29,0,[2]!Tabla1[[#This Row],[S.V.O.]]*0.1))</f>
        <v>#REF!</v>
      </c>
      <c r="M65" s="321">
        <v>0</v>
      </c>
      <c r="N65" s="292">
        <v>1142.8599999999999</v>
      </c>
      <c r="O65" s="321">
        <v>0</v>
      </c>
      <c r="P65" s="379">
        <v>44587</v>
      </c>
      <c r="Q65" s="380" t="s">
        <v>398</v>
      </c>
      <c r="R65" s="381" t="s">
        <v>60</v>
      </c>
      <c r="S65" s="381" t="s">
        <v>60</v>
      </c>
      <c r="T65" s="313"/>
    </row>
    <row r="66" spans="1:20" ht="81" x14ac:dyDescent="0.2">
      <c r="A66" s="360">
        <v>29</v>
      </c>
      <c r="B66" s="361">
        <v>44614</v>
      </c>
      <c r="C66" s="325" t="s">
        <v>399</v>
      </c>
      <c r="D66" s="307" t="s">
        <v>400</v>
      </c>
      <c r="E66" s="308" t="s">
        <v>401</v>
      </c>
      <c r="F66" s="304">
        <v>61</v>
      </c>
      <c r="G66" s="304" t="s">
        <v>150</v>
      </c>
      <c r="H66" s="304" t="s">
        <v>20</v>
      </c>
      <c r="I66" s="309">
        <v>3</v>
      </c>
      <c r="J66" s="292">
        <v>3428.57</v>
      </c>
      <c r="K66" s="292">
        <v>0</v>
      </c>
      <c r="L66" s="292" t="e">
        <f>IF([2]!Tabla1[[#This Row],[S.V.O.]]&gt;11428.57,1200,IF([2]!Tabla1[[#This Row],[S.V.O.]]&lt;5714.29,0,[2]!Tabla1[[#This Row],[S.V.O.]]*0.1))</f>
        <v>#REF!</v>
      </c>
      <c r="M66" s="321">
        <v>0</v>
      </c>
      <c r="N66" s="292">
        <v>0</v>
      </c>
      <c r="O66" s="321">
        <v>0</v>
      </c>
      <c r="P66" s="311">
        <v>44556</v>
      </c>
      <c r="Q66" s="312" t="s">
        <v>402</v>
      </c>
      <c r="R66" s="295" t="s">
        <v>60</v>
      </c>
      <c r="S66" s="295" t="s">
        <v>60</v>
      </c>
      <c r="T66" s="313"/>
    </row>
    <row r="67" spans="1:20" ht="54" x14ac:dyDescent="0.2">
      <c r="A67" s="384">
        <v>30</v>
      </c>
      <c r="B67" s="297">
        <v>44615</v>
      </c>
      <c r="C67" s="325" t="s">
        <v>403</v>
      </c>
      <c r="D67" s="385" t="s">
        <v>404</v>
      </c>
      <c r="E67" s="386" t="s">
        <v>405</v>
      </c>
      <c r="F67" s="387">
        <v>69</v>
      </c>
      <c r="G67" s="387" t="s">
        <v>150</v>
      </c>
      <c r="H67" s="387" t="s">
        <v>23</v>
      </c>
      <c r="I67" s="388">
        <v>6</v>
      </c>
      <c r="J67" s="292">
        <v>0</v>
      </c>
      <c r="K67" s="292">
        <v>5714.29</v>
      </c>
      <c r="L67" s="292" t="e">
        <f>IF([2]!Tabla1[[#This Row],[S.V.O.]]&gt;11428.57,1200,IF([2]!Tabla1[[#This Row],[S.V.O.]]&lt;5714.29,0,[2]!Tabla1[[#This Row],[S.V.O.]]*0.1))</f>
        <v>#REF!</v>
      </c>
      <c r="M67" s="292">
        <v>0</v>
      </c>
      <c r="N67" s="292">
        <v>1142.8599999999999</v>
      </c>
      <c r="O67" s="321">
        <v>0</v>
      </c>
      <c r="P67" s="389">
        <v>44562</v>
      </c>
      <c r="Q67" s="390" t="s">
        <v>406</v>
      </c>
      <c r="R67" s="391" t="s">
        <v>60</v>
      </c>
      <c r="S67" s="391" t="s">
        <v>60</v>
      </c>
      <c r="T67" s="313"/>
    </row>
    <row r="68" spans="1:20" ht="54" x14ac:dyDescent="0.2">
      <c r="A68" s="384">
        <v>31</v>
      </c>
      <c r="B68" s="297">
        <v>44615</v>
      </c>
      <c r="C68" s="325" t="s">
        <v>407</v>
      </c>
      <c r="D68" s="289" t="s">
        <v>408</v>
      </c>
      <c r="E68" s="290" t="s">
        <v>409</v>
      </c>
      <c r="F68" s="286">
        <v>54</v>
      </c>
      <c r="G68" s="286" t="s">
        <v>150</v>
      </c>
      <c r="H68" s="286" t="s">
        <v>20</v>
      </c>
      <c r="I68" s="291">
        <v>2</v>
      </c>
      <c r="J68" s="292">
        <v>3428.57</v>
      </c>
      <c r="K68" s="292">
        <v>0</v>
      </c>
      <c r="L68" s="292" t="e">
        <f>IF([2]!Tabla1[[#This Row],[S.V.O.]]&gt;11428.57,1200,IF([2]!Tabla1[[#This Row],[S.V.O.]]&lt;5714.29,0,[2]!Tabla1[[#This Row],[S.V.O.]]*0.1))</f>
        <v>#REF!</v>
      </c>
      <c r="M68" s="292">
        <v>0</v>
      </c>
      <c r="N68" s="292">
        <v>0</v>
      </c>
      <c r="O68" s="321">
        <v>0</v>
      </c>
      <c r="P68" s="293">
        <v>44563</v>
      </c>
      <c r="Q68" s="298" t="s">
        <v>410</v>
      </c>
      <c r="R68" s="295" t="s">
        <v>60</v>
      </c>
      <c r="S68" s="303" t="s">
        <v>60</v>
      </c>
      <c r="T68" s="313"/>
    </row>
    <row r="69" spans="1:20" ht="36" x14ac:dyDescent="0.2">
      <c r="A69" s="384">
        <v>32</v>
      </c>
      <c r="B69" s="297">
        <v>44616</v>
      </c>
      <c r="C69" s="325" t="s">
        <v>411</v>
      </c>
      <c r="D69" s="289" t="s">
        <v>412</v>
      </c>
      <c r="E69" s="290" t="s">
        <v>413</v>
      </c>
      <c r="F69" s="286">
        <v>66</v>
      </c>
      <c r="G69" s="286" t="s">
        <v>150</v>
      </c>
      <c r="H69" s="286" t="s">
        <v>23</v>
      </c>
      <c r="I69" s="291">
        <v>2</v>
      </c>
      <c r="J69" s="292">
        <v>0</v>
      </c>
      <c r="K69" s="292">
        <v>1142.8599999999999</v>
      </c>
      <c r="L69" s="292" t="e">
        <f>IF([2]!Tabla1[[#This Row],[S.V.O.]]&gt;11428.57,1200,IF([2]!Tabla1[[#This Row],[S.V.O.]]&lt;5714.29,0,[2]!Tabla1[[#This Row],[S.V.O.]]*0.1))</f>
        <v>#REF!</v>
      </c>
      <c r="M69" s="292">
        <v>0</v>
      </c>
      <c r="N69" s="292">
        <v>1142.8599999999999</v>
      </c>
      <c r="O69" s="321">
        <v>0</v>
      </c>
      <c r="P69" s="293">
        <v>44602</v>
      </c>
      <c r="Q69" s="298" t="s">
        <v>29</v>
      </c>
      <c r="R69" s="295" t="s">
        <v>62</v>
      </c>
      <c r="S69" s="303" t="s">
        <v>62</v>
      </c>
      <c r="T69" s="313"/>
    </row>
    <row r="70" spans="1:20" ht="63" x14ac:dyDescent="0.2">
      <c r="A70" s="384">
        <v>33</v>
      </c>
      <c r="B70" s="297">
        <v>44616</v>
      </c>
      <c r="C70" s="325" t="s">
        <v>414</v>
      </c>
      <c r="D70" s="289" t="s">
        <v>415</v>
      </c>
      <c r="E70" s="290" t="s">
        <v>416</v>
      </c>
      <c r="F70" s="286">
        <v>74</v>
      </c>
      <c r="G70" s="286" t="s">
        <v>155</v>
      </c>
      <c r="H70" s="286" t="s">
        <v>23</v>
      </c>
      <c r="I70" s="291">
        <v>3</v>
      </c>
      <c r="J70" s="292">
        <v>0</v>
      </c>
      <c r="K70" s="292">
        <v>3428.57</v>
      </c>
      <c r="L70" s="292" t="e">
        <f>IF([2]!Tabla1[[#This Row],[S.V.O.]]&gt;11428.57,1200,IF([2]!Tabla1[[#This Row],[S.V.O.]]&lt;5714.29,0,[2]!Tabla1[[#This Row],[S.V.O.]]*0.1))</f>
        <v>#REF!</v>
      </c>
      <c r="M70" s="292">
        <v>0</v>
      </c>
      <c r="N70" s="292">
        <v>0</v>
      </c>
      <c r="O70" s="321">
        <v>0</v>
      </c>
      <c r="P70" s="293">
        <v>44460</v>
      </c>
      <c r="Q70" s="298" t="s">
        <v>417</v>
      </c>
      <c r="R70" s="295" t="s">
        <v>62</v>
      </c>
      <c r="S70" s="303" t="s">
        <v>62</v>
      </c>
      <c r="T70" s="313"/>
    </row>
    <row r="71" spans="1:20" ht="54" x14ac:dyDescent="0.2">
      <c r="A71" s="384">
        <v>34</v>
      </c>
      <c r="B71" s="297">
        <v>44616</v>
      </c>
      <c r="C71" s="325" t="s">
        <v>418</v>
      </c>
      <c r="D71" s="289" t="s">
        <v>419</v>
      </c>
      <c r="E71" s="290" t="s">
        <v>420</v>
      </c>
      <c r="F71" s="286">
        <v>46</v>
      </c>
      <c r="G71" s="286" t="s">
        <v>155</v>
      </c>
      <c r="H71" s="286" t="s">
        <v>20</v>
      </c>
      <c r="I71" s="291">
        <v>2</v>
      </c>
      <c r="J71" s="292">
        <v>3428.57</v>
      </c>
      <c r="K71" s="292">
        <v>0</v>
      </c>
      <c r="L71" s="292" t="e">
        <f>IF([2]!Tabla1[[#This Row],[S.V.O.]]&gt;11428.57,1200,IF([2]!Tabla1[[#This Row],[S.V.O.]]&lt;5714.29,0,[2]!Tabla1[[#This Row],[S.V.O.]]*0.1))</f>
        <v>#REF!</v>
      </c>
      <c r="M71" s="292">
        <v>1142.8599999999999</v>
      </c>
      <c r="N71" s="292">
        <v>0</v>
      </c>
      <c r="O71" s="321">
        <v>0</v>
      </c>
      <c r="P71" s="293">
        <v>44608</v>
      </c>
      <c r="Q71" s="298" t="s">
        <v>421</v>
      </c>
      <c r="R71" s="295" t="s">
        <v>60</v>
      </c>
      <c r="S71" s="303" t="s">
        <v>64</v>
      </c>
      <c r="T71" s="313"/>
    </row>
    <row r="72" spans="1:20" ht="72" x14ac:dyDescent="0.2">
      <c r="A72" s="360">
        <v>35</v>
      </c>
      <c r="B72" s="297">
        <v>44620</v>
      </c>
      <c r="C72" s="325" t="s">
        <v>422</v>
      </c>
      <c r="D72" s="289" t="s">
        <v>423</v>
      </c>
      <c r="E72" s="290" t="s">
        <v>424</v>
      </c>
      <c r="F72" s="286">
        <v>77</v>
      </c>
      <c r="G72" s="286" t="s">
        <v>150</v>
      </c>
      <c r="H72" s="286" t="s">
        <v>24</v>
      </c>
      <c r="I72" s="291">
        <v>1</v>
      </c>
      <c r="J72" s="292">
        <v>3428.57</v>
      </c>
      <c r="K72" s="292">
        <v>0</v>
      </c>
      <c r="L72" s="292" t="e">
        <f>IF([2]!Tabla1[[#This Row],[S.V.O.]]&gt;11428.57,1200,IF([2]!Tabla1[[#This Row],[S.V.O.]]&lt;5714.29,0,[2]!Tabla1[[#This Row],[S.V.O.]]*0.1))</f>
        <v>#REF!</v>
      </c>
      <c r="M72" s="292">
        <v>0</v>
      </c>
      <c r="N72" s="292">
        <v>0</v>
      </c>
      <c r="O72" s="321">
        <v>0</v>
      </c>
      <c r="P72" s="293">
        <v>44612</v>
      </c>
      <c r="Q72" s="298" t="s">
        <v>425</v>
      </c>
      <c r="R72" s="295" t="s">
        <v>62</v>
      </c>
      <c r="S72" s="303" t="s">
        <v>62</v>
      </c>
      <c r="T72" s="313"/>
    </row>
    <row r="73" spans="1:20" ht="48" x14ac:dyDescent="0.2">
      <c r="A73" s="360">
        <v>36</v>
      </c>
      <c r="B73" s="297">
        <v>44620</v>
      </c>
      <c r="C73" s="325" t="s">
        <v>426</v>
      </c>
      <c r="D73" s="289" t="s">
        <v>427</v>
      </c>
      <c r="E73" s="290" t="s">
        <v>428</v>
      </c>
      <c r="F73" s="286">
        <v>45</v>
      </c>
      <c r="G73" s="286" t="s">
        <v>155</v>
      </c>
      <c r="H73" s="286" t="s">
        <v>20</v>
      </c>
      <c r="I73" s="291">
        <v>4</v>
      </c>
      <c r="J73" s="292">
        <v>3428.57</v>
      </c>
      <c r="K73" s="292">
        <v>3428.57</v>
      </c>
      <c r="L73" s="292" t="e">
        <f>IF([2]!Tabla1[[#This Row],[S.V.O.]]&gt;11428.57,1200,IF([2]!Tabla1[[#This Row],[S.V.O.]]&lt;5714.29,0,[2]!Tabla1[[#This Row],[S.V.O.]]*0.1))</f>
        <v>#REF!</v>
      </c>
      <c r="M73" s="292">
        <v>0</v>
      </c>
      <c r="N73" s="292">
        <v>0</v>
      </c>
      <c r="O73" s="321">
        <v>0</v>
      </c>
      <c r="P73" s="293">
        <v>44588</v>
      </c>
      <c r="Q73" s="298" t="s">
        <v>429</v>
      </c>
      <c r="R73" s="295" t="s">
        <v>62</v>
      </c>
      <c r="S73" s="303" t="s">
        <v>62</v>
      </c>
      <c r="T73" s="313"/>
    </row>
    <row r="74" spans="1:20" ht="48" x14ac:dyDescent="0.2">
      <c r="A74" s="360">
        <v>37</v>
      </c>
      <c r="B74" s="297">
        <v>44620</v>
      </c>
      <c r="C74" s="325" t="s">
        <v>430</v>
      </c>
      <c r="D74" s="392" t="s">
        <v>431</v>
      </c>
      <c r="E74" s="393" t="s">
        <v>432</v>
      </c>
      <c r="F74" s="394">
        <v>68</v>
      </c>
      <c r="G74" s="394" t="s">
        <v>150</v>
      </c>
      <c r="H74" s="394" t="s">
        <v>24</v>
      </c>
      <c r="I74" s="395">
        <v>3</v>
      </c>
      <c r="J74" s="365">
        <v>0</v>
      </c>
      <c r="K74" s="365">
        <v>5714.29</v>
      </c>
      <c r="L74" s="365" t="e">
        <f>IF([3]!Tabla1[[#This Row],[S.V.O.]]&gt;11428.57,1200,IF([3]!Tabla1[[#This Row],[S.V.O.]]&lt;5714.29,0,[3]!Tabla1[[#This Row],[S.V.O.]]*0.1))</f>
        <v>#REF!</v>
      </c>
      <c r="M74" s="365">
        <v>0</v>
      </c>
      <c r="N74" s="365">
        <v>1142.8599999999999</v>
      </c>
      <c r="O74" s="365">
        <v>0</v>
      </c>
      <c r="P74" s="396">
        <v>44597</v>
      </c>
      <c r="Q74" s="397" t="s">
        <v>433</v>
      </c>
      <c r="R74" s="398" t="s">
        <v>60</v>
      </c>
      <c r="S74" s="303" t="s">
        <v>60</v>
      </c>
      <c r="T74" s="313"/>
    </row>
    <row r="75" spans="1:20" ht="45" x14ac:dyDescent="0.2">
      <c r="A75" s="360">
        <v>38</v>
      </c>
      <c r="B75" s="297">
        <v>44620</v>
      </c>
      <c r="C75" s="325" t="s">
        <v>434</v>
      </c>
      <c r="D75" s="385" t="s">
        <v>435</v>
      </c>
      <c r="E75" s="386" t="s">
        <v>436</v>
      </c>
      <c r="F75" s="399">
        <v>52</v>
      </c>
      <c r="G75" s="399" t="s">
        <v>150</v>
      </c>
      <c r="H75" s="399" t="s">
        <v>20</v>
      </c>
      <c r="I75" s="400">
        <v>2</v>
      </c>
      <c r="J75" s="292">
        <v>3428.57</v>
      </c>
      <c r="K75" s="292">
        <v>3428.57</v>
      </c>
      <c r="L75" s="292" t="e">
        <f>IF([2]!Tabla1[[#This Row],[S.V.O.]]&gt;11428.57,1200,IF([2]!Tabla1[[#This Row],[S.V.O.]]&lt;5714.29,0,[2]!Tabla1[[#This Row],[S.V.O.]]*0.1))</f>
        <v>#REF!</v>
      </c>
      <c r="M75" s="292">
        <v>0</v>
      </c>
      <c r="N75" s="292">
        <v>1142.8599999999999</v>
      </c>
      <c r="O75" s="321">
        <v>0</v>
      </c>
      <c r="P75" s="389">
        <v>44587</v>
      </c>
      <c r="Q75" s="390" t="s">
        <v>437</v>
      </c>
      <c r="R75" s="391" t="s">
        <v>60</v>
      </c>
      <c r="S75" s="391" t="s">
        <v>60</v>
      </c>
      <c r="T75" s="313"/>
    </row>
    <row r="76" spans="1:20" ht="48.75" thickBot="1" x14ac:dyDescent="0.25">
      <c r="A76" s="401">
        <v>39</v>
      </c>
      <c r="B76" s="402">
        <v>44620</v>
      </c>
      <c r="C76" s="403" t="s">
        <v>438</v>
      </c>
      <c r="D76" s="404" t="s">
        <v>439</v>
      </c>
      <c r="E76" s="405" t="s">
        <v>440</v>
      </c>
      <c r="F76" s="406">
        <v>81</v>
      </c>
      <c r="G76" s="406" t="s">
        <v>155</v>
      </c>
      <c r="H76" s="406" t="s">
        <v>23</v>
      </c>
      <c r="I76" s="407">
        <v>2</v>
      </c>
      <c r="J76" s="408">
        <v>0</v>
      </c>
      <c r="K76" s="409">
        <v>3428.57</v>
      </c>
      <c r="L76" s="342" t="e">
        <f>IF([2]!Tabla1[[#This Row],[S.V.O.]]&gt;11428.57,1200,IF([2]!Tabla1[[#This Row],[S.V.O.]]&lt;5714.29,0,[2]!Tabla1[[#This Row],[S.V.O.]]*0.1))</f>
        <v>#REF!</v>
      </c>
      <c r="M76" s="409">
        <v>0</v>
      </c>
      <c r="N76" s="408">
        <v>0</v>
      </c>
      <c r="O76" s="408">
        <v>0</v>
      </c>
      <c r="P76" s="410">
        <v>44594</v>
      </c>
      <c r="Q76" s="411" t="s">
        <v>441</v>
      </c>
      <c r="R76" s="412" t="s">
        <v>173</v>
      </c>
      <c r="S76" s="413" t="s">
        <v>60</v>
      </c>
      <c r="T76" s="313"/>
    </row>
    <row r="77" spans="1:20" ht="36.75" thickTop="1" x14ac:dyDescent="0.2">
      <c r="A77" s="414">
        <v>1</v>
      </c>
      <c r="B77" s="415">
        <v>44621</v>
      </c>
      <c r="C77" s="416" t="s">
        <v>442</v>
      </c>
      <c r="D77" s="417" t="s">
        <v>443</v>
      </c>
      <c r="E77" s="418" t="s">
        <v>444</v>
      </c>
      <c r="F77" s="419">
        <v>97</v>
      </c>
      <c r="G77" s="420" t="s">
        <v>155</v>
      </c>
      <c r="H77" s="420" t="s">
        <v>23</v>
      </c>
      <c r="I77" s="421">
        <v>3</v>
      </c>
      <c r="J77" s="354">
        <v>0</v>
      </c>
      <c r="K77" s="354">
        <v>1142.8599999999999</v>
      </c>
      <c r="L77" s="354" t="e">
        <f>IF([2]!Tabla1[[#This Row],[S.V.O.]]&gt;11428.57,1200,IF([2]!Tabla1[[#This Row],[S.V.O.]]&lt;5714.29,0,[2]!Tabla1[[#This Row],[S.V.O.]]*0.1))</f>
        <v>#REF!</v>
      </c>
      <c r="M77" s="354">
        <v>0</v>
      </c>
      <c r="N77" s="354">
        <v>0</v>
      </c>
      <c r="O77" s="365">
        <v>0</v>
      </c>
      <c r="P77" s="422">
        <v>44582</v>
      </c>
      <c r="Q77" s="423" t="s">
        <v>172</v>
      </c>
      <c r="R77" s="424" t="s">
        <v>60</v>
      </c>
      <c r="S77" s="425" t="s">
        <v>60</v>
      </c>
      <c r="T77" s="313"/>
    </row>
    <row r="78" spans="1:20" ht="48" x14ac:dyDescent="0.2">
      <c r="A78" s="426">
        <v>2</v>
      </c>
      <c r="B78" s="297">
        <v>44622</v>
      </c>
      <c r="C78" s="325" t="s">
        <v>445</v>
      </c>
      <c r="D78" s="427" t="s">
        <v>446</v>
      </c>
      <c r="E78" s="290" t="s">
        <v>447</v>
      </c>
      <c r="F78" s="394">
        <v>75</v>
      </c>
      <c r="G78" s="286" t="s">
        <v>150</v>
      </c>
      <c r="H78" s="286" t="s">
        <v>23</v>
      </c>
      <c r="I78" s="291">
        <v>1</v>
      </c>
      <c r="J78" s="292">
        <v>0</v>
      </c>
      <c r="K78" s="292">
        <v>2285.71</v>
      </c>
      <c r="L78" s="292" t="e">
        <f>IF([2]!Tabla1[[#This Row],[S.V.O.]]&gt;11428.57,1200,IF([2]!Tabla1[[#This Row],[S.V.O.]]&lt;5714.29,0,[2]!Tabla1[[#This Row],[S.V.O.]]*0.1))</f>
        <v>#REF!</v>
      </c>
      <c r="M78" s="292">
        <v>0</v>
      </c>
      <c r="N78" s="292">
        <v>0</v>
      </c>
      <c r="O78" s="321">
        <v>0</v>
      </c>
      <c r="P78" s="389">
        <v>44588</v>
      </c>
      <c r="Q78" s="390" t="s">
        <v>448</v>
      </c>
      <c r="R78" s="370" t="s">
        <v>60</v>
      </c>
      <c r="S78" s="428" t="s">
        <v>60</v>
      </c>
      <c r="T78" s="313"/>
    </row>
    <row r="79" spans="1:20" ht="54" x14ac:dyDescent="0.2">
      <c r="A79" s="426">
        <v>3</v>
      </c>
      <c r="B79" s="297">
        <v>44622</v>
      </c>
      <c r="C79" s="325" t="s">
        <v>449</v>
      </c>
      <c r="D79" s="427" t="s">
        <v>450</v>
      </c>
      <c r="E79" s="429" t="s">
        <v>451</v>
      </c>
      <c r="F79" s="394">
        <v>67</v>
      </c>
      <c r="G79" s="286" t="s">
        <v>150</v>
      </c>
      <c r="H79" s="286" t="s">
        <v>20</v>
      </c>
      <c r="I79" s="291">
        <v>1</v>
      </c>
      <c r="J79" s="292">
        <v>3428.57</v>
      </c>
      <c r="K79" s="292">
        <v>5714.29</v>
      </c>
      <c r="L79" s="292" t="e">
        <f>IF([2]!Tabla1[[#This Row],[S.V.O.]]&gt;11428.57,1200,IF([2]!Tabla1[[#This Row],[S.V.O.]]&lt;5714.29,0,[2]!Tabla1[[#This Row],[S.V.O.]]*0.1))</f>
        <v>#REF!</v>
      </c>
      <c r="M79" s="292">
        <v>0</v>
      </c>
      <c r="N79" s="292">
        <v>0</v>
      </c>
      <c r="O79" s="321">
        <v>0</v>
      </c>
      <c r="P79" s="396">
        <v>44604</v>
      </c>
      <c r="Q79" s="397" t="s">
        <v>452</v>
      </c>
      <c r="R79" s="370" t="s">
        <v>60</v>
      </c>
      <c r="S79" s="428" t="s">
        <v>22</v>
      </c>
      <c r="T79" s="313"/>
    </row>
    <row r="80" spans="1:20" ht="54" x14ac:dyDescent="0.2">
      <c r="A80" s="426">
        <v>4</v>
      </c>
      <c r="B80" s="297">
        <v>44622</v>
      </c>
      <c r="C80" s="325" t="s">
        <v>453</v>
      </c>
      <c r="D80" s="427" t="s">
        <v>454</v>
      </c>
      <c r="E80" s="290" t="s">
        <v>455</v>
      </c>
      <c r="F80" s="394">
        <v>84</v>
      </c>
      <c r="G80" s="286" t="s">
        <v>155</v>
      </c>
      <c r="H80" s="286" t="s">
        <v>23</v>
      </c>
      <c r="I80" s="291">
        <v>2</v>
      </c>
      <c r="J80" s="292">
        <v>0</v>
      </c>
      <c r="K80" s="292">
        <v>2285.71</v>
      </c>
      <c r="L80" s="292" t="e">
        <f>IF([2]!Tabla1[[#This Row],[S.V.O.]]&gt;11428.57,1200,IF([2]!Tabla1[[#This Row],[S.V.O.]]&lt;5714.29,0,[2]!Tabla1[[#This Row],[S.V.O.]]*0.1))</f>
        <v>#REF!</v>
      </c>
      <c r="M80" s="292">
        <v>0</v>
      </c>
      <c r="N80" s="292">
        <v>0</v>
      </c>
      <c r="O80" s="321">
        <v>0</v>
      </c>
      <c r="P80" s="396">
        <v>44560</v>
      </c>
      <c r="Q80" s="397" t="s">
        <v>456</v>
      </c>
      <c r="R80" s="370" t="s">
        <v>60</v>
      </c>
      <c r="S80" s="428" t="s">
        <v>60</v>
      </c>
      <c r="T80" s="313"/>
    </row>
    <row r="81" spans="1:20" ht="90" x14ac:dyDescent="0.2">
      <c r="A81" s="426">
        <v>5</v>
      </c>
      <c r="B81" s="297">
        <v>44624</v>
      </c>
      <c r="C81" s="325" t="s">
        <v>457</v>
      </c>
      <c r="D81" s="289" t="s">
        <v>458</v>
      </c>
      <c r="E81" s="290" t="s">
        <v>459</v>
      </c>
      <c r="F81" s="286">
        <v>78</v>
      </c>
      <c r="G81" s="286" t="s">
        <v>155</v>
      </c>
      <c r="H81" s="286" t="s">
        <v>23</v>
      </c>
      <c r="I81" s="291">
        <v>3</v>
      </c>
      <c r="J81" s="292">
        <v>0</v>
      </c>
      <c r="K81" s="292">
        <v>3428.57</v>
      </c>
      <c r="L81" s="292" t="e">
        <f>IF([2]!Tabla1[[#This Row],[S.V.O.]]&gt;11428.57,1200,IF([2]!Tabla1[[#This Row],[S.V.O.]]&lt;5714.29,0,[2]!Tabla1[[#This Row],[S.V.O.]]*0.1))</f>
        <v>#REF!</v>
      </c>
      <c r="M81" s="292">
        <v>0</v>
      </c>
      <c r="N81" s="292">
        <v>0</v>
      </c>
      <c r="O81" s="321">
        <v>0</v>
      </c>
      <c r="P81" s="293">
        <v>44603</v>
      </c>
      <c r="Q81" s="298" t="s">
        <v>460</v>
      </c>
      <c r="R81" s="295" t="s">
        <v>60</v>
      </c>
      <c r="S81" s="303" t="s">
        <v>60</v>
      </c>
      <c r="T81" s="313"/>
    </row>
    <row r="82" spans="1:20" ht="72" x14ac:dyDescent="0.2">
      <c r="A82" s="426">
        <v>6</v>
      </c>
      <c r="B82" s="297">
        <v>44624</v>
      </c>
      <c r="C82" s="325" t="s">
        <v>461</v>
      </c>
      <c r="D82" s="427" t="s">
        <v>462</v>
      </c>
      <c r="E82" s="290" t="s">
        <v>463</v>
      </c>
      <c r="F82" s="394">
        <v>89</v>
      </c>
      <c r="G82" s="286" t="s">
        <v>150</v>
      </c>
      <c r="H82" s="286" t="s">
        <v>23</v>
      </c>
      <c r="I82" s="291">
        <v>2</v>
      </c>
      <c r="J82" s="292">
        <v>0</v>
      </c>
      <c r="K82" s="292">
        <v>3428.57</v>
      </c>
      <c r="L82" s="292" t="e">
        <f>IF([2]!Tabla1[[#This Row],[S.V.O.]]&gt;11428.57,1200,IF([2]!Tabla1[[#This Row],[S.V.O.]]&lt;5714.29,0,[2]!Tabla1[[#This Row],[S.V.O.]]*0.1))</f>
        <v>#REF!</v>
      </c>
      <c r="M82" s="292">
        <v>0</v>
      </c>
      <c r="N82" s="292">
        <v>0</v>
      </c>
      <c r="O82" s="321">
        <v>0</v>
      </c>
      <c r="P82" s="396">
        <v>44598</v>
      </c>
      <c r="Q82" s="397" t="s">
        <v>464</v>
      </c>
      <c r="R82" s="370" t="s">
        <v>60</v>
      </c>
      <c r="S82" s="428" t="s">
        <v>60</v>
      </c>
      <c r="T82" s="313"/>
    </row>
    <row r="83" spans="1:20" ht="54" x14ac:dyDescent="0.2">
      <c r="A83" s="426">
        <v>7</v>
      </c>
      <c r="B83" s="297">
        <v>44628</v>
      </c>
      <c r="C83" s="325" t="s">
        <v>465</v>
      </c>
      <c r="D83" s="427" t="s">
        <v>466</v>
      </c>
      <c r="E83" s="290" t="s">
        <v>467</v>
      </c>
      <c r="F83" s="394">
        <v>70</v>
      </c>
      <c r="G83" s="286" t="s">
        <v>150</v>
      </c>
      <c r="H83" s="286" t="s">
        <v>23</v>
      </c>
      <c r="I83" s="291">
        <v>2</v>
      </c>
      <c r="J83" s="292">
        <v>0</v>
      </c>
      <c r="K83" s="292">
        <v>2285.71</v>
      </c>
      <c r="L83" s="292" t="e">
        <f>IF([2]!Tabla1[[#This Row],[S.V.O.]]&gt;11428.57,1200,IF([2]!Tabla1[[#This Row],[S.V.O.]]&lt;5714.29,0,[2]!Tabla1[[#This Row],[S.V.O.]]*0.1))</f>
        <v>#REF!</v>
      </c>
      <c r="M83" s="292">
        <v>0</v>
      </c>
      <c r="N83" s="292">
        <v>0</v>
      </c>
      <c r="O83" s="321">
        <v>0</v>
      </c>
      <c r="P83" s="396">
        <v>44605</v>
      </c>
      <c r="Q83" s="397" t="s">
        <v>468</v>
      </c>
      <c r="R83" s="370" t="s">
        <v>60</v>
      </c>
      <c r="S83" s="428" t="s">
        <v>60</v>
      </c>
      <c r="T83" s="313"/>
    </row>
    <row r="84" spans="1:20" ht="54" x14ac:dyDescent="0.2">
      <c r="A84" s="426">
        <v>8</v>
      </c>
      <c r="B84" s="297">
        <v>44628</v>
      </c>
      <c r="C84" s="325" t="s">
        <v>469</v>
      </c>
      <c r="D84" s="427" t="s">
        <v>470</v>
      </c>
      <c r="E84" s="290" t="s">
        <v>471</v>
      </c>
      <c r="F84" s="394">
        <v>65</v>
      </c>
      <c r="G84" s="286" t="s">
        <v>150</v>
      </c>
      <c r="H84" s="430" t="s">
        <v>23</v>
      </c>
      <c r="I84" s="291">
        <v>5</v>
      </c>
      <c r="J84" s="292">
        <v>0</v>
      </c>
      <c r="K84" s="292">
        <v>11428.57</v>
      </c>
      <c r="L84" s="292" t="e">
        <f>IF([2]!Tabla1[[#This Row],[S.V.O.]]&gt;11428.57,1200,IF([2]!Tabla1[[#This Row],[S.V.O.]]&lt;5714.29,0,[2]!Tabla1[[#This Row],[S.V.O.]]*0.1))</f>
        <v>#REF!</v>
      </c>
      <c r="M84" s="292">
        <v>0</v>
      </c>
      <c r="N84" s="292">
        <v>1142.8599999999999</v>
      </c>
      <c r="O84" s="321">
        <v>0</v>
      </c>
      <c r="P84" s="396">
        <v>44604</v>
      </c>
      <c r="Q84" s="397" t="s">
        <v>472</v>
      </c>
      <c r="R84" s="370" t="s">
        <v>64</v>
      </c>
      <c r="S84" s="428" t="s">
        <v>60</v>
      </c>
      <c r="T84" s="313"/>
    </row>
    <row r="85" spans="1:20" ht="48" x14ac:dyDescent="0.2">
      <c r="A85" s="426">
        <v>9</v>
      </c>
      <c r="B85" s="297">
        <v>44630</v>
      </c>
      <c r="C85" s="325" t="s">
        <v>473</v>
      </c>
      <c r="D85" s="427" t="s">
        <v>474</v>
      </c>
      <c r="E85" s="290" t="s">
        <v>475</v>
      </c>
      <c r="F85" s="394">
        <v>89</v>
      </c>
      <c r="G85" s="286" t="s">
        <v>155</v>
      </c>
      <c r="H85" s="286" t="s">
        <v>23</v>
      </c>
      <c r="I85" s="291">
        <v>4</v>
      </c>
      <c r="J85" s="292">
        <v>0</v>
      </c>
      <c r="K85" s="292">
        <v>3428.57</v>
      </c>
      <c r="L85" s="292" t="e">
        <f>IF([2]!Tabla1[[#This Row],[S.V.O.]]&gt;11428.57,1200,IF([2]!Tabla1[[#This Row],[S.V.O.]]&lt;5714.29,0,[2]!Tabla1[[#This Row],[S.V.O.]]*0.1))</f>
        <v>#REF!</v>
      </c>
      <c r="M85" s="292">
        <v>0</v>
      </c>
      <c r="N85" s="292">
        <v>0</v>
      </c>
      <c r="O85" s="321">
        <v>0</v>
      </c>
      <c r="P85" s="389">
        <v>44510</v>
      </c>
      <c r="Q85" s="390" t="s">
        <v>109</v>
      </c>
      <c r="R85" s="370" t="s">
        <v>64</v>
      </c>
      <c r="S85" s="428" t="s">
        <v>60</v>
      </c>
      <c r="T85" s="313"/>
    </row>
    <row r="86" spans="1:20" ht="72" x14ac:dyDescent="0.2">
      <c r="A86" s="426">
        <v>10</v>
      </c>
      <c r="B86" s="297">
        <v>44635</v>
      </c>
      <c r="C86" s="325" t="s">
        <v>476</v>
      </c>
      <c r="D86" s="289" t="s">
        <v>477</v>
      </c>
      <c r="E86" s="393" t="s">
        <v>478</v>
      </c>
      <c r="F86" s="286">
        <v>63</v>
      </c>
      <c r="G86" s="286" t="s">
        <v>479</v>
      </c>
      <c r="H86" s="286" t="s">
        <v>20</v>
      </c>
      <c r="I86" s="291">
        <v>1</v>
      </c>
      <c r="J86" s="292">
        <v>3428.57</v>
      </c>
      <c r="K86" s="292">
        <v>11428.57</v>
      </c>
      <c r="L86" s="292" t="e">
        <f>IF([2]!Tabla1[[#This Row],[S.V.O.]]&gt;11428.57,1200,IF([2]!Tabla1[[#This Row],[S.V.O.]]&lt;5714.29,0,[2]!Tabla1[[#This Row],[S.V.O.]]*0.1))</f>
        <v>#REF!</v>
      </c>
      <c r="M86" s="292">
        <v>0</v>
      </c>
      <c r="N86" s="292">
        <v>0</v>
      </c>
      <c r="O86" s="321">
        <v>0</v>
      </c>
      <c r="P86" s="293">
        <v>44581</v>
      </c>
      <c r="Q86" s="298" t="s">
        <v>480</v>
      </c>
      <c r="R86" s="370" t="s">
        <v>62</v>
      </c>
      <c r="S86" s="428" t="s">
        <v>62</v>
      </c>
      <c r="T86" s="313"/>
    </row>
    <row r="87" spans="1:20" ht="36" x14ac:dyDescent="0.2">
      <c r="A87" s="426">
        <v>11</v>
      </c>
      <c r="B87" s="297">
        <v>44636</v>
      </c>
      <c r="C87" s="325" t="s">
        <v>481</v>
      </c>
      <c r="D87" s="289" t="s">
        <v>482</v>
      </c>
      <c r="E87" s="290" t="s">
        <v>483</v>
      </c>
      <c r="F87" s="286">
        <v>95</v>
      </c>
      <c r="G87" s="286" t="s">
        <v>150</v>
      </c>
      <c r="H87" s="286" t="s">
        <v>23</v>
      </c>
      <c r="I87" s="291">
        <v>1</v>
      </c>
      <c r="J87" s="292">
        <v>0</v>
      </c>
      <c r="K87" s="292">
        <v>1142.8599999999999</v>
      </c>
      <c r="L87" s="316" t="e">
        <f>IF([2]!Tabla1[[#This Row],[S.V.O.]]&gt;11428.57,1200,IF([2]!Tabla1[[#This Row],[S.V.O.]]&lt;5714.29,0,[2]!Tabla1[[#This Row],[S.V.O.]]*0.1))</f>
        <v>#REF!</v>
      </c>
      <c r="M87" s="292">
        <v>0</v>
      </c>
      <c r="N87" s="292">
        <v>0</v>
      </c>
      <c r="O87" s="292">
        <v>0</v>
      </c>
      <c r="P87" s="293">
        <v>44605</v>
      </c>
      <c r="Q87" s="298" t="s">
        <v>172</v>
      </c>
      <c r="R87" s="295" t="s">
        <v>62</v>
      </c>
      <c r="S87" s="303" t="s">
        <v>62</v>
      </c>
      <c r="T87" s="313"/>
    </row>
    <row r="88" spans="1:20" ht="36" x14ac:dyDescent="0.2">
      <c r="A88" s="426">
        <v>12</v>
      </c>
      <c r="B88" s="297">
        <v>44636</v>
      </c>
      <c r="C88" s="325" t="s">
        <v>484</v>
      </c>
      <c r="D88" s="427" t="s">
        <v>485</v>
      </c>
      <c r="E88" s="290" t="s">
        <v>486</v>
      </c>
      <c r="F88" s="394">
        <v>84</v>
      </c>
      <c r="G88" s="286" t="s">
        <v>155</v>
      </c>
      <c r="H88" s="286" t="s">
        <v>23</v>
      </c>
      <c r="I88" s="291">
        <v>3</v>
      </c>
      <c r="J88" s="292">
        <v>0</v>
      </c>
      <c r="K88" s="292">
        <v>2285.71</v>
      </c>
      <c r="L88" s="316" t="e">
        <f>IF([2]!Tabla1[[#This Row],[S.V.O.]]&gt;11428.57,1200,IF([2]!Tabla1[[#This Row],[S.V.O.]]&lt;5714.29,0,[2]!Tabla1[[#This Row],[S.V.O.]]*0.1))</f>
        <v>#REF!</v>
      </c>
      <c r="M88" s="292">
        <v>0</v>
      </c>
      <c r="N88" s="292">
        <v>0</v>
      </c>
      <c r="O88" s="292">
        <v>0</v>
      </c>
      <c r="P88" s="389">
        <v>44016</v>
      </c>
      <c r="Q88" s="390" t="s">
        <v>487</v>
      </c>
      <c r="R88" s="370" t="s">
        <v>60</v>
      </c>
      <c r="S88" s="428" t="s">
        <v>60</v>
      </c>
      <c r="T88" s="313"/>
    </row>
    <row r="89" spans="1:20" ht="54" x14ac:dyDescent="0.2">
      <c r="A89" s="426">
        <v>13</v>
      </c>
      <c r="B89" s="297">
        <v>44636</v>
      </c>
      <c r="C89" s="325" t="s">
        <v>488</v>
      </c>
      <c r="D89" s="427" t="s">
        <v>489</v>
      </c>
      <c r="E89" s="290" t="s">
        <v>490</v>
      </c>
      <c r="F89" s="394">
        <v>54</v>
      </c>
      <c r="G89" s="286" t="s">
        <v>155</v>
      </c>
      <c r="H89" s="286" t="s">
        <v>20</v>
      </c>
      <c r="I89" s="291">
        <v>4</v>
      </c>
      <c r="J89" s="292">
        <v>3428.57</v>
      </c>
      <c r="K89" s="292">
        <v>0</v>
      </c>
      <c r="L89" s="292" t="e">
        <f>IF([2]!Tabla1[[#This Row],[S.V.O.]]&gt;11428.57,1200,IF([2]!Tabla1[[#This Row],[S.V.O.]]&lt;5714.29,0,[2]!Tabla1[[#This Row],[S.V.O.]]*0.1))</f>
        <v>#REF!</v>
      </c>
      <c r="M89" s="292">
        <v>0</v>
      </c>
      <c r="N89" s="292">
        <v>0</v>
      </c>
      <c r="O89" s="321">
        <v>0</v>
      </c>
      <c r="P89" s="389">
        <v>44507</v>
      </c>
      <c r="Q89" s="390" t="s">
        <v>491</v>
      </c>
      <c r="R89" s="370" t="s">
        <v>60</v>
      </c>
      <c r="S89" s="428" t="s">
        <v>60</v>
      </c>
      <c r="T89" s="313"/>
    </row>
    <row r="90" spans="1:20" ht="36" x14ac:dyDescent="0.2">
      <c r="A90" s="426">
        <v>14</v>
      </c>
      <c r="B90" s="297">
        <v>44636</v>
      </c>
      <c r="C90" s="325" t="s">
        <v>492</v>
      </c>
      <c r="D90" s="289" t="s">
        <v>493</v>
      </c>
      <c r="E90" s="290" t="s">
        <v>494</v>
      </c>
      <c r="F90" s="286">
        <v>90</v>
      </c>
      <c r="G90" s="286" t="s">
        <v>155</v>
      </c>
      <c r="H90" s="286" t="s">
        <v>23</v>
      </c>
      <c r="I90" s="291">
        <v>4</v>
      </c>
      <c r="J90" s="292">
        <v>0</v>
      </c>
      <c r="K90" s="292">
        <v>3428.57</v>
      </c>
      <c r="L90" s="292" t="e">
        <f>IF([2]!Tabla1[[#This Row],[S.V.O.]]&gt;11428.57,1200,IF([2]!Tabla1[[#This Row],[S.V.O.]]&lt;5714.29,0,[2]!Tabla1[[#This Row],[S.V.O.]]*0.1))</f>
        <v>#REF!</v>
      </c>
      <c r="M90" s="292">
        <v>0</v>
      </c>
      <c r="N90" s="292">
        <v>1142.8599999999999</v>
      </c>
      <c r="O90" s="321">
        <v>0</v>
      </c>
      <c r="P90" s="293">
        <v>44611</v>
      </c>
      <c r="Q90" s="298" t="s">
        <v>495</v>
      </c>
      <c r="R90" s="295" t="s">
        <v>28</v>
      </c>
      <c r="S90" s="303" t="s">
        <v>28</v>
      </c>
      <c r="T90" s="313"/>
    </row>
    <row r="91" spans="1:20" ht="48" x14ac:dyDescent="0.2">
      <c r="A91" s="426">
        <v>15</v>
      </c>
      <c r="B91" s="297">
        <v>44637</v>
      </c>
      <c r="C91" s="325" t="s">
        <v>496</v>
      </c>
      <c r="D91" s="289" t="s">
        <v>497</v>
      </c>
      <c r="E91" s="290" t="s">
        <v>498</v>
      </c>
      <c r="F91" s="286">
        <v>85</v>
      </c>
      <c r="G91" s="286" t="s">
        <v>150</v>
      </c>
      <c r="H91" s="286" t="s">
        <v>23</v>
      </c>
      <c r="I91" s="291">
        <v>8</v>
      </c>
      <c r="J91" s="292">
        <v>0</v>
      </c>
      <c r="K91" s="292">
        <v>3428.57</v>
      </c>
      <c r="L91" s="292" t="e">
        <f>IF([2]!Tabla1[[#This Row],[S.V.O.]]&gt;11428.57,1200,IF([2]!Tabla1[[#This Row],[S.V.O.]]&lt;5714.29,0,[2]!Tabla1[[#This Row],[S.V.O.]]*0.1))</f>
        <v>#REF!</v>
      </c>
      <c r="M91" s="292">
        <v>0</v>
      </c>
      <c r="N91" s="292">
        <v>1142.8599999999999</v>
      </c>
      <c r="O91" s="321">
        <v>0</v>
      </c>
      <c r="P91" s="293">
        <v>44561</v>
      </c>
      <c r="Q91" s="298" t="s">
        <v>499</v>
      </c>
      <c r="R91" s="295" t="s">
        <v>28</v>
      </c>
      <c r="S91" s="303" t="s">
        <v>28</v>
      </c>
      <c r="T91" s="313"/>
    </row>
    <row r="92" spans="1:20" ht="72" x14ac:dyDescent="0.2">
      <c r="A92" s="426">
        <v>16</v>
      </c>
      <c r="B92" s="297">
        <v>44637</v>
      </c>
      <c r="C92" s="325" t="s">
        <v>500</v>
      </c>
      <c r="D92" s="289" t="s">
        <v>501</v>
      </c>
      <c r="E92" s="290" t="s">
        <v>502</v>
      </c>
      <c r="F92" s="286">
        <v>87</v>
      </c>
      <c r="G92" s="286" t="s">
        <v>155</v>
      </c>
      <c r="H92" s="286" t="s">
        <v>23</v>
      </c>
      <c r="I92" s="291">
        <v>1</v>
      </c>
      <c r="J92" s="292">
        <v>0</v>
      </c>
      <c r="K92" s="292">
        <v>2285.71</v>
      </c>
      <c r="L92" s="292" t="e">
        <f>IF([2]!Tabla1[[#This Row],[S.V.O.]]&gt;11428.57,1200,IF([2]!Tabla1[[#This Row],[S.V.O.]]&lt;5714.29,0,[2]!Tabla1[[#This Row],[S.V.O.]]*0.1))</f>
        <v>#REF!</v>
      </c>
      <c r="M92" s="292">
        <v>0</v>
      </c>
      <c r="N92" s="292">
        <v>1142.8599999999999</v>
      </c>
      <c r="O92" s="321">
        <v>0</v>
      </c>
      <c r="P92" s="293">
        <v>44580</v>
      </c>
      <c r="Q92" s="298" t="s">
        <v>503</v>
      </c>
      <c r="R92" s="370" t="s">
        <v>60</v>
      </c>
      <c r="S92" s="428" t="s">
        <v>60</v>
      </c>
      <c r="T92" s="313"/>
    </row>
    <row r="93" spans="1:20" ht="81" x14ac:dyDescent="0.2">
      <c r="A93" s="426">
        <v>17</v>
      </c>
      <c r="B93" s="297">
        <v>44637</v>
      </c>
      <c r="C93" s="325" t="s">
        <v>504</v>
      </c>
      <c r="D93" s="427" t="s">
        <v>505</v>
      </c>
      <c r="E93" s="290" t="s">
        <v>506</v>
      </c>
      <c r="F93" s="394">
        <v>81</v>
      </c>
      <c r="G93" s="286" t="s">
        <v>150</v>
      </c>
      <c r="H93" s="286" t="s">
        <v>23</v>
      </c>
      <c r="I93" s="291">
        <v>1</v>
      </c>
      <c r="J93" s="292">
        <v>0</v>
      </c>
      <c r="K93" s="292">
        <v>3428.57</v>
      </c>
      <c r="L93" s="292" t="e">
        <f>IF([2]!Tabla1[[#This Row],[S.V.O.]]&gt;11428.57,1200,IF([2]!Tabla1[[#This Row],[S.V.O.]]&lt;5714.29,0,[2]!Tabla1[[#This Row],[S.V.O.]]*0.1))</f>
        <v>#REF!</v>
      </c>
      <c r="M93" s="292">
        <v>0</v>
      </c>
      <c r="N93" s="292">
        <v>0</v>
      </c>
      <c r="O93" s="321">
        <v>0</v>
      </c>
      <c r="P93" s="396">
        <v>44627</v>
      </c>
      <c r="Q93" s="397" t="s">
        <v>507</v>
      </c>
      <c r="R93" s="370" t="s">
        <v>28</v>
      </c>
      <c r="S93" s="428" t="s">
        <v>28</v>
      </c>
      <c r="T93" s="313"/>
    </row>
    <row r="94" spans="1:20" ht="36" x14ac:dyDescent="0.2">
      <c r="A94" s="426">
        <v>18</v>
      </c>
      <c r="B94" s="297">
        <v>44637</v>
      </c>
      <c r="C94" s="325" t="s">
        <v>508</v>
      </c>
      <c r="D94" s="427" t="s">
        <v>509</v>
      </c>
      <c r="E94" s="290" t="s">
        <v>510</v>
      </c>
      <c r="F94" s="431">
        <v>54</v>
      </c>
      <c r="G94" s="286" t="s">
        <v>150</v>
      </c>
      <c r="H94" s="286" t="s">
        <v>20</v>
      </c>
      <c r="I94" s="291">
        <v>4</v>
      </c>
      <c r="J94" s="292">
        <v>3428.57</v>
      </c>
      <c r="K94" s="292">
        <v>0</v>
      </c>
      <c r="L94" s="292" t="e">
        <f>IF([2]!Tabla1[[#This Row],[S.V.O.]]&gt;11428.57,1200,IF([2]!Tabla1[[#This Row],[S.V.O.]]&lt;5714.29,0,[2]!Tabla1[[#This Row],[S.V.O.]]*0.1))</f>
        <v>#REF!</v>
      </c>
      <c r="M94" s="292">
        <v>0</v>
      </c>
      <c r="N94" s="292">
        <v>0</v>
      </c>
      <c r="O94" s="321">
        <v>0</v>
      </c>
      <c r="P94" s="396">
        <v>44602</v>
      </c>
      <c r="Q94" s="397" t="s">
        <v>511</v>
      </c>
      <c r="R94" s="370" t="s">
        <v>28</v>
      </c>
      <c r="S94" s="428" t="s">
        <v>28</v>
      </c>
      <c r="T94" s="313"/>
    </row>
    <row r="95" spans="1:20" ht="117" x14ac:dyDescent="0.2">
      <c r="A95" s="426">
        <v>19</v>
      </c>
      <c r="B95" s="297">
        <v>44637</v>
      </c>
      <c r="C95" s="325" t="s">
        <v>512</v>
      </c>
      <c r="D95" s="289" t="s">
        <v>513</v>
      </c>
      <c r="E95" s="290" t="s">
        <v>514</v>
      </c>
      <c r="F95" s="286">
        <v>77</v>
      </c>
      <c r="G95" s="286" t="s">
        <v>155</v>
      </c>
      <c r="H95" s="286" t="s">
        <v>23</v>
      </c>
      <c r="I95" s="291">
        <v>2</v>
      </c>
      <c r="J95" s="292">
        <v>0</v>
      </c>
      <c r="K95" s="292">
        <v>3428.57</v>
      </c>
      <c r="L95" s="292" t="e">
        <f>IF([2]!Tabla1[[#This Row],[S.V.O.]]&gt;11428.57,1200,IF([2]!Tabla1[[#This Row],[S.V.O.]]&lt;5714.29,0,[2]!Tabla1[[#This Row],[S.V.O.]]*0.1))</f>
        <v>#REF!</v>
      </c>
      <c r="M95" s="292">
        <v>0</v>
      </c>
      <c r="N95" s="292">
        <v>0</v>
      </c>
      <c r="O95" s="321">
        <v>0</v>
      </c>
      <c r="P95" s="293">
        <v>44619</v>
      </c>
      <c r="Q95" s="298" t="s">
        <v>515</v>
      </c>
      <c r="R95" s="295" t="s">
        <v>28</v>
      </c>
      <c r="S95" s="303" t="s">
        <v>27</v>
      </c>
      <c r="T95" s="313"/>
    </row>
    <row r="96" spans="1:20" ht="48" x14ac:dyDescent="0.2">
      <c r="A96" s="426">
        <v>20</v>
      </c>
      <c r="B96" s="297">
        <v>44637</v>
      </c>
      <c r="C96" s="325" t="s">
        <v>516</v>
      </c>
      <c r="D96" s="427" t="s">
        <v>517</v>
      </c>
      <c r="E96" s="429" t="s">
        <v>518</v>
      </c>
      <c r="F96" s="394">
        <v>45</v>
      </c>
      <c r="G96" s="394" t="s">
        <v>155</v>
      </c>
      <c r="H96" s="394" t="s">
        <v>20</v>
      </c>
      <c r="I96" s="395">
        <v>2</v>
      </c>
      <c r="J96" s="292">
        <v>3428.57</v>
      </c>
      <c r="K96" s="292">
        <v>0</v>
      </c>
      <c r="L96" s="292" t="e">
        <f>IF([2]!Tabla1[[#This Row],[S.V.O.]]&gt;11428.57,1200,IF([2]!Tabla1[[#This Row],[S.V.O.]]&lt;5714.29,0,[2]!Tabla1[[#This Row],[S.V.O.]]*0.1))</f>
        <v>#REF!</v>
      </c>
      <c r="M96" s="292">
        <v>0</v>
      </c>
      <c r="N96" s="292">
        <v>0</v>
      </c>
      <c r="O96" s="321">
        <v>0</v>
      </c>
      <c r="P96" s="293">
        <v>44567</v>
      </c>
      <c r="Q96" s="298" t="s">
        <v>519</v>
      </c>
      <c r="R96" s="295" t="s">
        <v>28</v>
      </c>
      <c r="S96" s="303" t="s">
        <v>28</v>
      </c>
      <c r="T96" s="313"/>
    </row>
    <row r="97" spans="1:20" ht="48" x14ac:dyDescent="0.2">
      <c r="A97" s="426">
        <v>21</v>
      </c>
      <c r="B97" s="297">
        <v>44638</v>
      </c>
      <c r="C97" s="325" t="s">
        <v>520</v>
      </c>
      <c r="D97" s="427" t="s">
        <v>521</v>
      </c>
      <c r="E97" s="290" t="s">
        <v>522</v>
      </c>
      <c r="F97" s="286">
        <v>80</v>
      </c>
      <c r="G97" s="286" t="s">
        <v>150</v>
      </c>
      <c r="H97" s="286" t="s">
        <v>23</v>
      </c>
      <c r="I97" s="291">
        <v>3</v>
      </c>
      <c r="J97" s="292">
        <v>0</v>
      </c>
      <c r="K97" s="292">
        <v>3428.57</v>
      </c>
      <c r="L97" s="292" t="e">
        <f>IF([2]!Tabla1[[#This Row],[S.V.O.]]&gt;11428.57,1200,IF([2]!Tabla1[[#This Row],[S.V.O.]]&lt;5714.29,0,[2]!Tabla1[[#This Row],[S.V.O.]]*0.1))</f>
        <v>#REF!</v>
      </c>
      <c r="M97" s="292">
        <v>0</v>
      </c>
      <c r="N97" s="292">
        <v>0</v>
      </c>
      <c r="O97" s="321">
        <v>0</v>
      </c>
      <c r="P97" s="389">
        <v>44612</v>
      </c>
      <c r="Q97" s="390" t="s">
        <v>523</v>
      </c>
      <c r="R97" s="295" t="s">
        <v>60</v>
      </c>
      <c r="S97" s="303" t="s">
        <v>60</v>
      </c>
      <c r="T97" s="313"/>
    </row>
    <row r="98" spans="1:20" ht="81" x14ac:dyDescent="0.2">
      <c r="A98" s="426">
        <v>22</v>
      </c>
      <c r="B98" s="297">
        <v>44638</v>
      </c>
      <c r="C98" s="325" t="s">
        <v>524</v>
      </c>
      <c r="D98" s="427" t="s">
        <v>525</v>
      </c>
      <c r="E98" s="429" t="s">
        <v>526</v>
      </c>
      <c r="F98" s="394">
        <v>93</v>
      </c>
      <c r="G98" s="394" t="s">
        <v>155</v>
      </c>
      <c r="H98" s="394" t="s">
        <v>23</v>
      </c>
      <c r="I98" s="395">
        <v>1</v>
      </c>
      <c r="J98" s="292">
        <v>0</v>
      </c>
      <c r="K98" s="292">
        <v>3428.57</v>
      </c>
      <c r="L98" s="292" t="e">
        <f>IF([2]!Tabla1[[#This Row],[S.V.O.]]&gt;11428.57,1200,IF([2]!Tabla1[[#This Row],[S.V.O.]]&lt;5714.29,0,[2]!Tabla1[[#This Row],[S.V.O.]]*0.1))</f>
        <v>#REF!</v>
      </c>
      <c r="M98" s="292">
        <v>0</v>
      </c>
      <c r="N98" s="292">
        <v>0</v>
      </c>
      <c r="O98" s="321">
        <v>0</v>
      </c>
      <c r="P98" s="293">
        <v>44566</v>
      </c>
      <c r="Q98" s="397" t="s">
        <v>527</v>
      </c>
      <c r="R98" s="295" t="s">
        <v>60</v>
      </c>
      <c r="S98" s="303" t="s">
        <v>60</v>
      </c>
      <c r="T98" s="313"/>
    </row>
    <row r="99" spans="1:20" ht="99" x14ac:dyDescent="0.2">
      <c r="A99" s="426">
        <v>23</v>
      </c>
      <c r="B99" s="297">
        <v>44641</v>
      </c>
      <c r="C99" s="325" t="s">
        <v>528</v>
      </c>
      <c r="D99" s="427" t="s">
        <v>529</v>
      </c>
      <c r="E99" s="429" t="s">
        <v>530</v>
      </c>
      <c r="F99" s="394">
        <v>61</v>
      </c>
      <c r="G99" s="394" t="s">
        <v>150</v>
      </c>
      <c r="H99" s="394" t="s">
        <v>21</v>
      </c>
      <c r="I99" s="395">
        <v>3</v>
      </c>
      <c r="J99" s="292">
        <v>3428.57</v>
      </c>
      <c r="K99" s="292">
        <v>6857.14</v>
      </c>
      <c r="L99" s="292" t="e">
        <f>IF([2]!Tabla1[[#This Row],[S.V.O.]]&gt;11428.57,1200,IF([2]!Tabla1[[#This Row],[S.V.O.]]&lt;5714.29,0,[2]!Tabla1[[#This Row],[S.V.O.]]*0.1))</f>
        <v>#REF!</v>
      </c>
      <c r="M99" s="292">
        <v>0</v>
      </c>
      <c r="N99" s="292">
        <v>1142.8599999999999</v>
      </c>
      <c r="O99" s="321">
        <v>0</v>
      </c>
      <c r="P99" s="293">
        <v>44063</v>
      </c>
      <c r="Q99" s="397" t="s">
        <v>531</v>
      </c>
      <c r="R99" s="295" t="s">
        <v>22</v>
      </c>
      <c r="S99" s="303" t="s">
        <v>22</v>
      </c>
      <c r="T99" s="313"/>
    </row>
    <row r="100" spans="1:20" ht="108" x14ac:dyDescent="0.2">
      <c r="A100" s="426">
        <v>24</v>
      </c>
      <c r="B100" s="297">
        <v>44641</v>
      </c>
      <c r="C100" s="325" t="s">
        <v>532</v>
      </c>
      <c r="D100" s="427" t="s">
        <v>533</v>
      </c>
      <c r="E100" s="290" t="s">
        <v>534</v>
      </c>
      <c r="F100" s="286">
        <v>87</v>
      </c>
      <c r="G100" s="286" t="s">
        <v>155</v>
      </c>
      <c r="H100" s="286" t="s">
        <v>23</v>
      </c>
      <c r="I100" s="291">
        <v>4</v>
      </c>
      <c r="J100" s="292">
        <v>0</v>
      </c>
      <c r="K100" s="292">
        <v>3428.57</v>
      </c>
      <c r="L100" s="292" t="e">
        <f>IF([2]!Tabla1[[#This Row],[S.V.O.]]&gt;11428.57,1200,IF([2]!Tabla1[[#This Row],[S.V.O.]]&lt;5714.29,0,[2]!Tabla1[[#This Row],[S.V.O.]]*0.1))</f>
        <v>#REF!</v>
      </c>
      <c r="M100" s="292">
        <v>0</v>
      </c>
      <c r="N100" s="292">
        <v>0</v>
      </c>
      <c r="O100" s="321">
        <v>0</v>
      </c>
      <c r="P100" s="389">
        <v>44578</v>
      </c>
      <c r="Q100" s="390" t="s">
        <v>535</v>
      </c>
      <c r="R100" s="295" t="s">
        <v>60</v>
      </c>
      <c r="S100" s="303" t="s">
        <v>60</v>
      </c>
      <c r="T100" s="313"/>
    </row>
    <row r="101" spans="1:20" ht="54" x14ac:dyDescent="0.2">
      <c r="A101" s="426">
        <v>25</v>
      </c>
      <c r="B101" s="297">
        <v>44641</v>
      </c>
      <c r="C101" s="325" t="s">
        <v>536</v>
      </c>
      <c r="D101" s="427" t="s">
        <v>537</v>
      </c>
      <c r="E101" s="290" t="s">
        <v>538</v>
      </c>
      <c r="F101" s="286">
        <v>90</v>
      </c>
      <c r="G101" s="286" t="s">
        <v>155</v>
      </c>
      <c r="H101" s="286" t="s">
        <v>23</v>
      </c>
      <c r="I101" s="291">
        <v>1</v>
      </c>
      <c r="J101" s="292">
        <v>0</v>
      </c>
      <c r="K101" s="292">
        <v>3428.57</v>
      </c>
      <c r="L101" s="292" t="e">
        <f>IF([2]!Tabla1[[#This Row],[S.V.O.]]&gt;11428.57,1200,IF([2]!Tabla1[[#This Row],[S.V.O.]]&lt;5714.29,0,[2]!Tabla1[[#This Row],[S.V.O.]]*0.1))</f>
        <v>#REF!</v>
      </c>
      <c r="M101" s="292">
        <v>0</v>
      </c>
      <c r="N101" s="292">
        <v>0</v>
      </c>
      <c r="O101" s="321">
        <v>0</v>
      </c>
      <c r="P101" s="389">
        <v>44488</v>
      </c>
      <c r="Q101" s="390" t="s">
        <v>539</v>
      </c>
      <c r="R101" s="295" t="s">
        <v>60</v>
      </c>
      <c r="S101" s="303" t="s">
        <v>60</v>
      </c>
      <c r="T101" s="313"/>
    </row>
    <row r="102" spans="1:20" ht="48" x14ac:dyDescent="0.2">
      <c r="A102" s="426">
        <v>26</v>
      </c>
      <c r="B102" s="297">
        <v>44641</v>
      </c>
      <c r="C102" s="325" t="s">
        <v>540</v>
      </c>
      <c r="D102" s="427" t="s">
        <v>541</v>
      </c>
      <c r="E102" s="290" t="s">
        <v>542</v>
      </c>
      <c r="F102" s="286">
        <v>68</v>
      </c>
      <c r="G102" s="286" t="s">
        <v>150</v>
      </c>
      <c r="H102" s="286" t="s">
        <v>20</v>
      </c>
      <c r="I102" s="291">
        <v>2</v>
      </c>
      <c r="J102" s="292">
        <v>3428.57</v>
      </c>
      <c r="K102" s="292">
        <v>11428.57</v>
      </c>
      <c r="L102" s="292" t="e">
        <f>IF([2]!Tabla1[[#This Row],[S.V.O.]]&gt;11428.57,1200,IF([2]!Tabla1[[#This Row],[S.V.O.]]&lt;5714.29,0,[2]!Tabla1[[#This Row],[S.V.O.]]*0.1))</f>
        <v>#REF!</v>
      </c>
      <c r="M102" s="292">
        <v>0</v>
      </c>
      <c r="N102" s="292">
        <v>0</v>
      </c>
      <c r="O102" s="321">
        <v>0</v>
      </c>
      <c r="P102" s="293">
        <v>44565</v>
      </c>
      <c r="Q102" s="298" t="s">
        <v>543</v>
      </c>
      <c r="R102" s="295" t="s">
        <v>22</v>
      </c>
      <c r="S102" s="303" t="s">
        <v>22</v>
      </c>
      <c r="T102" s="313"/>
    </row>
    <row r="103" spans="1:20" ht="48" x14ac:dyDescent="0.2">
      <c r="A103" s="426">
        <v>27</v>
      </c>
      <c r="B103" s="297">
        <v>44642</v>
      </c>
      <c r="C103" s="325" t="s">
        <v>544</v>
      </c>
      <c r="D103" s="289" t="s">
        <v>545</v>
      </c>
      <c r="E103" s="290" t="s">
        <v>546</v>
      </c>
      <c r="F103" s="286">
        <v>53</v>
      </c>
      <c r="G103" s="286" t="s">
        <v>155</v>
      </c>
      <c r="H103" s="286" t="s">
        <v>20</v>
      </c>
      <c r="I103" s="291">
        <v>2</v>
      </c>
      <c r="J103" s="292">
        <v>3428.57</v>
      </c>
      <c r="K103" s="292">
        <v>5714.29</v>
      </c>
      <c r="L103" s="292" t="e">
        <f>IF([2]!Tabla1[[#This Row],[S.V.O.]]&gt;11428.57,1200,IF([2]!Tabla1[[#This Row],[S.V.O.]]&lt;5714.29,0,[2]!Tabla1[[#This Row],[S.V.O.]]*0.1))</f>
        <v>#REF!</v>
      </c>
      <c r="M103" s="292">
        <v>0</v>
      </c>
      <c r="N103" s="292">
        <v>1142.8599999999999</v>
      </c>
      <c r="O103" s="321">
        <v>0</v>
      </c>
      <c r="P103" s="293">
        <v>44492</v>
      </c>
      <c r="Q103" s="298" t="s">
        <v>547</v>
      </c>
      <c r="R103" s="295" t="s">
        <v>19</v>
      </c>
      <c r="S103" s="303" t="s">
        <v>19</v>
      </c>
      <c r="T103" s="313"/>
    </row>
    <row r="104" spans="1:20" ht="90" x14ac:dyDescent="0.2">
      <c r="A104" s="426">
        <v>28</v>
      </c>
      <c r="B104" s="297">
        <v>44642</v>
      </c>
      <c r="C104" s="325" t="s">
        <v>548</v>
      </c>
      <c r="D104" s="289" t="s">
        <v>549</v>
      </c>
      <c r="E104" s="290" t="s">
        <v>550</v>
      </c>
      <c r="F104" s="286">
        <v>77</v>
      </c>
      <c r="G104" s="286" t="s">
        <v>150</v>
      </c>
      <c r="H104" s="286" t="s">
        <v>23</v>
      </c>
      <c r="I104" s="291">
        <v>2</v>
      </c>
      <c r="J104" s="292">
        <v>0</v>
      </c>
      <c r="K104" s="292">
        <v>1142.8599999999999</v>
      </c>
      <c r="L104" s="292" t="e">
        <f>IF([2]!Tabla1[[#This Row],[S.V.O.]]&gt;11428.57,1200,IF([2]!Tabla1[[#This Row],[S.V.O.]]&lt;5714.29,0,[2]!Tabla1[[#This Row],[S.V.O.]]*0.1))</f>
        <v>#REF!</v>
      </c>
      <c r="M104" s="292">
        <v>0</v>
      </c>
      <c r="N104" s="292">
        <v>0</v>
      </c>
      <c r="O104" s="321">
        <v>0</v>
      </c>
      <c r="P104" s="293">
        <v>44600</v>
      </c>
      <c r="Q104" s="298" t="s">
        <v>551</v>
      </c>
      <c r="R104" s="295" t="s">
        <v>60</v>
      </c>
      <c r="S104" s="303" t="s">
        <v>25</v>
      </c>
      <c r="T104" s="313"/>
    </row>
    <row r="105" spans="1:20" ht="48" x14ac:dyDescent="0.2">
      <c r="A105" s="426">
        <v>29</v>
      </c>
      <c r="B105" s="297">
        <v>44642</v>
      </c>
      <c r="C105" s="325" t="s">
        <v>552</v>
      </c>
      <c r="D105" s="289" t="s">
        <v>553</v>
      </c>
      <c r="E105" s="290" t="s">
        <v>554</v>
      </c>
      <c r="F105" s="286">
        <v>73</v>
      </c>
      <c r="G105" s="286" t="s">
        <v>150</v>
      </c>
      <c r="H105" s="286" t="s">
        <v>24</v>
      </c>
      <c r="I105" s="291">
        <v>3</v>
      </c>
      <c r="J105" s="292">
        <v>0</v>
      </c>
      <c r="K105" s="292">
        <v>2285.71</v>
      </c>
      <c r="L105" s="292" t="e">
        <f>IF([2]!Tabla1[[#This Row],[S.V.O.]]&gt;11428.57,1200,IF([2]!Tabla1[[#This Row],[S.V.O.]]&lt;5714.29,0,[2]!Tabla1[[#This Row],[S.V.O.]]*0.1))</f>
        <v>#REF!</v>
      </c>
      <c r="M105" s="292">
        <v>0</v>
      </c>
      <c r="N105" s="292">
        <v>0</v>
      </c>
      <c r="O105" s="321">
        <v>0</v>
      </c>
      <c r="P105" s="293">
        <v>44600</v>
      </c>
      <c r="Q105" s="298" t="s">
        <v>555</v>
      </c>
      <c r="R105" s="295" t="s">
        <v>19</v>
      </c>
      <c r="S105" s="303" t="s">
        <v>19</v>
      </c>
      <c r="T105" s="313"/>
    </row>
    <row r="106" spans="1:20" ht="63" x14ac:dyDescent="0.2">
      <c r="A106" s="426">
        <v>30</v>
      </c>
      <c r="B106" s="297">
        <v>44644</v>
      </c>
      <c r="C106" s="325" t="s">
        <v>556</v>
      </c>
      <c r="D106" s="289" t="s">
        <v>557</v>
      </c>
      <c r="E106" s="290" t="s">
        <v>558</v>
      </c>
      <c r="F106" s="394">
        <v>60</v>
      </c>
      <c r="G106" s="286" t="s">
        <v>155</v>
      </c>
      <c r="H106" s="286" t="s">
        <v>20</v>
      </c>
      <c r="I106" s="291">
        <v>4</v>
      </c>
      <c r="J106" s="292">
        <v>3428.57</v>
      </c>
      <c r="K106" s="292">
        <v>11428.57</v>
      </c>
      <c r="L106" s="292" t="e">
        <f>IF([2]!Tabla1[[#This Row],[S.V.O.]]&gt;11428.57,1200,IF([2]!Tabla1[[#This Row],[S.V.O.]]&lt;5714.29,0,[2]!Tabla1[[#This Row],[S.V.O.]]*0.1))</f>
        <v>#REF!</v>
      </c>
      <c r="M106" s="292">
        <v>0</v>
      </c>
      <c r="N106" s="292">
        <v>1142.8599999999999</v>
      </c>
      <c r="O106" s="321">
        <v>0</v>
      </c>
      <c r="P106" s="396">
        <v>44611</v>
      </c>
      <c r="Q106" s="397" t="s">
        <v>559</v>
      </c>
      <c r="R106" s="370" t="s">
        <v>60</v>
      </c>
      <c r="S106" s="428" t="s">
        <v>60</v>
      </c>
      <c r="T106" s="313"/>
    </row>
    <row r="107" spans="1:20" ht="48" x14ac:dyDescent="0.2">
      <c r="A107" s="426">
        <v>31</v>
      </c>
      <c r="B107" s="297">
        <v>44645</v>
      </c>
      <c r="C107" s="325" t="s">
        <v>560</v>
      </c>
      <c r="D107" s="289" t="s">
        <v>561</v>
      </c>
      <c r="E107" s="290" t="s">
        <v>562</v>
      </c>
      <c r="F107" s="394">
        <v>69</v>
      </c>
      <c r="G107" s="286" t="s">
        <v>155</v>
      </c>
      <c r="H107" s="286" t="s">
        <v>24</v>
      </c>
      <c r="I107" s="291">
        <v>2</v>
      </c>
      <c r="J107" s="292">
        <v>0</v>
      </c>
      <c r="K107" s="292">
        <v>11428.57</v>
      </c>
      <c r="L107" s="292" t="e">
        <f>IF([2]!Tabla1[[#This Row],[S.V.O.]]&gt;11428.57,1200,IF([2]!Tabla1[[#This Row],[S.V.O.]]&lt;5714.29,0,[2]!Tabla1[[#This Row],[S.V.O.]]*0.1))</f>
        <v>#REF!</v>
      </c>
      <c r="M107" s="292">
        <v>0</v>
      </c>
      <c r="N107" s="292">
        <v>0</v>
      </c>
      <c r="O107" s="321">
        <v>0</v>
      </c>
      <c r="P107" s="396">
        <v>44589</v>
      </c>
      <c r="Q107" s="397" t="s">
        <v>563</v>
      </c>
      <c r="R107" s="370" t="s">
        <v>60</v>
      </c>
      <c r="S107" s="428" t="s">
        <v>60</v>
      </c>
      <c r="T107" s="313"/>
    </row>
    <row r="108" spans="1:20" ht="24" x14ac:dyDescent="0.2">
      <c r="A108" s="426">
        <v>32</v>
      </c>
      <c r="B108" s="297">
        <v>44649</v>
      </c>
      <c r="C108" s="325" t="s">
        <v>564</v>
      </c>
      <c r="D108" s="289" t="s">
        <v>565</v>
      </c>
      <c r="E108" s="290" t="s">
        <v>566</v>
      </c>
      <c r="F108" s="286">
        <v>54</v>
      </c>
      <c r="G108" s="286" t="s">
        <v>150</v>
      </c>
      <c r="H108" s="286" t="s">
        <v>21</v>
      </c>
      <c r="I108" s="291">
        <v>3</v>
      </c>
      <c r="J108" s="292">
        <v>3428.57</v>
      </c>
      <c r="K108" s="292">
        <v>0</v>
      </c>
      <c r="L108" s="292" t="e">
        <f>IF([2]!Tabla1[[#This Row],[S.V.O.]]&gt;11428.57,1200,IF([2]!Tabla1[[#This Row],[S.V.O.]]&lt;5714.29,0,[2]!Tabla1[[#This Row],[S.V.O.]]*0.1))</f>
        <v>#REF!</v>
      </c>
      <c r="M108" s="292">
        <v>5714.29</v>
      </c>
      <c r="N108" s="292">
        <v>1142.8599999999999</v>
      </c>
      <c r="O108" s="321">
        <v>0</v>
      </c>
      <c r="P108" s="293">
        <v>44435</v>
      </c>
      <c r="Q108" s="298" t="s">
        <v>249</v>
      </c>
      <c r="R108" s="295" t="s">
        <v>28</v>
      </c>
      <c r="S108" s="303" t="s">
        <v>306</v>
      </c>
      <c r="T108" s="313"/>
    </row>
    <row r="109" spans="1:20" ht="99" x14ac:dyDescent="0.2">
      <c r="A109" s="426">
        <v>33</v>
      </c>
      <c r="B109" s="297">
        <v>44649</v>
      </c>
      <c r="C109" s="325" t="s">
        <v>567</v>
      </c>
      <c r="D109" s="427" t="s">
        <v>568</v>
      </c>
      <c r="E109" s="290" t="s">
        <v>569</v>
      </c>
      <c r="F109" s="394">
        <v>92</v>
      </c>
      <c r="G109" s="394" t="s">
        <v>155</v>
      </c>
      <c r="H109" s="394" t="s">
        <v>23</v>
      </c>
      <c r="I109" s="395">
        <v>1</v>
      </c>
      <c r="J109" s="292">
        <v>0</v>
      </c>
      <c r="K109" s="292">
        <v>3428.57</v>
      </c>
      <c r="L109" s="292" t="e">
        <f>IF([2]!Tabla1[[#This Row],[S.V.O.]]&gt;11428.57,1200,IF([2]!Tabla1[[#This Row],[S.V.O.]]&lt;5714.29,0,[2]!Tabla1[[#This Row],[S.V.O.]]*0.1))</f>
        <v>#REF!</v>
      </c>
      <c r="M109" s="292">
        <v>0</v>
      </c>
      <c r="N109" s="292">
        <v>0</v>
      </c>
      <c r="O109" s="321">
        <v>0</v>
      </c>
      <c r="P109" s="293">
        <v>44639</v>
      </c>
      <c r="Q109" s="397" t="s">
        <v>570</v>
      </c>
      <c r="R109" s="295" t="s">
        <v>28</v>
      </c>
      <c r="S109" s="303" t="s">
        <v>28</v>
      </c>
      <c r="T109" s="313"/>
    </row>
    <row r="110" spans="1:20" ht="72" x14ac:dyDescent="0.2">
      <c r="A110" s="426">
        <v>34</v>
      </c>
      <c r="B110" s="297">
        <v>44649</v>
      </c>
      <c r="C110" s="325" t="s">
        <v>571</v>
      </c>
      <c r="D110" s="427" t="s">
        <v>572</v>
      </c>
      <c r="E110" s="290" t="s">
        <v>573</v>
      </c>
      <c r="F110" s="394">
        <v>89</v>
      </c>
      <c r="G110" s="394" t="s">
        <v>155</v>
      </c>
      <c r="H110" s="394" t="s">
        <v>23</v>
      </c>
      <c r="I110" s="395">
        <v>1</v>
      </c>
      <c r="J110" s="292">
        <v>0</v>
      </c>
      <c r="K110" s="292">
        <v>3428.57</v>
      </c>
      <c r="L110" s="292" t="e">
        <f>IF([2]!Tabla1[[#This Row],[S.V.O.]]&gt;11428.57,1200,IF([2]!Tabla1[[#This Row],[S.V.O.]]&lt;5714.29,0,[2]!Tabla1[[#This Row],[S.V.O.]]*0.1))</f>
        <v>#REF!</v>
      </c>
      <c r="M110" s="292">
        <v>0</v>
      </c>
      <c r="N110" s="292">
        <v>0</v>
      </c>
      <c r="O110" s="321">
        <v>0</v>
      </c>
      <c r="P110" s="293">
        <v>44613</v>
      </c>
      <c r="Q110" s="397" t="s">
        <v>574</v>
      </c>
      <c r="R110" s="295" t="s">
        <v>60</v>
      </c>
      <c r="S110" s="303" t="s">
        <v>60</v>
      </c>
      <c r="T110" s="313"/>
    </row>
    <row r="111" spans="1:20" ht="63" x14ac:dyDescent="0.2">
      <c r="A111" s="426">
        <v>35</v>
      </c>
      <c r="B111" s="297">
        <v>44649</v>
      </c>
      <c r="C111" s="325" t="s">
        <v>575</v>
      </c>
      <c r="D111" s="289" t="s">
        <v>576</v>
      </c>
      <c r="E111" s="290" t="s">
        <v>577</v>
      </c>
      <c r="F111" s="286">
        <v>48</v>
      </c>
      <c r="G111" s="286" t="s">
        <v>155</v>
      </c>
      <c r="H111" s="286" t="s">
        <v>20</v>
      </c>
      <c r="I111" s="291">
        <v>3</v>
      </c>
      <c r="J111" s="292">
        <v>3428.57</v>
      </c>
      <c r="K111" s="292">
        <v>0</v>
      </c>
      <c r="L111" s="292" t="e">
        <f>IF([2]!Tabla1[[#This Row],[S.V.O.]]&gt;11428.57,1200,IF([2]!Tabla1[[#This Row],[S.V.O.]]&lt;5714.29,0,[2]!Tabla1[[#This Row],[S.V.O.]]*0.1))</f>
        <v>#REF!</v>
      </c>
      <c r="M111" s="292">
        <v>1142.8599999999999</v>
      </c>
      <c r="N111" s="292">
        <v>0</v>
      </c>
      <c r="O111" s="321">
        <v>0</v>
      </c>
      <c r="P111" s="293">
        <v>44423</v>
      </c>
      <c r="Q111" s="298" t="s">
        <v>578</v>
      </c>
      <c r="R111" s="295" t="s">
        <v>306</v>
      </c>
      <c r="S111" s="303" t="s">
        <v>306</v>
      </c>
      <c r="T111" s="313"/>
    </row>
    <row r="112" spans="1:20" ht="144" x14ac:dyDescent="0.2">
      <c r="A112" s="426">
        <v>36</v>
      </c>
      <c r="B112" s="297">
        <v>44649</v>
      </c>
      <c r="C112" s="325" t="s">
        <v>579</v>
      </c>
      <c r="D112" s="289" t="s">
        <v>580</v>
      </c>
      <c r="E112" s="290" t="s">
        <v>581</v>
      </c>
      <c r="F112" s="286">
        <v>75</v>
      </c>
      <c r="G112" s="286" t="s">
        <v>155</v>
      </c>
      <c r="H112" s="286" t="s">
        <v>23</v>
      </c>
      <c r="I112" s="291">
        <v>3</v>
      </c>
      <c r="J112" s="292">
        <v>0</v>
      </c>
      <c r="K112" s="292">
        <v>3428.57</v>
      </c>
      <c r="L112" s="292" t="e">
        <f>IF([2]!Tabla1[[#This Row],[S.V.O.]]&gt;11428.57,1200,IF([2]!Tabla1[[#This Row],[S.V.O.]]&lt;5714.29,0,[2]!Tabla1[[#This Row],[S.V.O.]]*0.1))</f>
        <v>#REF!</v>
      </c>
      <c r="M112" s="292">
        <v>0</v>
      </c>
      <c r="N112" s="292">
        <v>0</v>
      </c>
      <c r="O112" s="321">
        <v>0</v>
      </c>
      <c r="P112" s="293">
        <v>44481</v>
      </c>
      <c r="Q112" s="298" t="s">
        <v>582</v>
      </c>
      <c r="R112" s="295" t="s">
        <v>60</v>
      </c>
      <c r="S112" s="303" t="s">
        <v>19</v>
      </c>
      <c r="T112" s="313"/>
    </row>
    <row r="113" spans="1:20" ht="48" x14ac:dyDescent="0.2">
      <c r="A113" s="426">
        <v>37</v>
      </c>
      <c r="B113" s="297">
        <v>44649</v>
      </c>
      <c r="C113" s="325" t="s">
        <v>583</v>
      </c>
      <c r="D113" s="289" t="s">
        <v>584</v>
      </c>
      <c r="E113" s="290" t="s">
        <v>585</v>
      </c>
      <c r="F113" s="286">
        <v>56</v>
      </c>
      <c r="G113" s="286" t="s">
        <v>150</v>
      </c>
      <c r="H113" s="286" t="s">
        <v>20</v>
      </c>
      <c r="I113" s="291">
        <v>3</v>
      </c>
      <c r="J113" s="292">
        <v>3428.57</v>
      </c>
      <c r="K113" s="292">
        <v>3428.57</v>
      </c>
      <c r="L113" s="292" t="e">
        <f>IF([2]!Tabla1[[#This Row],[S.V.O.]]&gt;11428.57,1200,IF([2]!Tabla1[[#This Row],[S.V.O.]]&lt;5714.29,0,[2]!Tabla1[[#This Row],[S.V.O.]]*0.1))</f>
        <v>#REF!</v>
      </c>
      <c r="M113" s="292">
        <v>0</v>
      </c>
      <c r="N113" s="292">
        <v>0</v>
      </c>
      <c r="O113" s="321">
        <v>0</v>
      </c>
      <c r="P113" s="293">
        <v>44549</v>
      </c>
      <c r="Q113" s="298" t="s">
        <v>386</v>
      </c>
      <c r="R113" s="295" t="s">
        <v>27</v>
      </c>
      <c r="S113" s="303" t="s">
        <v>27</v>
      </c>
      <c r="T113" s="313"/>
    </row>
    <row r="114" spans="1:20" ht="45" x14ac:dyDescent="0.2">
      <c r="A114" s="426">
        <v>38</v>
      </c>
      <c r="B114" s="297">
        <v>44649</v>
      </c>
      <c r="C114" s="325" t="s">
        <v>586</v>
      </c>
      <c r="D114" s="289" t="s">
        <v>587</v>
      </c>
      <c r="E114" s="290" t="s">
        <v>588</v>
      </c>
      <c r="F114" s="286">
        <v>77</v>
      </c>
      <c r="G114" s="286" t="s">
        <v>150</v>
      </c>
      <c r="H114" s="286" t="s">
        <v>23</v>
      </c>
      <c r="I114" s="291">
        <v>3</v>
      </c>
      <c r="J114" s="292">
        <v>0</v>
      </c>
      <c r="K114" s="292">
        <v>3428.57</v>
      </c>
      <c r="L114" s="292" t="e">
        <f>IF([2]!Tabla1[[#This Row],[S.V.O.]]&gt;11428.57,1200,IF([2]!Tabla1[[#This Row],[S.V.O.]]&lt;5714.29,0,[2]!Tabla1[[#This Row],[S.V.O.]]*0.1))</f>
        <v>#REF!</v>
      </c>
      <c r="M114" s="292">
        <v>0</v>
      </c>
      <c r="N114" s="292">
        <v>0</v>
      </c>
      <c r="O114" s="321">
        <v>0</v>
      </c>
      <c r="P114" s="293">
        <v>43182</v>
      </c>
      <c r="Q114" s="298" t="s">
        <v>589</v>
      </c>
      <c r="R114" s="295" t="s">
        <v>28</v>
      </c>
      <c r="S114" s="303" t="s">
        <v>27</v>
      </c>
      <c r="T114" s="313"/>
    </row>
    <row r="115" spans="1:20" ht="36" x14ac:dyDescent="0.2">
      <c r="A115" s="426">
        <v>39</v>
      </c>
      <c r="B115" s="297">
        <v>44650</v>
      </c>
      <c r="C115" s="325" t="s">
        <v>590</v>
      </c>
      <c r="D115" s="427" t="s">
        <v>591</v>
      </c>
      <c r="E115" s="290" t="s">
        <v>592</v>
      </c>
      <c r="F115" s="394">
        <v>92</v>
      </c>
      <c r="G115" s="286" t="s">
        <v>155</v>
      </c>
      <c r="H115" s="286" t="s">
        <v>23</v>
      </c>
      <c r="I115" s="291">
        <v>1</v>
      </c>
      <c r="J115" s="292">
        <v>0</v>
      </c>
      <c r="K115" s="292">
        <v>2285.71</v>
      </c>
      <c r="L115" s="292" t="e">
        <f>IF([2]!Tabla1[[#This Row],[S.V.O.]]&gt;11428.57,1200,IF([2]!Tabla1[[#This Row],[S.V.O.]]&lt;5714.29,0,[2]!Tabla1[[#This Row],[S.V.O.]]*0.1))</f>
        <v>#REF!</v>
      </c>
      <c r="M115" s="292">
        <v>0</v>
      </c>
      <c r="N115" s="292">
        <v>0</v>
      </c>
      <c r="O115" s="321">
        <v>0</v>
      </c>
      <c r="P115" s="389">
        <v>44610</v>
      </c>
      <c r="Q115" s="390" t="s">
        <v>109</v>
      </c>
      <c r="R115" s="370" t="s">
        <v>60</v>
      </c>
      <c r="S115" s="428" t="s">
        <v>60</v>
      </c>
      <c r="T115" s="313"/>
    </row>
    <row r="116" spans="1:20" ht="48" x14ac:dyDescent="0.2">
      <c r="A116" s="426">
        <v>40</v>
      </c>
      <c r="B116" s="297">
        <v>44650</v>
      </c>
      <c r="C116" s="325" t="s">
        <v>593</v>
      </c>
      <c r="D116" s="427" t="s">
        <v>594</v>
      </c>
      <c r="E116" s="290" t="s">
        <v>595</v>
      </c>
      <c r="F116" s="394">
        <v>83</v>
      </c>
      <c r="G116" s="286" t="s">
        <v>155</v>
      </c>
      <c r="H116" s="286" t="s">
        <v>23</v>
      </c>
      <c r="I116" s="291">
        <v>2</v>
      </c>
      <c r="J116" s="292">
        <v>0</v>
      </c>
      <c r="K116" s="292">
        <v>3428.57</v>
      </c>
      <c r="L116" s="292" t="e">
        <f>IF([2]!Tabla1[[#This Row],[S.V.O.]]&gt;11428.57,1200,IF([2]!Tabla1[[#This Row],[S.V.O.]]&lt;5714.29,0,[2]!Tabla1[[#This Row],[S.V.O.]]*0.1))</f>
        <v>#REF!</v>
      </c>
      <c r="M116" s="292">
        <v>0</v>
      </c>
      <c r="N116" s="292">
        <v>0</v>
      </c>
      <c r="O116" s="321">
        <v>0</v>
      </c>
      <c r="P116" s="389">
        <v>44594</v>
      </c>
      <c r="Q116" s="390" t="s">
        <v>596</v>
      </c>
      <c r="R116" s="370" t="s">
        <v>64</v>
      </c>
      <c r="S116" s="428" t="s">
        <v>60</v>
      </c>
      <c r="T116" s="313"/>
    </row>
    <row r="117" spans="1:20" ht="99" x14ac:dyDescent="0.2">
      <c r="A117" s="426">
        <v>41</v>
      </c>
      <c r="B117" s="297">
        <v>44651</v>
      </c>
      <c r="C117" s="325" t="s">
        <v>597</v>
      </c>
      <c r="D117" s="427" t="s">
        <v>598</v>
      </c>
      <c r="E117" s="290" t="s">
        <v>599</v>
      </c>
      <c r="F117" s="394">
        <v>51</v>
      </c>
      <c r="G117" s="286" t="s">
        <v>155</v>
      </c>
      <c r="H117" s="286" t="s">
        <v>20</v>
      </c>
      <c r="I117" s="291">
        <v>2</v>
      </c>
      <c r="J117" s="292">
        <v>3428.57</v>
      </c>
      <c r="K117" s="292">
        <v>11428.57</v>
      </c>
      <c r="L117" s="292" t="e">
        <f>IF([2]!Tabla1[[#This Row],[S.V.O.]]&gt;11428.57,1200,IF([2]!Tabla1[[#This Row],[S.V.O.]]&lt;5714.29,0,[2]!Tabla1[[#This Row],[S.V.O.]]*0.1))</f>
        <v>#REF!</v>
      </c>
      <c r="M117" s="292">
        <v>0</v>
      </c>
      <c r="N117" s="292">
        <v>1142.8599999999999</v>
      </c>
      <c r="O117" s="321">
        <v>0</v>
      </c>
      <c r="P117" s="389">
        <v>44624</v>
      </c>
      <c r="Q117" s="390" t="s">
        <v>600</v>
      </c>
      <c r="R117" s="370" t="s">
        <v>60</v>
      </c>
      <c r="S117" s="428" t="s">
        <v>60</v>
      </c>
      <c r="T117" s="313"/>
    </row>
    <row r="118" spans="1:20" ht="48" x14ac:dyDescent="0.2">
      <c r="A118" s="426">
        <v>42</v>
      </c>
      <c r="B118" s="297">
        <v>44651</v>
      </c>
      <c r="C118" s="325" t="s">
        <v>601</v>
      </c>
      <c r="D118" s="432" t="s">
        <v>602</v>
      </c>
      <c r="E118" s="433" t="s">
        <v>603</v>
      </c>
      <c r="F118" s="434">
        <v>96</v>
      </c>
      <c r="G118" s="434" t="s">
        <v>155</v>
      </c>
      <c r="H118" s="434" t="s">
        <v>24</v>
      </c>
      <c r="I118" s="435">
        <v>3</v>
      </c>
      <c r="J118" s="292">
        <v>0</v>
      </c>
      <c r="K118" s="292">
        <v>1142.8599999999999</v>
      </c>
      <c r="L118" s="292" t="e">
        <f>IF([2]!Tabla1[[#This Row],[S.V.O.]]&gt;11428.57,1200,IF([2]!Tabla1[[#This Row],[S.V.O.]]&lt;5714.29,0,[2]!Tabla1[[#This Row],[S.V.O.]]*0.1))</f>
        <v>#REF!</v>
      </c>
      <c r="M118" s="292">
        <v>0</v>
      </c>
      <c r="N118" s="292">
        <v>0</v>
      </c>
      <c r="O118" s="321">
        <v>0</v>
      </c>
      <c r="P118" s="436">
        <v>44608</v>
      </c>
      <c r="Q118" s="437" t="s">
        <v>604</v>
      </c>
      <c r="R118" s="295" t="s">
        <v>60</v>
      </c>
      <c r="S118" s="303" t="s">
        <v>60</v>
      </c>
      <c r="T118" s="313"/>
    </row>
  </sheetData>
  <mergeCells count="1">
    <mergeCell ref="A1:T1"/>
  </mergeCells>
  <dataValidations count="6">
    <dataValidation type="list" allowBlank="1" showInputMessage="1" showErrorMessage="1" sqref="J3:J118">
      <formula1>"0, 3428.57"</formula1>
    </dataValidation>
    <dataValidation type="list" allowBlank="1" showInputMessage="1" showErrorMessage="1" sqref="R15:S17 S18:S22 R19:R22 R3:S11 S12 R24:S31 R33:S118">
      <formula1>"SAN SALVADOR, SANTA ANA, SONSONATE, AHUACHAPÁN, CHALATENANGO, CABAÑAS, SAN VICENTE, CUSCATLÁN, LA LIBERTAD, LA PAZ, USULUTÁN, SAN MIGUEL, MORAZÁN, LA UNIÓN"</formula1>
    </dataValidation>
    <dataValidation type="list" allowBlank="1" showInputMessage="1" showErrorMessage="1" sqref="N3:N9 N11 N15:N20 N22:N73 N75 N77:N118">
      <formula1>"0,1142.86"</formula1>
    </dataValidation>
    <dataValidation type="list" allowBlank="1" showInputMessage="1" showErrorMessage="1" sqref="M3:M9 M11:M12 M15:M20 L21:M22 M23:M73 M75 M77:M118">
      <formula1>"0,571.43,1142.86,1714.57,2285.71,2857.14,3428.57,4571.43,5714.29,6857.14,8000.00,9142.86,10285.71,11428.57"</formula1>
    </dataValidation>
    <dataValidation type="list" allowBlank="1" showInputMessage="1" showErrorMessage="1" sqref="K3 K7 K9 K16:K17 K12 K26:K28 K21:K24 K31:K32 K35 K44 K53:K55 K57:K60 K62:K69 K48:K49 K71:K118">
      <formula1>"0,1142.86,2285.71,3428.57,4571.43,5714.29,6857.14, 8000.00,9142.86,10285.71,11428.57,15000.00,20000.00,25000.00,30000.00"</formula1>
    </dataValidation>
    <dataValidation type="list" allowBlank="1" showInputMessage="1" showErrorMessage="1" sqref="K4:K6 K8 K13:K15 K18:K20 K25 K10:K11 K29:K30 K33:K34 K36:K43 K45:K47 K56 K61 K70 K50:K52">
      <formula1>"1142.86, 2285.71, 3428.57, 4571.43, 5714.29, 6857.14, 8000.00, 9142.86, 10285.71, 11428.57, 15000.00, 20000.00, 25000.00, 30000.00"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 MENSUAL</vt:lpstr>
      <vt:lpstr>1. RESUMEN DE PAGADOS </vt:lpstr>
      <vt:lpstr>2. COMPR DEV 30%</vt:lpstr>
      <vt:lpstr>3. COMP VR</vt:lpstr>
      <vt:lpstr>4. COMP VP</vt:lpstr>
      <vt:lpstr>5. REPORTE FALLECIDOS MARZO</vt:lpstr>
    </vt:vector>
  </TitlesOfParts>
  <Company>Caja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2022-04-07T13:21:39Z</cp:lastPrinted>
  <dcterms:created xsi:type="dcterms:W3CDTF">2002-04-29T19:59:45Z</dcterms:created>
  <dcterms:modified xsi:type="dcterms:W3CDTF">2022-07-27T21:01:06Z</dcterms:modified>
</cp:coreProperties>
</file>