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23 ESTADISTICAS\SEGUROS AÑO 2021\"/>
    </mc:Choice>
  </mc:AlternateContent>
  <bookViews>
    <workbookView xWindow="0" yWindow="0" windowWidth="19200" windowHeight="12885" tabRatio="601"/>
  </bookViews>
  <sheets>
    <sheet name="1. RESUMEN DE PAGADOS " sheetId="4" r:id="rId1"/>
    <sheet name="2. COMPR DEV 30%" sheetId="16" r:id="rId2"/>
    <sheet name="3. COMP VR" sheetId="17" r:id="rId3"/>
    <sheet name="4. COMP VP" sheetId="18" r:id="rId4"/>
    <sheet name="5.ESTADÍSTICAS POR REPORTE" sheetId="26" r:id="rId5"/>
    <sheet name="6. REPORTADOS F+ DETALLE-SEG" sheetId="11" r:id="rId6"/>
  </sheets>
  <calcPr calcId="152511"/>
</workbook>
</file>

<file path=xl/calcChain.xml><?xml version="1.0" encoding="utf-8"?>
<calcChain xmlns="http://schemas.openxmlformats.org/spreadsheetml/2006/main">
  <c r="F13" i="4" l="1"/>
  <c r="E13" i="4"/>
  <c r="D13" i="4"/>
  <c r="C13" i="4"/>
  <c r="P34" i="26" l="1"/>
  <c r="N34" i="26"/>
  <c r="O22" i="11"/>
  <c r="N22" i="11"/>
  <c r="M22" i="11"/>
  <c r="L22" i="11"/>
  <c r="K22" i="11"/>
  <c r="H22" i="11"/>
  <c r="G22" i="11"/>
  <c r="F22" i="11"/>
  <c r="E22" i="11"/>
  <c r="D22" i="11"/>
  <c r="Q21" i="11"/>
  <c r="P21" i="11"/>
  <c r="R21" i="11" s="1"/>
  <c r="I21" i="11"/>
  <c r="Q20" i="11"/>
  <c r="P20" i="11"/>
  <c r="R20" i="11" s="1"/>
  <c r="I20" i="11"/>
  <c r="Q19" i="11"/>
  <c r="P19" i="11"/>
  <c r="R19" i="11" s="1"/>
  <c r="I19" i="11"/>
  <c r="Q18" i="11"/>
  <c r="P18" i="11"/>
  <c r="R18" i="11" s="1"/>
  <c r="I18" i="11"/>
  <c r="Q17" i="11"/>
  <c r="P17" i="11"/>
  <c r="R17" i="11" s="1"/>
  <c r="I17" i="11"/>
  <c r="Q16" i="11"/>
  <c r="P16" i="11"/>
  <c r="R16" i="11" s="1"/>
  <c r="I16" i="11"/>
  <c r="Q15" i="11"/>
  <c r="P15" i="11"/>
  <c r="R15" i="11" s="1"/>
  <c r="I15" i="11"/>
  <c r="Q14" i="11"/>
  <c r="P14" i="11"/>
  <c r="R14" i="11" s="1"/>
  <c r="I14" i="11"/>
  <c r="Q13" i="11"/>
  <c r="P13" i="11"/>
  <c r="R13" i="11" s="1"/>
  <c r="I13" i="11"/>
  <c r="P12" i="11"/>
  <c r="I12" i="11"/>
  <c r="Q11" i="11"/>
  <c r="P11" i="11"/>
  <c r="R11" i="11" s="1"/>
  <c r="I11" i="11"/>
  <c r="Q10" i="11"/>
  <c r="P10" i="11"/>
  <c r="R10" i="11" s="1"/>
  <c r="I10" i="11"/>
  <c r="F12" i="4"/>
  <c r="E12" i="4"/>
  <c r="D12" i="4"/>
  <c r="C12" i="4"/>
  <c r="F11" i="4"/>
  <c r="E11" i="4"/>
  <c r="D11" i="4"/>
  <c r="C11" i="4"/>
  <c r="I22" i="11" l="1"/>
  <c r="P22" i="11"/>
  <c r="R12" i="11"/>
  <c r="R22" i="11" s="1"/>
  <c r="E14" i="18"/>
  <c r="D14" i="18"/>
  <c r="F14" i="18"/>
  <c r="D11" i="17" l="1"/>
  <c r="C11" i="17"/>
  <c r="E11" i="17"/>
  <c r="E11" i="16"/>
  <c r="C11" i="16"/>
  <c r="C10" i="16"/>
  <c r="I13" i="4"/>
  <c r="M13" i="4"/>
  <c r="J13" i="4"/>
  <c r="H13" i="4"/>
  <c r="D11" i="16"/>
  <c r="N13" i="4"/>
  <c r="G13" i="4"/>
  <c r="H12" i="4"/>
  <c r="P12" i="4" s="1"/>
  <c r="Q12" i="4" s="1"/>
  <c r="G12" i="4"/>
  <c r="J12" i="4"/>
  <c r="M12" i="4"/>
  <c r="N12" i="4"/>
  <c r="E10" i="17"/>
  <c r="F13" i="18"/>
  <c r="E13" i="18"/>
  <c r="D13" i="18"/>
  <c r="C13" i="18"/>
  <c r="D10" i="17"/>
  <c r="C10" i="17"/>
  <c r="C21" i="17" s="1"/>
  <c r="B10" i="17"/>
  <c r="E10" i="16"/>
  <c r="B10" i="16"/>
  <c r="D10" i="16"/>
  <c r="H11" i="4"/>
  <c r="P11" i="4" s="1"/>
  <c r="Q11" i="4" s="1"/>
  <c r="O11" i="4"/>
  <c r="O23" i="4"/>
  <c r="G11" i="4"/>
  <c r="G23" i="4" s="1"/>
  <c r="M11" i="4"/>
  <c r="M23" i="4" s="1"/>
  <c r="I11" i="4"/>
  <c r="I23" i="4"/>
  <c r="J11" i="4"/>
  <c r="N11" i="4"/>
  <c r="N23" i="4" s="1"/>
  <c r="F12" i="18"/>
  <c r="E12" i="18"/>
  <c r="E24" i="18" s="1"/>
  <c r="D12" i="18"/>
  <c r="C12" i="18"/>
  <c r="C24" i="18" s="1"/>
  <c r="F24" i="18"/>
  <c r="D24" i="18"/>
  <c r="E9" i="17"/>
  <c r="D9" i="17"/>
  <c r="D21" i="17"/>
  <c r="C9" i="17"/>
  <c r="B9" i="17"/>
  <c r="B21" i="17" s="1"/>
  <c r="E21" i="17"/>
  <c r="E9" i="16"/>
  <c r="E21" i="16" s="1"/>
  <c r="D9" i="16"/>
  <c r="D21" i="16"/>
  <c r="C9" i="16"/>
  <c r="C21" i="16"/>
  <c r="B9" i="16"/>
  <c r="P22" i="4"/>
  <c r="Q22" i="4" s="1"/>
  <c r="P21" i="4"/>
  <c r="Q21" i="4" s="1"/>
  <c r="P20" i="4"/>
  <c r="Q20" i="4"/>
  <c r="P19" i="4"/>
  <c r="P18" i="4"/>
  <c r="Q18" i="4" s="1"/>
  <c r="P17" i="4"/>
  <c r="Q17" i="4" s="1"/>
  <c r="P16" i="4"/>
  <c r="P15" i="4"/>
  <c r="P14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J16" i="18"/>
  <c r="I16" i="18"/>
  <c r="L14" i="18"/>
  <c r="K14" i="18"/>
  <c r="J14" i="18"/>
  <c r="I14" i="18"/>
  <c r="L13" i="18"/>
  <c r="L24" i="18"/>
  <c r="K13" i="18"/>
  <c r="J13" i="18"/>
  <c r="I13" i="18"/>
  <c r="L12" i="18"/>
  <c r="K12" i="18"/>
  <c r="K24" i="18" s="1"/>
  <c r="J12" i="18"/>
  <c r="J24" i="18"/>
  <c r="I12" i="18"/>
  <c r="I24" i="18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I14" i="17"/>
  <c r="H14" i="17"/>
  <c r="K13" i="17"/>
  <c r="J13" i="17"/>
  <c r="I13" i="17"/>
  <c r="H13" i="17"/>
  <c r="K11" i="17"/>
  <c r="J11" i="17"/>
  <c r="I11" i="17"/>
  <c r="H11" i="17"/>
  <c r="K10" i="17"/>
  <c r="K21" i="17"/>
  <c r="J10" i="17"/>
  <c r="I10" i="17"/>
  <c r="H10" i="17"/>
  <c r="H21" i="17"/>
  <c r="K9" i="17"/>
  <c r="J9" i="17"/>
  <c r="J21" i="17" s="1"/>
  <c r="I9" i="17"/>
  <c r="I21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4" i="16"/>
  <c r="J14" i="16"/>
  <c r="I14" i="16"/>
  <c r="H14" i="16"/>
  <c r="K13" i="16"/>
  <c r="J13" i="16"/>
  <c r="I13" i="16"/>
  <c r="H13" i="16"/>
  <c r="K11" i="16"/>
  <c r="J11" i="16"/>
  <c r="I11" i="16"/>
  <c r="H11" i="16"/>
  <c r="K10" i="16"/>
  <c r="J10" i="16"/>
  <c r="J21" i="16" s="1"/>
  <c r="I10" i="16"/>
  <c r="H10" i="16"/>
  <c r="K9" i="16"/>
  <c r="K21" i="16" s="1"/>
  <c r="J9" i="16"/>
  <c r="I9" i="16"/>
  <c r="I21" i="16" s="1"/>
  <c r="H9" i="16"/>
  <c r="H21" i="16" s="1"/>
  <c r="F23" i="4"/>
  <c r="E23" i="4"/>
  <c r="D23" i="4"/>
  <c r="C23" i="4"/>
  <c r="Q19" i="4"/>
  <c r="I8" i="26"/>
  <c r="C10" i="26"/>
  <c r="C11" i="26"/>
  <c r="C12" i="26"/>
  <c r="C13" i="26"/>
  <c r="C14" i="26"/>
  <c r="C15" i="26"/>
  <c r="C16" i="26"/>
  <c r="C17" i="26"/>
  <c r="C18" i="26"/>
  <c r="H18" i="26"/>
  <c r="C19" i="26"/>
  <c r="C20" i="26"/>
  <c r="C21" i="26"/>
  <c r="C22" i="26"/>
  <c r="C23" i="26"/>
  <c r="C24" i="26"/>
  <c r="N24" i="26"/>
  <c r="P24" i="26"/>
  <c r="D25" i="26"/>
  <c r="C12" i="11" s="1"/>
  <c r="C22" i="11" s="1"/>
  <c r="E25" i="26"/>
  <c r="J12" i="11" s="1"/>
  <c r="N26" i="26"/>
  <c r="P26" i="26"/>
  <c r="H28" i="26"/>
  <c r="K33" i="26"/>
  <c r="B7" i="17"/>
  <c r="Q16" i="4"/>
  <c r="L23" i="4"/>
  <c r="Q14" i="4"/>
  <c r="B23" i="4"/>
  <c r="K23" i="4"/>
  <c r="J23" i="4"/>
  <c r="Q15" i="4"/>
  <c r="B21" i="16"/>
  <c r="H23" i="4" l="1"/>
  <c r="P23" i="4" s="1"/>
  <c r="P13" i="4"/>
  <c r="Q13" i="4" s="1"/>
  <c r="R14" i="4" s="1"/>
  <c r="E27" i="16"/>
  <c r="J22" i="11"/>
  <c r="Q12" i="11"/>
  <c r="Q22" i="11" s="1"/>
  <c r="C25" i="26"/>
  <c r="M6" i="26" s="1"/>
  <c r="Q23" i="4" l="1"/>
  <c r="Q24" i="4"/>
</calcChain>
</file>

<file path=xl/sharedStrings.xml><?xml version="1.0" encoding="utf-8"?>
<sst xmlns="http://schemas.openxmlformats.org/spreadsheetml/2006/main" count="342" uniqueCount="205">
  <si>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</si>
  <si>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</si>
  <si>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</si>
  <si>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</si>
  <si>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</si>
  <si>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</si>
  <si>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</si>
  <si>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</si>
  <si>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</si>
  <si>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</si>
  <si>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</si>
  <si>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</si>
  <si>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</si>
  <si>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</si>
  <si>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</si>
  <si>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</si>
  <si>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</si>
  <si>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</si>
  <si>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</si>
  <si>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</si>
  <si>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</si>
  <si>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</si>
  <si>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</si>
  <si>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</si>
  <si>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</si>
  <si>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</si>
  <si>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</si>
  <si>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</si>
  <si>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</si>
  <si>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</si>
  <si>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</si>
  <si>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</si>
  <si>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</si>
  <si>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</si>
  <si>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</si>
  <si>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</si>
  <si>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</si>
  <si>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</si>
  <si>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</si>
  <si>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</si>
  <si>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</si>
  <si>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</si>
  <si>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</si>
  <si>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</si>
  <si>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</si>
  <si>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</si>
  <si>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</si>
  <si>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</si>
  <si>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</si>
  <si>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</si>
  <si>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</si>
  <si>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</si>
  <si>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</si>
  <si>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</si>
  <si>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</si>
  <si>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</si>
  <si>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</si>
  <si>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</si>
  <si>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</si>
  <si>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</si>
  <si>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</si>
  <si>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</si>
  <si>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</si>
  <si>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</si>
  <si>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</si>
  <si>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</si>
  <si>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</si>
  <si>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</si>
  <si>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</si>
  <si>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ASEGURADOS QUE CUMPLIERON 70 AÑOS DE EDAD DURANTE EL AÑO 2019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</si>
  <si>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</si>
  <si>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</si>
  <si>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</si>
  <si>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</si>
  <si>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</si>
  <si>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</si>
  <si>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</si>
  <si>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</si>
  <si>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VALORES PAGADOS POR EL ASEGURADO</t>
  </si>
  <si>
    <t>CANTIDAD LÍQUIDA PAGADA</t>
  </si>
  <si>
    <t xml:space="preserve">JULIO  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</si>
  <si>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</si>
  <si>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</si>
  <si>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</si>
  <si>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</si>
  <si>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</si>
  <si>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</si>
  <si>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</si>
  <si>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</si>
  <si>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</si>
  <si>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</si>
  <si>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</si>
  <si>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</si>
  <si>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</si>
  <si>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Vo.Bo.:</t>
  </si>
  <si>
    <t>CANCER DE MAMA</t>
  </si>
  <si>
    <t>CANCER DE COLON</t>
  </si>
  <si>
    <t>CANCER DE OTRO TIPO</t>
  </si>
  <si>
    <t>DETALLE DE SEGUROS INDIVIDUALES</t>
  </si>
  <si>
    <t xml:space="preserve">         Vo.Bo.:</t>
  </si>
  <si>
    <t>NUMERO DE SEGUROS RECLAMADOS</t>
  </si>
  <si>
    <t>NUMERO DE SEGUROS RECLAMA-DOS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</si>
  <si>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</si>
  <si>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</si>
  <si>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</si>
  <si>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</si>
  <si>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</si>
  <si>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</si>
  <si>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</si>
  <si>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</si>
  <si>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</si>
  <si>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</si>
  <si>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</si>
  <si>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</si>
  <si>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</si>
  <si>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</si>
  <si>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</si>
  <si>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</si>
  <si>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</si>
  <si>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</si>
  <si>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</si>
  <si>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</si>
  <si>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</si>
  <si>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</si>
  <si>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</si>
  <si>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POR SEPELIO</t>
  </si>
  <si>
    <t xml:space="preserve">ENFERMEDADES O FALLAS HEPATICAS; CIRROSIS </t>
  </si>
  <si>
    <t>SHOCK SÉPTICOS; SÉPSIS O SEPTICEMIAS</t>
  </si>
  <si>
    <t xml:space="preserve">             </t>
  </si>
  <si>
    <t>SPS</t>
  </si>
  <si>
    <t>PAGADO EN SEGURO DECRECIENTE DE DEUDA</t>
  </si>
  <si>
    <t>*Lr</t>
  </si>
  <si>
    <t>*LR</t>
  </si>
  <si>
    <t>*lr</t>
  </si>
  <si>
    <t>ASFIXIA POR ESTRANGULACIÓN,AHORCAMIENTO O SUMERSION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</si>
  <si>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</si>
  <si>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</si>
  <si>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</si>
  <si>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</si>
  <si>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</si>
  <si>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</si>
  <si>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</si>
  <si>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</si>
  <si>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</si>
  <si>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</si>
  <si>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</si>
  <si>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</si>
  <si>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</si>
  <si>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</si>
  <si>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</si>
  <si>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</si>
  <si>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</si>
  <si>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</si>
  <si>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</si>
  <si>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</si>
  <si>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</si>
  <si>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</si>
  <si>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</si>
  <si>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</si>
  <si>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</si>
  <si>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</si>
  <si>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</si>
  <si>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t>DE VIDA DOTAL POR VENCIMIENTO DE PÓLIZA AÑO 2019</t>
  </si>
  <si>
    <t>DE VIDA DOTAL POR VENCIMIENTO DE PÓLIZA  AÑO 2020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</si>
  <si>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</si>
  <si>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</si>
  <si>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</si>
  <si>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</si>
  <si>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 xml:space="preserve">ASEGURADOS  FALLECIDOS REPORTADOS EN EL MES  </t>
  </si>
  <si>
    <t xml:space="preserve">COVID O SOSPECHA  O RELACIONADAS </t>
  </si>
  <si>
    <t>DEL 01 AL 31 DE DICIEMBRE AÑO 2020</t>
  </si>
  <si>
    <t>No. 2</t>
  </si>
  <si>
    <t>DEL 01 DE ENERO AL 31 DE DICIEMBRE AÑO 2020</t>
  </si>
  <si>
    <t>ASEGURADOS QUE CUMPLIERON 70 AÑOS DE EDAD DURANTE EL AÑO 2021</t>
  </si>
  <si>
    <t>DE SEGURO DE VIDA DOTAL PAGADOS AÑO 2021</t>
  </si>
  <si>
    <t>GF</t>
  </si>
  <si>
    <t>R 01-12</t>
  </si>
  <si>
    <t>R 01-16</t>
  </si>
  <si>
    <t>13-32</t>
  </si>
  <si>
    <t>17-33</t>
  </si>
  <si>
    <t>(21-22-23)Anualdos.</t>
  </si>
  <si>
    <t>DE SEGURO DE VIDA DOTAL PAGADOS AÑO 2020</t>
  </si>
  <si>
    <t>33-56</t>
  </si>
  <si>
    <t>34-57</t>
  </si>
  <si>
    <t>PAGADO CASO ESPECIAL                     SEGURO DE VIDA OPCIONAL</t>
  </si>
  <si>
    <t>PAGADO EN SEGURO DE VIDA DOTAL Y CASOS ESPECIALES DE DOTAL</t>
  </si>
  <si>
    <t>CORRESPONDIENTE AL PERIODO DEL DEL 01  AL 31 DE MARZO AÑO 2021</t>
  </si>
  <si>
    <t>SEGUROS PEND. DE PAGO DE OTROS AÑOS, PAGADOS EN EL 2021 (CUADROS APROBADOS POR CD+ CASOS DE INV)</t>
  </si>
  <si>
    <t>Nº DE BENEF. A LOS QUE SE LES HA PAGADO EN EL AÑO 2021 (CUADROS APROBADOS POR CD + CASOS DE INV)</t>
  </si>
  <si>
    <t xml:space="preserve"> FALLECIDOS  AÑO 2021 QUE HAN RECLAMADO Y PAGADO (CUADROS APROBADOS POR CD)</t>
  </si>
  <si>
    <t>DEL 01 AL 31 DE ENERO AL 31 DE MARZO DEL AÑO 2021</t>
  </si>
  <si>
    <t>DEL 01 DE ENERO AL 31 MARZO AÑO 2021</t>
  </si>
  <si>
    <t>Y POR TIPOS DE SEGUROS DEL 01 AL 31 DE MARZO AÑO 2021</t>
  </si>
  <si>
    <t>DEUDA</t>
  </si>
  <si>
    <t>DEL 01 AL 31 DE MARZO AÑO 2021</t>
  </si>
  <si>
    <t>SOLO SDD</t>
  </si>
  <si>
    <t>SDD CON OTRO SEGURO</t>
  </si>
  <si>
    <t>San Salvador, 09 de abril 2021</t>
  </si>
  <si>
    <t>San Salvador, 09 de abril  2021</t>
  </si>
  <si>
    <t>San Salvador, 09 de abril del año 2021</t>
  </si>
  <si>
    <t xml:space="preserve">Walter Edgardo Funes Callejas </t>
  </si>
  <si>
    <t xml:space="preserve">   Jefe Unidad de Seguros</t>
  </si>
  <si>
    <t>No. 1</t>
  </si>
  <si>
    <t>No. 3</t>
  </si>
  <si>
    <t>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</si>
</sst>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&quot;$&quot;* #,##0.00_-;\-&quot;$&quot;* #,##0.00_-;_-&quot;$&quot;* &quot;-&quot;??_-;_-@_-"/>
    <numFmt numFmtId="168" formatCode="_-[$$-C09]* #,##0.00_-;\-[$$-C09]* #,##0.00_-;_-[$$-C09]* &quot;-&quot;??_-;_-@_-"/>
    <numFmt numFmtId="169" formatCode="_([$$-440A]* #,##0.00_);_([$$-440A]* \(#,##0.00\);_([$$-440A]* &quot;-&quot;??_);_(@_)"/>
    <numFmt numFmtId="171" formatCode="_([$€]* #,##0.00_);_([$€]* \(#,##0.00\);_([$€]* &quot;-&quot;??_);_(@_)"/>
    <numFmt numFmtId="172" formatCode="&quot;$&quot;#,##0.00;[Red]&quot;$&quot;#,##0.00"/>
  </numFmts>
  <fonts count="66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b/>
      <sz val="8"/>
      <color theme="4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5"/>
      <color theme="0"/>
      <name val="Arial"/>
      <family val="2"/>
    </font>
    <font>
      <b/>
      <sz val="8"/>
      <color theme="0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4">
    <xf numFmtId="0" fontId="0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36" fillId="0" borderId="0"/>
    <xf numFmtId="9" fontId="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1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8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8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8" fontId="3" fillId="0" borderId="7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6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8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8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8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167" fontId="9" fillId="0" borderId="5" xfId="6" applyFont="1" applyBorder="1" applyAlignment="1">
      <alignment horizontal="center"/>
    </xf>
    <xf numFmtId="168" fontId="9" fillId="0" borderId="5" xfId="7" applyNumberFormat="1" applyFont="1" applyBorder="1" applyAlignment="1">
      <alignment horizontal="center"/>
    </xf>
    <xf numFmtId="0" fontId="39" fillId="0" borderId="0" xfId="7" applyFont="1"/>
    <xf numFmtId="168" fontId="5" fillId="0" borderId="5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40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8" fontId="41" fillId="0" borderId="0" xfId="0" applyNumberFormat="1" applyFont="1"/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17" fontId="34" fillId="0" borderId="29" xfId="0" applyNumberFormat="1" applyFont="1" applyBorder="1" applyAlignment="1">
      <alignment horizontal="left"/>
    </xf>
    <xf numFmtId="17" fontId="34" fillId="0" borderId="30" xfId="0" applyNumberFormat="1" applyFont="1" applyBorder="1" applyAlignment="1">
      <alignment horizontal="left"/>
    </xf>
    <xf numFmtId="0" fontId="6" fillId="0" borderId="31" xfId="0" applyFont="1" applyBorder="1" applyAlignment="1">
      <alignment horizontal="center"/>
    </xf>
    <xf numFmtId="17" fontId="35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6" fontId="5" fillId="0" borderId="38" xfId="5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7" fontId="5" fillId="0" borderId="42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168" fontId="3" fillId="0" borderId="0" xfId="7" applyNumberFormat="1" applyFont="1"/>
    <xf numFmtId="166" fontId="1" fillId="0" borderId="6" xfId="4" applyFont="1" applyBorder="1" applyAlignment="1">
      <alignment horizontal="center"/>
    </xf>
    <xf numFmtId="0" fontId="7" fillId="0" borderId="4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166" fontId="5" fillId="0" borderId="50" xfId="5" applyFont="1" applyBorder="1" applyAlignment="1">
      <alignment horizontal="center"/>
    </xf>
    <xf numFmtId="17" fontId="5" fillId="0" borderId="51" xfId="0" applyNumberFormat="1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0" fontId="7" fillId="0" borderId="54" xfId="0" applyFont="1" applyBorder="1" applyAlignment="1">
      <alignment horizontal="center" vertical="center" wrapText="1" shrinkToFit="1"/>
    </xf>
    <xf numFmtId="166" fontId="5" fillId="0" borderId="55" xfId="5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166" fontId="6" fillId="0" borderId="57" xfId="4" applyFont="1" applyBorder="1" applyAlignment="1">
      <alignment horizontal="center"/>
    </xf>
    <xf numFmtId="0" fontId="0" fillId="0" borderId="58" xfId="0" applyBorder="1"/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1" xfId="0" applyNumberFormat="1" applyFont="1" applyFill="1" applyBorder="1" applyAlignment="1">
      <alignment horizontal="left" vertical="center" wrapText="1"/>
    </xf>
    <xf numFmtId="1" fontId="17" fillId="0" borderId="41" xfId="0" applyNumberFormat="1" applyFont="1" applyFill="1" applyBorder="1" applyAlignment="1">
      <alignment horizontal="left" vertical="center" wrapText="1"/>
    </xf>
    <xf numFmtId="168" fontId="5" fillId="0" borderId="41" xfId="0" applyNumberFormat="1" applyFont="1" applyBorder="1" applyAlignment="1">
      <alignment horizontal="center"/>
    </xf>
    <xf numFmtId="169" fontId="5" fillId="0" borderId="0" xfId="5" applyNumberFormat="1" applyFont="1" applyBorder="1"/>
    <xf numFmtId="168" fontId="5" fillId="0" borderId="41" xfId="0" applyNumberFormat="1" applyFont="1" applyFill="1" applyBorder="1" applyAlignment="1">
      <alignment horizontal="center"/>
    </xf>
    <xf numFmtId="169" fontId="5" fillId="0" borderId="41" xfId="5" applyNumberFormat="1" applyFont="1" applyBorder="1"/>
    <xf numFmtId="169" fontId="5" fillId="0" borderId="41" xfId="5" applyNumberFormat="1" applyFont="1" applyBorder="1" applyAlignment="1">
      <alignment horizontal="center"/>
    </xf>
    <xf numFmtId="169" fontId="5" fillId="0" borderId="41" xfId="5" applyNumberFormat="1" applyFont="1" applyFill="1" applyBorder="1" applyAlignment="1">
      <alignment horizontal="center"/>
    </xf>
    <xf numFmtId="169" fontId="5" fillId="0" borderId="63" xfId="5" applyNumberFormat="1" applyFont="1" applyFill="1" applyBorder="1" applyAlignment="1">
      <alignment horizontal="center"/>
    </xf>
    <xf numFmtId="168" fontId="5" fillId="0" borderId="52" xfId="0" applyNumberFormat="1" applyFont="1" applyBorder="1" applyAlignment="1">
      <alignment horizontal="center"/>
    </xf>
    <xf numFmtId="168" fontId="5" fillId="0" borderId="48" xfId="0" applyNumberFormat="1" applyFont="1" applyBorder="1" applyAlignment="1">
      <alignment horizontal="center"/>
    </xf>
    <xf numFmtId="168" fontId="5" fillId="0" borderId="64" xfId="0" applyNumberFormat="1" applyFont="1" applyBorder="1" applyAlignment="1">
      <alignment horizontal="center"/>
    </xf>
    <xf numFmtId="168" fontId="5" fillId="0" borderId="38" xfId="0" applyNumberFormat="1" applyFont="1" applyBorder="1" applyAlignment="1">
      <alignment horizontal="center"/>
    </xf>
    <xf numFmtId="1" fontId="11" fillId="0" borderId="41" xfId="0" applyNumberFormat="1" applyFont="1" applyFill="1" applyBorder="1" applyAlignment="1">
      <alignment horizontal="left"/>
    </xf>
    <xf numFmtId="1" fontId="5" fillId="0" borderId="41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 wrapText="1"/>
    </xf>
    <xf numFmtId="1" fontId="5" fillId="0" borderId="42" xfId="0" applyNumberFormat="1" applyFont="1" applyFill="1" applyBorder="1" applyAlignment="1">
      <alignment horizontal="left"/>
    </xf>
    <xf numFmtId="1" fontId="5" fillId="0" borderId="64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64" xfId="0" applyFont="1" applyFill="1" applyBorder="1" applyAlignment="1">
      <alignment horizontal="left"/>
    </xf>
    <xf numFmtId="1" fontId="32" fillId="0" borderId="42" xfId="0" applyNumberFormat="1" applyFont="1" applyFill="1" applyBorder="1" applyAlignment="1">
      <alignment horizontal="left" vertical="center" wrapText="1"/>
    </xf>
    <xf numFmtId="0" fontId="6" fillId="0" borderId="65" xfId="0" applyFont="1" applyBorder="1" applyAlignment="1">
      <alignment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" fontId="9" fillId="0" borderId="66" xfId="0" applyNumberFormat="1" applyFont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66" xfId="0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11" fillId="0" borderId="62" xfId="0" applyNumberFormat="1" applyFont="1" applyFill="1" applyBorder="1" applyAlignment="1">
      <alignment horizontal="left"/>
    </xf>
    <xf numFmtId="0" fontId="5" fillId="0" borderId="41" xfId="0" applyFont="1" applyBorder="1"/>
    <xf numFmtId="1" fontId="11" fillId="0" borderId="63" xfId="0" applyNumberFormat="1" applyFont="1" applyFill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1" fontId="5" fillId="0" borderId="55" xfId="0" applyNumberFormat="1" applyFont="1" applyFill="1" applyBorder="1" applyAlignment="1">
      <alignment horizontal="center"/>
    </xf>
    <xf numFmtId="1" fontId="5" fillId="0" borderId="64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" fontId="5" fillId="0" borderId="60" xfId="0" applyNumberFormat="1" applyFont="1" applyFill="1" applyBorder="1" applyAlignment="1">
      <alignment horizontal="center"/>
    </xf>
    <xf numFmtId="1" fontId="5" fillId="0" borderId="68" xfId="0" applyNumberFormat="1" applyFont="1" applyFill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37" fontId="5" fillId="0" borderId="67" xfId="0" applyNumberFormat="1" applyFont="1" applyFill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37" fontId="5" fillId="0" borderId="71" xfId="0" applyNumberFormat="1" applyFont="1" applyFill="1" applyBorder="1" applyAlignment="1">
      <alignment horizontal="center"/>
    </xf>
    <xf numFmtId="1" fontId="6" fillId="0" borderId="57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37" fontId="5" fillId="0" borderId="67" xfId="0" applyNumberFormat="1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37" fontId="5" fillId="0" borderId="61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37" fontId="9" fillId="0" borderId="59" xfId="0" applyNumberFormat="1" applyFont="1" applyFill="1" applyBorder="1" applyAlignment="1">
      <alignment horizontal="center"/>
    </xf>
    <xf numFmtId="37" fontId="6" fillId="0" borderId="70" xfId="0" applyNumberFormat="1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 vertical="center"/>
    </xf>
    <xf numFmtId="37" fontId="5" fillId="0" borderId="0" xfId="0" applyNumberFormat="1" applyFont="1"/>
    <xf numFmtId="0" fontId="5" fillId="3" borderId="50" xfId="0" applyFont="1" applyFill="1" applyBorder="1" applyAlignment="1">
      <alignment horizontal="center"/>
    </xf>
    <xf numFmtId="166" fontId="5" fillId="3" borderId="50" xfId="5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7" fontId="42" fillId="0" borderId="5" xfId="7" applyNumberFormat="1" applyFont="1" applyBorder="1" applyAlignment="1">
      <alignment horizontal="left"/>
    </xf>
    <xf numFmtId="0" fontId="42" fillId="0" borderId="5" xfId="7" applyFont="1" applyBorder="1" applyAlignment="1">
      <alignment horizontal="center"/>
    </xf>
    <xf numFmtId="167" fontId="42" fillId="0" borderId="5" xfId="6" applyFont="1" applyBorder="1" applyAlignment="1">
      <alignment horizontal="center"/>
    </xf>
    <xf numFmtId="168" fontId="42" fillId="0" borderId="5" xfId="7" applyNumberFormat="1" applyFont="1" applyBorder="1" applyAlignment="1">
      <alignment horizontal="center"/>
    </xf>
    <xf numFmtId="167" fontId="36" fillId="0" borderId="5" xfId="6" applyFont="1" applyBorder="1"/>
    <xf numFmtId="17" fontId="42" fillId="0" borderId="5" xfId="9" applyNumberFormat="1" applyFont="1" applyBorder="1" applyAlignment="1">
      <alignment horizontal="left"/>
    </xf>
    <xf numFmtId="0" fontId="43" fillId="0" borderId="5" xfId="7" applyFont="1" applyBorder="1"/>
    <xf numFmtId="0" fontId="43" fillId="0" borderId="6" xfId="0" applyFont="1" applyBorder="1" applyAlignment="1">
      <alignment horizontal="center"/>
    </xf>
    <xf numFmtId="167" fontId="43" fillId="0" borderId="6" xfId="0" applyNumberFormat="1" applyFont="1" applyBorder="1" applyAlignment="1">
      <alignment horizontal="center"/>
    </xf>
    <xf numFmtId="168" fontId="43" fillId="0" borderId="6" xfId="0" applyNumberFormat="1" applyFont="1" applyBorder="1" applyAlignment="1">
      <alignment horizontal="center"/>
    </xf>
    <xf numFmtId="168" fontId="43" fillId="0" borderId="1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3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7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44" fillId="0" borderId="5" xfId="6" applyFont="1" applyBorder="1"/>
    <xf numFmtId="168" fontId="3" fillId="0" borderId="5" xfId="7" applyNumberFormat="1" applyFont="1" applyBorder="1" applyAlignment="1">
      <alignment horizontal="center"/>
    </xf>
    <xf numFmtId="0" fontId="45" fillId="0" borderId="0" xfId="0" applyFont="1"/>
    <xf numFmtId="1" fontId="6" fillId="0" borderId="66" xfId="0" applyNumberFormat="1" applyFont="1" applyBorder="1" applyAlignment="1">
      <alignment horizontal="center" vertical="center"/>
    </xf>
    <xf numFmtId="0" fontId="0" fillId="0" borderId="0" xfId="0" applyFont="1"/>
    <xf numFmtId="167" fontId="46" fillId="0" borderId="5" xfId="6" applyFont="1" applyBorder="1"/>
    <xf numFmtId="0" fontId="3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0" fontId="41" fillId="0" borderId="0" xfId="0" applyFont="1"/>
    <xf numFmtId="166" fontId="40" fillId="0" borderId="82" xfId="5" applyFont="1" applyBorder="1" applyAlignment="1">
      <alignment horizontal="center"/>
    </xf>
    <xf numFmtId="166" fontId="41" fillId="0" borderId="0" xfId="0" applyNumberFormat="1" applyFont="1"/>
    <xf numFmtId="167" fontId="41" fillId="0" borderId="0" xfId="0" applyNumberFormat="1" applyFont="1"/>
    <xf numFmtId="166" fontId="49" fillId="0" borderId="46" xfId="4" applyFont="1" applyBorder="1" applyAlignment="1">
      <alignment horizontal="center"/>
    </xf>
    <xf numFmtId="164" fontId="50" fillId="0" borderId="0" xfId="11" applyNumberFormat="1" applyFont="1"/>
    <xf numFmtId="0" fontId="40" fillId="0" borderId="76" xfId="0" applyFont="1" applyBorder="1"/>
    <xf numFmtId="9" fontId="41" fillId="0" borderId="0" xfId="11" applyFont="1"/>
    <xf numFmtId="0" fontId="50" fillId="0" borderId="0" xfId="0" applyFont="1"/>
    <xf numFmtId="167" fontId="3" fillId="0" borderId="0" xfId="0" applyNumberFormat="1" applyFont="1"/>
    <xf numFmtId="17" fontId="51" fillId="0" borderId="87" xfId="0" applyNumberFormat="1" applyFont="1" applyBorder="1" applyAlignment="1">
      <alignment horizontal="left"/>
    </xf>
    <xf numFmtId="0" fontId="52" fillId="2" borderId="88" xfId="0" applyFont="1" applyFill="1" applyBorder="1" applyAlignment="1">
      <alignment horizontal="center"/>
    </xf>
    <xf numFmtId="0" fontId="53" fillId="0" borderId="88" xfId="0" applyFont="1" applyBorder="1" applyAlignment="1">
      <alignment horizontal="center"/>
    </xf>
    <xf numFmtId="0" fontId="53" fillId="0" borderId="89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52" fillId="2" borderId="90" xfId="0" applyFont="1" applyFill="1" applyBorder="1" applyAlignment="1">
      <alignment horizontal="center"/>
    </xf>
    <xf numFmtId="0" fontId="54" fillId="2" borderId="72" xfId="0" applyFont="1" applyFill="1" applyBorder="1" applyAlignment="1">
      <alignment horizontal="center"/>
    </xf>
    <xf numFmtId="0" fontId="55" fillId="0" borderId="84" xfId="0" applyFont="1" applyBorder="1" applyAlignment="1">
      <alignment horizontal="center"/>
    </xf>
    <xf numFmtId="17" fontId="51" fillId="0" borderId="91" xfId="0" applyNumberFormat="1" applyFont="1" applyBorder="1" applyAlignment="1">
      <alignment horizontal="left"/>
    </xf>
    <xf numFmtId="0" fontId="52" fillId="2" borderId="20" xfId="0" applyFont="1" applyFill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4" fillId="2" borderId="18" xfId="0" applyFont="1" applyFill="1" applyBorder="1" applyAlignment="1">
      <alignment horizontal="center"/>
    </xf>
    <xf numFmtId="1" fontId="52" fillId="2" borderId="20" xfId="0" applyNumberFormat="1" applyFont="1" applyFill="1" applyBorder="1" applyAlignment="1">
      <alignment horizontal="center"/>
    </xf>
    <xf numFmtId="0" fontId="55" fillId="0" borderId="68" xfId="0" applyFont="1" applyBorder="1" applyAlignment="1">
      <alignment horizontal="center"/>
    </xf>
    <xf numFmtId="17" fontId="51" fillId="0" borderId="92" xfId="0" applyNumberFormat="1" applyFont="1" applyBorder="1" applyAlignment="1">
      <alignment horizontal="left"/>
    </xf>
    <xf numFmtId="17" fontId="56" fillId="0" borderId="93" xfId="0" applyNumberFormat="1" applyFont="1" applyBorder="1" applyAlignment="1">
      <alignment horizontal="left"/>
    </xf>
    <xf numFmtId="0" fontId="57" fillId="2" borderId="18" xfId="0" applyFont="1" applyFill="1" applyBorder="1" applyAlignment="1">
      <alignment horizontal="center"/>
    </xf>
    <xf numFmtId="0" fontId="57" fillId="0" borderId="28" xfId="0" applyFont="1" applyBorder="1" applyAlignment="1">
      <alignment horizontal="center"/>
    </xf>
    <xf numFmtId="17" fontId="56" fillId="0" borderId="94" xfId="0" applyNumberFormat="1" applyFont="1" applyBorder="1" applyAlignment="1">
      <alignment horizontal="left"/>
    </xf>
    <xf numFmtId="172" fontId="41" fillId="0" borderId="0" xfId="0" applyNumberFormat="1" applyFont="1"/>
    <xf numFmtId="0" fontId="58" fillId="0" borderId="0" xfId="0" applyFont="1"/>
    <xf numFmtId="0" fontId="59" fillId="0" borderId="0" xfId="0" applyFont="1"/>
    <xf numFmtId="167" fontId="60" fillId="0" borderId="0" xfId="0" applyNumberFormat="1" applyFont="1"/>
    <xf numFmtId="0" fontId="61" fillId="0" borderId="0" xfId="0" applyFont="1"/>
    <xf numFmtId="0" fontId="49" fillId="0" borderId="0" xfId="0" applyFont="1"/>
    <xf numFmtId="0" fontId="62" fillId="0" borderId="0" xfId="0" applyFont="1"/>
    <xf numFmtId="167" fontId="40" fillId="0" borderId="0" xfId="0" applyNumberFormat="1" applyFont="1"/>
    <xf numFmtId="166" fontId="49" fillId="0" borderId="0" xfId="0" applyNumberFormat="1" applyFont="1"/>
    <xf numFmtId="0" fontId="41" fillId="0" borderId="76" xfId="0" applyFont="1" applyBorder="1"/>
    <xf numFmtId="0" fontId="48" fillId="0" borderId="0" xfId="0" applyFont="1"/>
    <xf numFmtId="3" fontId="41" fillId="0" borderId="0" xfId="0" applyNumberFormat="1" applyFont="1"/>
    <xf numFmtId="166" fontId="0" fillId="0" borderId="0" xfId="4" applyFont="1"/>
    <xf numFmtId="165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7" fillId="2" borderId="10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center" vertical="center" wrapText="1"/>
    </xf>
    <xf numFmtId="0" fontId="53" fillId="0" borderId="109" xfId="0" applyFont="1" applyBorder="1" applyAlignment="1">
      <alignment horizontal="center"/>
    </xf>
    <xf numFmtId="0" fontId="53" fillId="0" borderId="110" xfId="0" applyFont="1" applyBorder="1" applyAlignment="1">
      <alignment horizontal="center"/>
    </xf>
    <xf numFmtId="0" fontId="52" fillId="2" borderId="111" xfId="0" applyFont="1" applyFill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6" fillId="0" borderId="112" xfId="0" applyFont="1" applyBorder="1" applyAlignment="1">
      <alignment horizontal="center"/>
    </xf>
    <xf numFmtId="1" fontId="52" fillId="2" borderId="111" xfId="0" applyNumberFormat="1" applyFont="1" applyFill="1" applyBorder="1" applyAlignment="1">
      <alignment horizontal="center"/>
    </xf>
    <xf numFmtId="37" fontId="9" fillId="0" borderId="4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32" fillId="0" borderId="81" xfId="0" applyFont="1" applyFill="1" applyBorder="1" applyAlignment="1">
      <alignment horizontal="center"/>
    </xf>
    <xf numFmtId="0" fontId="32" fillId="0" borderId="79" xfId="0" applyFont="1" applyFill="1" applyBorder="1" applyAlignment="1">
      <alignment horizontal="center"/>
    </xf>
    <xf numFmtId="0" fontId="32" fillId="0" borderId="80" xfId="0" applyFont="1" applyFill="1" applyBorder="1" applyAlignment="1">
      <alignment horizontal="center"/>
    </xf>
    <xf numFmtId="168" fontId="32" fillId="0" borderId="76" xfId="0" applyNumberFormat="1" applyFont="1" applyBorder="1" applyAlignment="1">
      <alignment horizontal="left" vertical="center" wrapText="1"/>
    </xf>
    <xf numFmtId="168" fontId="32" fillId="0" borderId="74" xfId="0" applyNumberFormat="1" applyFont="1" applyBorder="1" applyAlignment="1">
      <alignment horizontal="left" vertical="center" wrapText="1"/>
    </xf>
    <xf numFmtId="168" fontId="32" fillId="0" borderId="85" xfId="0" applyNumberFormat="1" applyFont="1" applyBorder="1" applyAlignment="1">
      <alignment horizontal="left" vertical="center" wrapText="1"/>
    </xf>
    <xf numFmtId="0" fontId="5" fillId="0" borderId="86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37" fontId="5" fillId="0" borderId="86" xfId="0" applyNumberFormat="1" applyFont="1" applyFill="1" applyBorder="1" applyAlignment="1">
      <alignment horizontal="center"/>
    </xf>
    <xf numFmtId="37" fontId="8" fillId="0" borderId="45" xfId="0" applyNumberFormat="1" applyFont="1" applyFill="1" applyBorder="1" applyAlignment="1">
      <alignment horizontal="center"/>
    </xf>
    <xf numFmtId="37" fontId="8" fillId="0" borderId="75" xfId="0" applyNumberFormat="1" applyFont="1" applyFill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6" fillId="3" borderId="0" xfId="7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95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33" fillId="0" borderId="95" xfId="0" applyFont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0" fontId="7" fillId="0" borderId="96" xfId="0" applyFont="1" applyBorder="1" applyAlignment="1">
      <alignment horizontal="center" vertical="center" wrapText="1" shrinkToFit="1"/>
    </xf>
    <xf numFmtId="0" fontId="7" fillId="0" borderId="97" xfId="0" applyFont="1" applyBorder="1" applyAlignment="1">
      <alignment horizontal="center" vertical="center" wrapText="1" shrinkToFit="1"/>
    </xf>
    <xf numFmtId="0" fontId="7" fillId="0" borderId="98" xfId="0" applyFont="1" applyBorder="1" applyAlignment="1">
      <alignment horizontal="center" vertical="center" wrapText="1" shrinkToFit="1"/>
    </xf>
    <xf numFmtId="0" fontId="47" fillId="0" borderId="86" xfId="0" applyFont="1" applyBorder="1" applyAlignment="1">
      <alignment horizontal="center" vertical="center" wrapText="1" shrinkToFit="1"/>
    </xf>
    <xf numFmtId="0" fontId="47" fillId="0" borderId="99" xfId="0" applyFont="1" applyBorder="1" applyAlignment="1">
      <alignment horizontal="center" vertical="center" wrapText="1" shrinkToFit="1"/>
    </xf>
    <xf numFmtId="0" fontId="3" fillId="0" borderId="47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7" fillId="0" borderId="100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1" xfId="9" applyFont="1" applyBorder="1" applyAlignment="1">
      <alignment horizontal="center" vertical="center" wrapText="1"/>
    </xf>
    <xf numFmtId="0" fontId="20" fillId="0" borderId="102" xfId="9" applyFont="1" applyBorder="1" applyAlignment="1">
      <alignment horizontal="center" vertical="center" wrapText="1"/>
    </xf>
    <xf numFmtId="0" fontId="20" fillId="0" borderId="103" xfId="9" applyFont="1" applyBorder="1" applyAlignment="1">
      <alignment horizontal="center" vertical="center" wrapText="1"/>
    </xf>
    <xf numFmtId="0" fontId="23" fillId="0" borderId="104" xfId="7" applyFont="1" applyBorder="1" applyAlignment="1">
      <alignment horizontal="center"/>
    </xf>
    <xf numFmtId="0" fontId="19" fillId="0" borderId="101" xfId="7" applyFont="1" applyBorder="1" applyAlignment="1">
      <alignment horizontal="center" wrapText="1"/>
    </xf>
    <xf numFmtId="0" fontId="19" fillId="0" borderId="102" xfId="7" applyFont="1" applyBorder="1" applyAlignment="1">
      <alignment horizontal="center" wrapText="1"/>
    </xf>
    <xf numFmtId="0" fontId="19" fillId="0" borderId="103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1" xfId="0" applyFont="1" applyBorder="1" applyAlignment="1">
      <alignment horizontal="center" wrapText="1"/>
    </xf>
    <xf numFmtId="0" fontId="19" fillId="0" borderId="102" xfId="0" applyFont="1" applyBorder="1" applyAlignment="1">
      <alignment horizontal="center" wrapText="1"/>
    </xf>
    <xf numFmtId="0" fontId="19" fillId="0" borderId="10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65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48" xfId="0" applyFont="1" applyBorder="1" applyAlignment="1">
      <alignment horizontal="center" wrapText="1"/>
    </xf>
    <xf numFmtId="0" fontId="9" fillId="0" borderId="7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9" fillId="0" borderId="66" xfId="0" applyFont="1" applyBorder="1" applyAlignment="1">
      <alignment horizontal="center" wrapText="1"/>
    </xf>
    <xf numFmtId="0" fontId="10" fillId="0" borderId="47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8" fontId="9" fillId="0" borderId="47" xfId="0" applyNumberFormat="1" applyFont="1" applyBorder="1" applyAlignment="1">
      <alignment horizontal="center"/>
    </xf>
    <xf numFmtId="168" fontId="9" fillId="0" borderId="59" xfId="0" applyNumberFormat="1" applyFont="1" applyBorder="1" applyAlignment="1">
      <alignment horizontal="center"/>
    </xf>
    <xf numFmtId="0" fontId="50" fillId="0" borderId="83" xfId="0" applyFont="1" applyFill="1" applyBorder="1" applyAlignment="1">
      <alignment horizontal="center"/>
    </xf>
    <xf numFmtId="0" fontId="50" fillId="0" borderId="105" xfId="0" applyFont="1" applyFill="1" applyBorder="1" applyAlignment="1">
      <alignment horizontal="center"/>
    </xf>
    <xf numFmtId="0" fontId="7" fillId="0" borderId="48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wrapText="1"/>
    </xf>
    <xf numFmtId="0" fontId="32" fillId="0" borderId="47" xfId="0" applyFont="1" applyFill="1" applyBorder="1" applyAlignment="1">
      <alignment horizontal="center"/>
    </xf>
    <xf numFmtId="0" fontId="32" fillId="0" borderId="83" xfId="0" applyFont="1" applyFill="1" applyBorder="1" applyAlignment="1">
      <alignment horizontal="center"/>
    </xf>
    <xf numFmtId="0" fontId="32" fillId="0" borderId="59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64" fillId="0" borderId="0" xfId="0" applyFont="1"/>
    <xf numFmtId="0" fontId="65" fillId="0" borderId="0" xfId="0" applyFont="1" applyAlignment="1">
      <alignment horizontal="center" wrapText="1"/>
    </xf>
    <xf numFmtId="164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166" fontId="45" fillId="0" borderId="0" xfId="0" applyNumberFormat="1" applyFont="1"/>
    <xf numFmtId="167" fontId="45" fillId="0" borderId="0" xfId="0" applyNumberFormat="1" applyFont="1"/>
    <xf numFmtId="167" fontId="59" fillId="0" borderId="0" xfId="0" applyNumberFormat="1" applyFont="1"/>
    <xf numFmtId="166" fontId="58" fillId="0" borderId="0" xfId="5" applyFont="1" applyFill="1" applyBorder="1" applyAlignment="1">
      <alignment horizontal="center"/>
    </xf>
    <xf numFmtId="166" fontId="64" fillId="0" borderId="0" xfId="4" applyFont="1" applyBorder="1" applyAlignment="1">
      <alignment horizontal="center"/>
    </xf>
    <xf numFmtId="166" fontId="45" fillId="0" borderId="0" xfId="7" applyNumberFormat="1" applyFont="1"/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1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</xdr:colOff>
      <xdr:row>2</xdr:row>
      <xdr:rowOff>104775</xdr:rowOff>
    </xdr:to>
    <xdr:pic>
      <xdr:nvPicPr>
        <xdr:cNvPr id="593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16509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68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7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10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120" zoomScaleNormal="120" workbookViewId="0">
      <selection activeCell="Q10" sqref="Q10:T24"/>
    </sheetView>
  </sheetViews>
  <sheetFormatPr baseColWidth="10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271" customWidth="1"/>
    <col min="17" max="17" width="16" style="271" customWidth="1"/>
    <col min="18" max="18" width="15.42578125" style="271" customWidth="1"/>
    <col min="19" max="19" width="11.42578125" style="27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17" t="s">
        <v>202</v>
      </c>
    </row>
    <row r="6" spans="1:22" x14ac:dyDescent="0.2">
      <c r="A6" s="350" t="s">
        <v>141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</row>
    <row r="7" spans="1:22" x14ac:dyDescent="0.2">
      <c r="A7" s="350" t="s">
        <v>186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</row>
    <row r="8" spans="1:22" ht="12.75" customHeight="1" thickBot="1" x14ac:dyDescent="0.25"/>
    <row r="9" spans="1:22" ht="12.75" customHeight="1" thickBot="1" x14ac:dyDescent="0.25">
      <c r="A9" s="355" t="s">
        <v>7</v>
      </c>
      <c r="B9" s="351" t="s">
        <v>189</v>
      </c>
      <c r="C9" s="353" t="s">
        <v>187</v>
      </c>
      <c r="D9" s="353" t="s">
        <v>188</v>
      </c>
      <c r="E9" s="358" t="s">
        <v>161</v>
      </c>
      <c r="F9" s="357"/>
      <c r="G9" s="365" t="s">
        <v>124</v>
      </c>
      <c r="H9" s="362" t="s">
        <v>135</v>
      </c>
      <c r="I9" s="363"/>
      <c r="J9" s="363"/>
      <c r="K9" s="363"/>
      <c r="L9" s="364"/>
      <c r="M9" s="357" t="s">
        <v>185</v>
      </c>
      <c r="N9" s="351" t="s">
        <v>125</v>
      </c>
      <c r="O9" s="358" t="s">
        <v>130</v>
      </c>
      <c r="P9" s="360" t="s">
        <v>1</v>
      </c>
      <c r="T9" s="264"/>
      <c r="U9" s="264"/>
    </row>
    <row r="10" spans="1:22" ht="75.75" customHeight="1" thickBot="1" x14ac:dyDescent="0.25">
      <c r="A10" s="356"/>
      <c r="B10" s="352"/>
      <c r="C10" s="354"/>
      <c r="D10" s="354"/>
      <c r="E10" s="166" t="s">
        <v>139</v>
      </c>
      <c r="F10" s="166" t="s">
        <v>140</v>
      </c>
      <c r="G10" s="366"/>
      <c r="H10" s="167" t="s">
        <v>138</v>
      </c>
      <c r="I10" s="167" t="s">
        <v>184</v>
      </c>
      <c r="J10" s="168" t="s">
        <v>18</v>
      </c>
      <c r="K10" s="161" t="s">
        <v>17</v>
      </c>
      <c r="L10" s="162" t="s">
        <v>136</v>
      </c>
      <c r="M10" s="352"/>
      <c r="N10" s="352"/>
      <c r="O10" s="359"/>
      <c r="P10" s="361"/>
      <c r="Q10" s="421"/>
      <c r="R10" s="264" t="s">
        <v>129</v>
      </c>
      <c r="S10" s="264" t="s">
        <v>175</v>
      </c>
      <c r="T10" s="264"/>
      <c r="U10" s="264"/>
    </row>
    <row r="11" spans="1:22" ht="23.1" customHeight="1" x14ac:dyDescent="0.2">
      <c r="A11" s="164" t="s">
        <v>2</v>
      </c>
      <c r="B11" s="165">
        <v>0</v>
      </c>
      <c r="C11" s="241">
        <f>1+1+1+7+10+12+14+1</f>
        <v>47</v>
      </c>
      <c r="D11" s="241">
        <f>1+3+4+1+14+20+29+35+1</f>
        <v>108</v>
      </c>
      <c r="E11" s="165">
        <f>1+1+1+2+7+7+7</f>
        <v>26</v>
      </c>
      <c r="F11" s="165">
        <f>5+3+5+14+1</f>
        <v>28</v>
      </c>
      <c r="G11" s="163">
        <f>8022.85+13142.85+13714.28+39428.55-0.02+0.03</f>
        <v>74308.539999999994</v>
      </c>
      <c r="H11" s="242">
        <f>46228.6-0.04+(17885.71+0.01-0.01+2000)+35440.01+0.02-0.04+45142.83+0.02</f>
        <v>146697.11000000002</v>
      </c>
      <c r="I11" s="242">
        <f>11428.57+30000</f>
        <v>41428.57</v>
      </c>
      <c r="J11" s="163">
        <f>1200+1142.86+1142.86+1142.86+266.67+1200+1142.86+1200+(285.72+285.71)+571.43+1200+285.72+1142.86+1142.86+571.43+1142.86</f>
        <v>15066.7</v>
      </c>
      <c r="K11" s="149">
        <v>1142.8499999999999</v>
      </c>
      <c r="L11" s="149">
        <v>0</v>
      </c>
      <c r="M11" s="163">
        <f>2285.71</f>
        <v>2285.71</v>
      </c>
      <c r="N11" s="242">
        <f>12*1142.86</f>
        <v>13714.32</v>
      </c>
      <c r="O11" s="169">
        <f>15671.51+6604.35</f>
        <v>22275.86</v>
      </c>
      <c r="P11" s="272">
        <f t="shared" ref="P11:P22" si="0">G11+H11+I11+J11+K11+L11+M11+N11+O11</f>
        <v>316919.66000000003</v>
      </c>
      <c r="Q11" s="422">
        <f>P11+'2. COMPR DEV 30%'!E9+'2. COMPR DEV 30%'!C9+'3. COMP VR'!C9+'3. COMP VR'!E9+'4. COMP VP'!D12+'4. COMP VP'!F12</f>
        <v>501513.26000000007</v>
      </c>
      <c r="R11" s="423" t="s">
        <v>176</v>
      </c>
      <c r="S11" s="424" t="s">
        <v>177</v>
      </c>
      <c r="T11" s="264"/>
      <c r="U11" s="274"/>
      <c r="V11" s="280"/>
    </row>
    <row r="12" spans="1:22" ht="23.1" customHeight="1" x14ac:dyDescent="0.2">
      <c r="A12" s="150" t="s">
        <v>3</v>
      </c>
      <c r="B12" s="165">
        <v>0</v>
      </c>
      <c r="C12" s="241">
        <f>13+1+9+15+1+1+12</f>
        <v>52</v>
      </c>
      <c r="D12" s="241">
        <f>29+2+18+30+3+2+28</f>
        <v>112</v>
      </c>
      <c r="E12" s="165">
        <f>5+3+7+1+6</f>
        <v>22</v>
      </c>
      <c r="F12" s="165">
        <f>8+1+6+8+1+6</f>
        <v>30</v>
      </c>
      <c r="G12" s="163">
        <f>16285.71+0.01-0.01+18685.72-0.02+0.01+27257.15-0.02+19885.69+0.02</f>
        <v>82114.260000000009</v>
      </c>
      <c r="H12" s="242">
        <f>63194.29+0.03-0.04+(34057.17-0.05+1371.44)+59342.86-0.02+0.02+400+55999.96-0.01+0.04</f>
        <v>214365.69</v>
      </c>
      <c r="I12" s="242">
        <v>11428.57</v>
      </c>
      <c r="J12" s="163">
        <f>1142.86+1142.86+571.43+1142.86+95.24+1028.57+285.72+1142.86+1142.86+1142.86+685.71+1142.86+200+85.72+(142.86+142.85+142.86)+1200+285.71+1200</f>
        <v>14066.689999999997</v>
      </c>
      <c r="K12" s="149">
        <v>0</v>
      </c>
      <c r="L12" s="149">
        <v>0</v>
      </c>
      <c r="M12" s="163">
        <f>571.44-0.01+1142.88-0.02+1142.87-0.01+1142.86</f>
        <v>4000.0099999999993</v>
      </c>
      <c r="N12" s="242">
        <f>17*1142.86</f>
        <v>19428.62</v>
      </c>
      <c r="O12" s="169">
        <v>0</v>
      </c>
      <c r="P12" s="272">
        <f t="shared" si="0"/>
        <v>345403.84</v>
      </c>
      <c r="Q12" s="425">
        <f>P12+'2. COMPR DEV 30%'!C10+'2. COMPR DEV 30%'!E10+'3. COMP VR'!C10+'3. COMP VR'!E10+'4. COMP VP'!D13+'4. COMP VP'!F13</f>
        <v>503137.56000000006</v>
      </c>
      <c r="R12" s="426" t="s">
        <v>178</v>
      </c>
      <c r="S12" s="264" t="s">
        <v>179</v>
      </c>
      <c r="T12" s="264" t="s">
        <v>180</v>
      </c>
      <c r="U12" s="303"/>
      <c r="V12" s="280"/>
    </row>
    <row r="13" spans="1:22" ht="23.1" customHeight="1" x14ac:dyDescent="0.2">
      <c r="A13" s="150" t="s">
        <v>4</v>
      </c>
      <c r="B13" s="165">
        <v>0</v>
      </c>
      <c r="C13" s="241">
        <f>11+1+10+1+1+16+10</f>
        <v>50</v>
      </c>
      <c r="D13" s="241">
        <f>24+2+29+5+1+39+26</f>
        <v>126</v>
      </c>
      <c r="E13" s="165">
        <f>8+7+1+9+5</f>
        <v>30</v>
      </c>
      <c r="F13" s="165">
        <f>3+1+3+1+7+5</f>
        <v>20</v>
      </c>
      <c r="G13" s="163">
        <f>(15428.56+0.01+857.14)+(19085.79-0.02+0.04+342.87)+(26571.44-0.03+0.01)+(13714.28-0.01+0.01)</f>
        <v>76000.09</v>
      </c>
      <c r="H13" s="242">
        <f>(54571.43-0.02+0.01+2857.14)+(31714.3-0.03+0.01)+(57959.96-0.02+0.06)+(43354.26-0.01+0.03)</f>
        <v>190457.12</v>
      </c>
      <c r="I13" s="242">
        <f>15000+6285.71</f>
        <v>21285.71</v>
      </c>
      <c r="J13" s="163">
        <f>1142.86+228.57+1142.86+1142.86+(380.95+380.96+380.95)+1142.86+285.71+1142.86+1142.86+800+571.43+685.71+1200+571.43+1200+1200+685.71+1142.86+1142.86+1200+142.85+(285.7+285.72)+(380.95+380.96+380.95)+571.43</f>
        <v>21342.86</v>
      </c>
      <c r="K13" s="149">
        <v>0</v>
      </c>
      <c r="L13" s="149">
        <v>0</v>
      </c>
      <c r="M13" s="163">
        <f>(571.43)+(1142.87-0.01)+(571.43)+1142.86</f>
        <v>3428.58</v>
      </c>
      <c r="N13" s="242">
        <f>24*1142.86</f>
        <v>27428.639999999999</v>
      </c>
      <c r="O13" s="169">
        <v>0</v>
      </c>
      <c r="P13" s="272">
        <f>G13+H13+I13+J13+K13+L13+M13+N13+O13</f>
        <v>339943</v>
      </c>
      <c r="Q13" s="425">
        <f>P13+'2. COMPR DEV 30%'!C11+'2. COMPR DEV 30%'!E11+'3. COMP VR'!C11+'3. COMP VR'!E11+'4. COMP VP'!D14+'4. COMP VP'!F14</f>
        <v>572511.92999999993</v>
      </c>
      <c r="R13" s="264" t="s">
        <v>182</v>
      </c>
      <c r="S13" s="264" t="s">
        <v>183</v>
      </c>
      <c r="T13" s="264"/>
      <c r="U13" s="303"/>
      <c r="V13" s="280"/>
    </row>
    <row r="14" spans="1:22" ht="23.1" customHeight="1" x14ac:dyDescent="0.2">
      <c r="A14" s="150" t="s">
        <v>5</v>
      </c>
      <c r="B14" s="165">
        <v>0</v>
      </c>
      <c r="C14" s="241">
        <v>0</v>
      </c>
      <c r="D14" s="241">
        <v>0</v>
      </c>
      <c r="E14" s="165">
        <v>0</v>
      </c>
      <c r="F14" s="165">
        <v>0</v>
      </c>
      <c r="G14" s="163"/>
      <c r="H14" s="242">
        <v>0</v>
      </c>
      <c r="I14" s="242">
        <v>0</v>
      </c>
      <c r="J14" s="163">
        <v>0</v>
      </c>
      <c r="K14" s="149">
        <v>0</v>
      </c>
      <c r="L14" s="149">
        <v>0</v>
      </c>
      <c r="M14" s="163">
        <v>0</v>
      </c>
      <c r="N14" s="242">
        <v>0</v>
      </c>
      <c r="O14" s="169">
        <v>0</v>
      </c>
      <c r="P14" s="272">
        <f t="shared" si="0"/>
        <v>0</v>
      </c>
      <c r="Q14" s="425">
        <f>P14+'2. COMPR DEV 30%'!C12+'2. COMPR DEV 30%'!E12+'3. COMP VR'!C12+'3. COMP VR'!E12+'4. COMP VP'!D15+'4. COMP VP'!F15</f>
        <v>0</v>
      </c>
      <c r="R14" s="427">
        <f>Q13-572511.93</f>
        <v>0</v>
      </c>
      <c r="S14" s="264"/>
      <c r="T14" s="264"/>
      <c r="U14" s="303"/>
      <c r="V14" s="280"/>
    </row>
    <row r="15" spans="1:22" ht="23.1" customHeight="1" x14ac:dyDescent="0.2">
      <c r="A15" s="150" t="s">
        <v>6</v>
      </c>
      <c r="B15" s="165">
        <v>0</v>
      </c>
      <c r="C15" s="241">
        <v>0</v>
      </c>
      <c r="D15" s="241">
        <v>0</v>
      </c>
      <c r="E15" s="165">
        <v>0</v>
      </c>
      <c r="F15" s="165">
        <v>0</v>
      </c>
      <c r="G15" s="163">
        <v>0</v>
      </c>
      <c r="H15" s="242">
        <v>0</v>
      </c>
      <c r="I15" s="242">
        <v>0</v>
      </c>
      <c r="J15" s="163">
        <v>0</v>
      </c>
      <c r="K15" s="149">
        <v>0</v>
      </c>
      <c r="L15" s="149">
        <v>0</v>
      </c>
      <c r="M15" s="163">
        <v>0</v>
      </c>
      <c r="N15" s="242">
        <v>0</v>
      </c>
      <c r="O15" s="169">
        <v>0</v>
      </c>
      <c r="P15" s="272">
        <f t="shared" si="0"/>
        <v>0</v>
      </c>
      <c r="Q15" s="425">
        <f>P15+'2. COMPR DEV 30%'!C13+'2. COMPR DEV 30%'!E13+'3. COMP VR'!C13+'3. COMP VR'!E13+'4. COMP VP'!D16+'4. COMP VP'!F16</f>
        <v>0</v>
      </c>
      <c r="R15" s="426"/>
      <c r="S15" s="264"/>
      <c r="T15" s="264"/>
      <c r="U15" s="303"/>
      <c r="V15" s="280"/>
    </row>
    <row r="16" spans="1:22" ht="23.1" customHeight="1" x14ac:dyDescent="0.2">
      <c r="A16" s="150" t="s">
        <v>8</v>
      </c>
      <c r="B16" s="165">
        <v>0</v>
      </c>
      <c r="C16" s="241">
        <v>0</v>
      </c>
      <c r="D16" s="241">
        <v>0</v>
      </c>
      <c r="E16" s="165">
        <v>0</v>
      </c>
      <c r="F16" s="165">
        <v>0</v>
      </c>
      <c r="G16" s="163">
        <v>0</v>
      </c>
      <c r="H16" s="242">
        <v>0</v>
      </c>
      <c r="I16" s="242">
        <v>0</v>
      </c>
      <c r="J16" s="163">
        <v>0</v>
      </c>
      <c r="K16" s="149">
        <v>0</v>
      </c>
      <c r="L16" s="149">
        <v>0</v>
      </c>
      <c r="M16" s="163">
        <v>0</v>
      </c>
      <c r="N16" s="242">
        <v>0</v>
      </c>
      <c r="O16" s="169">
        <v>0</v>
      </c>
      <c r="P16" s="272">
        <f t="shared" si="0"/>
        <v>0</v>
      </c>
      <c r="Q16" s="425">
        <f>P16+'2. COMPR DEV 30%'!C14+'2. COMPR DEV 30%'!E14+'3. COMP VR'!C14+'3. COMP VR'!E14+'4. COMP VP'!D17+'4. COMP VP'!F17</f>
        <v>0</v>
      </c>
      <c r="R16" s="264"/>
      <c r="S16" s="264"/>
      <c r="T16" s="264"/>
      <c r="U16" s="303"/>
      <c r="V16" s="280"/>
    </row>
    <row r="17" spans="1:24" ht="23.1" customHeight="1" x14ac:dyDescent="0.2">
      <c r="A17" s="150" t="s">
        <v>9</v>
      </c>
      <c r="B17" s="165">
        <v>0</v>
      </c>
      <c r="C17" s="241">
        <v>0</v>
      </c>
      <c r="D17" s="241">
        <v>0</v>
      </c>
      <c r="E17" s="165">
        <v>0</v>
      </c>
      <c r="F17" s="165">
        <v>0</v>
      </c>
      <c r="G17" s="163">
        <v>0</v>
      </c>
      <c r="H17" s="242">
        <v>0</v>
      </c>
      <c r="I17" s="242">
        <v>0</v>
      </c>
      <c r="J17" s="163">
        <v>0</v>
      </c>
      <c r="K17" s="149">
        <v>0</v>
      </c>
      <c r="L17" s="149">
        <v>0</v>
      </c>
      <c r="M17" s="163">
        <v>0</v>
      </c>
      <c r="N17" s="242">
        <v>0</v>
      </c>
      <c r="O17" s="169">
        <v>0</v>
      </c>
      <c r="P17" s="272">
        <f t="shared" si="0"/>
        <v>0</v>
      </c>
      <c r="Q17" s="425">
        <f>P17+'2. COMPR DEV 30%'!C15+'2. COMPR DEV 30%'!E15+'3. COMP VR'!C15+'3. COMP VR'!E15+'4. COMP VP'!D18+'4. COMP VP'!F18</f>
        <v>0</v>
      </c>
      <c r="R17" s="425"/>
      <c r="S17" s="264"/>
      <c r="T17" s="264"/>
      <c r="U17" s="303"/>
      <c r="V17" s="280"/>
    </row>
    <row r="18" spans="1:24" ht="23.1" customHeight="1" x14ac:dyDescent="0.2">
      <c r="A18" s="150" t="s">
        <v>10</v>
      </c>
      <c r="B18" s="165">
        <v>0</v>
      </c>
      <c r="C18" s="241">
        <v>0</v>
      </c>
      <c r="D18" s="241">
        <v>0</v>
      </c>
      <c r="E18" s="165">
        <v>0</v>
      </c>
      <c r="F18" s="165">
        <v>0</v>
      </c>
      <c r="G18" s="163">
        <v>0</v>
      </c>
      <c r="H18" s="242">
        <v>0</v>
      </c>
      <c r="I18" s="242">
        <v>0</v>
      </c>
      <c r="J18" s="163">
        <v>0</v>
      </c>
      <c r="K18" s="149">
        <v>0</v>
      </c>
      <c r="L18" s="149">
        <v>0</v>
      </c>
      <c r="M18" s="163">
        <v>0</v>
      </c>
      <c r="N18" s="242">
        <v>0</v>
      </c>
      <c r="O18" s="169">
        <v>0</v>
      </c>
      <c r="P18" s="272">
        <f t="shared" si="0"/>
        <v>0</v>
      </c>
      <c r="Q18" s="425">
        <f>P18+'2. COMPR DEV 30%'!C16+'2. COMPR DEV 30%'!E16+'3. COMP VR'!C16+'3. COMP VR'!E16+'4. COMP VP'!D19+'4. COMP VP'!F19</f>
        <v>0</v>
      </c>
      <c r="R18" s="264"/>
      <c r="S18" s="264"/>
      <c r="T18" s="264"/>
      <c r="U18" s="303"/>
      <c r="V18" s="280"/>
    </row>
    <row r="19" spans="1:24" ht="23.1" customHeight="1" x14ac:dyDescent="0.2">
      <c r="A19" s="151" t="s">
        <v>12</v>
      </c>
      <c r="B19" s="165">
        <v>0</v>
      </c>
      <c r="C19" s="241">
        <v>0</v>
      </c>
      <c r="D19" s="241">
        <v>0</v>
      </c>
      <c r="E19" s="165">
        <v>0</v>
      </c>
      <c r="F19" s="165">
        <v>0</v>
      </c>
      <c r="G19" s="163">
        <v>0</v>
      </c>
      <c r="H19" s="242">
        <v>0</v>
      </c>
      <c r="I19" s="242">
        <v>0</v>
      </c>
      <c r="J19" s="163">
        <v>0</v>
      </c>
      <c r="K19" s="149">
        <v>0</v>
      </c>
      <c r="L19" s="149">
        <v>0</v>
      </c>
      <c r="M19" s="163">
        <v>0</v>
      </c>
      <c r="N19" s="242">
        <v>0</v>
      </c>
      <c r="O19" s="169">
        <v>0</v>
      </c>
      <c r="P19" s="272">
        <f t="shared" si="0"/>
        <v>0</v>
      </c>
      <c r="Q19" s="425">
        <f>P19+'2. COMPR DEV 30%'!C17+'2. COMPR DEV 30%'!E17+'3. COMP VR'!C17+'3. COMP VR'!E17+'4. COMP VP'!D20+'4. COMP VP'!F20</f>
        <v>0</v>
      </c>
      <c r="R19" s="426"/>
      <c r="S19" s="264"/>
      <c r="T19" s="264"/>
      <c r="U19" s="303"/>
      <c r="V19" s="280"/>
      <c r="X19" s="280"/>
    </row>
    <row r="20" spans="1:24" ht="23.1" customHeight="1" x14ac:dyDescent="0.2">
      <c r="A20" s="152" t="s">
        <v>13</v>
      </c>
      <c r="B20" s="165">
        <v>0</v>
      </c>
      <c r="C20" s="241">
        <v>0</v>
      </c>
      <c r="D20" s="241">
        <v>0</v>
      </c>
      <c r="E20" s="165">
        <v>0</v>
      </c>
      <c r="F20" s="165">
        <v>0</v>
      </c>
      <c r="G20" s="163">
        <v>0</v>
      </c>
      <c r="H20" s="242">
        <v>0</v>
      </c>
      <c r="I20" s="242">
        <v>0</v>
      </c>
      <c r="J20" s="163">
        <v>0</v>
      </c>
      <c r="K20" s="149">
        <v>0</v>
      </c>
      <c r="L20" s="149">
        <v>0</v>
      </c>
      <c r="M20" s="163">
        <v>0</v>
      </c>
      <c r="N20" s="242">
        <v>0</v>
      </c>
      <c r="O20" s="169">
        <v>0</v>
      </c>
      <c r="P20" s="272">
        <f t="shared" si="0"/>
        <v>0</v>
      </c>
      <c r="Q20" s="425">
        <f>P20+'2. COMPR DEV 30%'!C18+'2. COMPR DEV 30%'!E18+'3. COMP VR'!C18+'3. COMP VR'!E18+'4. COMP VP'!D21+'4. COMP VP'!F21</f>
        <v>0</v>
      </c>
      <c r="R20" s="428"/>
      <c r="S20" s="264"/>
      <c r="T20" s="264"/>
      <c r="U20" s="303"/>
      <c r="V20" s="280"/>
    </row>
    <row r="21" spans="1:24" ht="23.1" customHeight="1" x14ac:dyDescent="0.2">
      <c r="A21" s="153" t="s">
        <v>14</v>
      </c>
      <c r="B21" s="165">
        <v>0</v>
      </c>
      <c r="C21" s="241">
        <v>0</v>
      </c>
      <c r="D21" s="241">
        <v>0</v>
      </c>
      <c r="E21" s="165">
        <v>0</v>
      </c>
      <c r="F21" s="165">
        <v>0</v>
      </c>
      <c r="G21" s="163">
        <v>0</v>
      </c>
      <c r="H21" s="242">
        <v>0</v>
      </c>
      <c r="I21" s="242">
        <v>0</v>
      </c>
      <c r="J21" s="163">
        <v>0</v>
      </c>
      <c r="K21" s="149">
        <v>0</v>
      </c>
      <c r="L21" s="149">
        <v>0</v>
      </c>
      <c r="M21" s="163">
        <v>0</v>
      </c>
      <c r="N21" s="242">
        <v>0</v>
      </c>
      <c r="O21" s="169">
        <v>0</v>
      </c>
      <c r="P21" s="272">
        <f t="shared" si="0"/>
        <v>0</v>
      </c>
      <c r="Q21" s="425">
        <f>P21+'2. COMPR DEV 30%'!C19+'2. COMPR DEV 30%'!E19+'3. COMP VR'!C19+'3. COMP VR'!E19+'4. COMP VP'!D22+'4. COMP VP'!F22</f>
        <v>0</v>
      </c>
      <c r="R21" s="426"/>
      <c r="S21" s="264"/>
      <c r="T21" s="264"/>
      <c r="U21" s="303"/>
      <c r="V21" s="280"/>
    </row>
    <row r="22" spans="1:24" ht="23.1" customHeight="1" thickBot="1" x14ac:dyDescent="0.25">
      <c r="A22" s="153" t="s">
        <v>15</v>
      </c>
      <c r="B22" s="165">
        <v>0</v>
      </c>
      <c r="C22" s="241">
        <v>0</v>
      </c>
      <c r="D22" s="241">
        <v>0</v>
      </c>
      <c r="E22" s="165">
        <v>0</v>
      </c>
      <c r="F22" s="165">
        <v>0</v>
      </c>
      <c r="G22" s="163">
        <v>0</v>
      </c>
      <c r="H22" s="242">
        <v>0</v>
      </c>
      <c r="I22" s="242">
        <v>0</v>
      </c>
      <c r="J22" s="163">
        <v>0</v>
      </c>
      <c r="K22" s="149">
        <v>0</v>
      </c>
      <c r="L22" s="149">
        <v>0</v>
      </c>
      <c r="M22" s="163">
        <v>0</v>
      </c>
      <c r="N22" s="242">
        <v>0</v>
      </c>
      <c r="O22" s="169">
        <v>0</v>
      </c>
      <c r="P22" s="272">
        <f t="shared" si="0"/>
        <v>0</v>
      </c>
      <c r="Q22" s="425">
        <f>P22+'2. COMPR DEV 30%'!C20+'2. COMPR DEV 30%'!E20+'3. COMP VR'!C20+'3. COMP VR'!E20+'4. COMP VP'!D23+'4. COMP VP'!F23</f>
        <v>0</v>
      </c>
      <c r="R22" s="425"/>
      <c r="S22" s="264"/>
      <c r="T22" s="264"/>
      <c r="U22" s="303"/>
      <c r="V22" s="280"/>
    </row>
    <row r="23" spans="1:24" ht="27.75" customHeight="1" thickBot="1" x14ac:dyDescent="0.25">
      <c r="A23" s="170" t="s">
        <v>0</v>
      </c>
      <c r="B23" s="171">
        <f t="shared" ref="B23:I23" si="1">SUM(B11:B22)</f>
        <v>0</v>
      </c>
      <c r="C23" s="171">
        <f t="shared" si="1"/>
        <v>149</v>
      </c>
      <c r="D23" s="171">
        <f t="shared" si="1"/>
        <v>346</v>
      </c>
      <c r="E23" s="171">
        <f t="shared" si="1"/>
        <v>78</v>
      </c>
      <c r="F23" s="171">
        <f t="shared" si="1"/>
        <v>78</v>
      </c>
      <c r="G23" s="172">
        <f t="shared" si="1"/>
        <v>232422.88999999998</v>
      </c>
      <c r="H23" s="172">
        <f t="shared" si="1"/>
        <v>551519.92000000004</v>
      </c>
      <c r="I23" s="172">
        <f t="shared" si="1"/>
        <v>74142.850000000006</v>
      </c>
      <c r="J23" s="172">
        <f t="shared" ref="J23:O23" si="2">SUM(J11:J22)</f>
        <v>50476.25</v>
      </c>
      <c r="K23" s="172">
        <f t="shared" si="2"/>
        <v>1142.8499999999999</v>
      </c>
      <c r="L23" s="172">
        <f t="shared" si="2"/>
        <v>0</v>
      </c>
      <c r="M23" s="172">
        <f t="shared" si="2"/>
        <v>9714.2999999999993</v>
      </c>
      <c r="N23" s="172">
        <f t="shared" si="2"/>
        <v>60571.58</v>
      </c>
      <c r="O23" s="173">
        <f t="shared" si="2"/>
        <v>22275.86</v>
      </c>
      <c r="P23" s="275">
        <f>G23+H23+I23+J23+K23+L23+M23+N23+O23</f>
        <v>1002266.5</v>
      </c>
      <c r="Q23" s="429">
        <f>SUM(Q11:Q22)</f>
        <v>1577162.75</v>
      </c>
      <c r="R23" s="264"/>
      <c r="S23" s="264"/>
      <c r="T23" s="264"/>
      <c r="U23" s="303"/>
      <c r="V23" s="280"/>
    </row>
    <row r="24" spans="1:24" s="271" customFormat="1" x14ac:dyDescent="0.2">
      <c r="A24" s="419" t="s">
        <v>131</v>
      </c>
      <c r="B24" s="304"/>
      <c r="C24" s="304"/>
      <c r="D24" s="304"/>
      <c r="E24" s="304"/>
      <c r="F24" s="304"/>
      <c r="G24" s="279"/>
      <c r="H24" s="304"/>
      <c r="I24" s="304"/>
      <c r="J24" s="304"/>
      <c r="K24" s="304"/>
      <c r="L24" s="304"/>
      <c r="M24" s="279"/>
      <c r="N24" s="2" t="s">
        <v>198</v>
      </c>
      <c r="O24" s="279"/>
      <c r="Q24" s="422">
        <f>SUM(Q11:Q23)-Q23</f>
        <v>1577162.75</v>
      </c>
      <c r="R24" s="426"/>
      <c r="S24" s="264"/>
      <c r="T24" s="264"/>
    </row>
    <row r="25" spans="1:24" s="271" customFormat="1" x14ac:dyDescent="0.2">
      <c r="A25" s="420" t="s">
        <v>137</v>
      </c>
      <c r="B25" s="124"/>
      <c r="C25" s="304"/>
      <c r="D25" s="304"/>
      <c r="E25" s="304"/>
      <c r="F25" s="304"/>
      <c r="G25" s="279"/>
      <c r="H25" s="304"/>
      <c r="I25" s="304"/>
      <c r="J25" s="304"/>
      <c r="K25" s="304"/>
      <c r="L25" s="304"/>
      <c r="M25" s="279"/>
      <c r="N25" s="279"/>
      <c r="O25" s="279"/>
      <c r="P25" s="276"/>
      <c r="Q25" s="274"/>
      <c r="V25" s="274"/>
    </row>
    <row r="26" spans="1:24" s="271" customFormat="1" x14ac:dyDescent="0.2">
      <c r="B26" s="306"/>
      <c r="C26" s="304"/>
      <c r="D26" s="304"/>
      <c r="E26" s="304"/>
      <c r="F26" s="304"/>
      <c r="G26" s="279"/>
      <c r="H26" s="304"/>
      <c r="I26" s="304"/>
      <c r="J26" s="304"/>
      <c r="K26" s="304"/>
      <c r="L26" s="304"/>
      <c r="M26" s="279"/>
      <c r="N26" s="279"/>
      <c r="O26" s="279"/>
      <c r="P26" s="274"/>
      <c r="Q26" s="300"/>
      <c r="V26" s="274"/>
    </row>
    <row r="27" spans="1:24" s="271" customFormat="1" x14ac:dyDescent="0.2">
      <c r="A27" s="304"/>
      <c r="B27" s="306"/>
      <c r="C27" s="304"/>
      <c r="D27" s="304"/>
      <c r="E27" s="304"/>
      <c r="F27" s="304"/>
      <c r="G27" s="279"/>
      <c r="H27" s="304"/>
      <c r="I27" s="304"/>
      <c r="J27" s="304"/>
      <c r="K27" s="304"/>
      <c r="L27" s="304"/>
      <c r="M27" s="279"/>
      <c r="N27" s="279"/>
      <c r="O27" s="279"/>
      <c r="P27" s="274"/>
      <c r="Q27" s="274"/>
    </row>
    <row r="28" spans="1:24" s="271" customFormat="1" x14ac:dyDescent="0.2">
      <c r="A28" s="124" t="s">
        <v>128</v>
      </c>
      <c r="B28" s="306"/>
      <c r="C28" s="305"/>
      <c r="D28" s="305"/>
      <c r="E28" s="305"/>
      <c r="F28" s="305"/>
      <c r="G28" s="124"/>
      <c r="H28" s="305"/>
      <c r="I28" s="305"/>
      <c r="J28" s="305"/>
      <c r="K28" s="305"/>
      <c r="L28" s="305"/>
      <c r="M28" s="124"/>
      <c r="N28" s="124"/>
      <c r="O28" s="124"/>
      <c r="P28" s="124"/>
      <c r="Q28" s="274"/>
    </row>
    <row r="29" spans="1:24" s="271" customFormat="1" x14ac:dyDescent="0.2">
      <c r="A29" s="305"/>
      <c r="B29" s="306"/>
      <c r="C29" s="304"/>
      <c r="D29" s="304"/>
      <c r="E29" s="304"/>
      <c r="F29" s="304"/>
      <c r="G29" s="279"/>
      <c r="H29" s="304"/>
      <c r="I29" s="304"/>
      <c r="J29" s="304"/>
      <c r="K29" s="304"/>
      <c r="L29" s="304"/>
      <c r="M29" s="279"/>
      <c r="N29" s="279"/>
      <c r="O29" s="279"/>
      <c r="Q29" s="300"/>
      <c r="U29" s="274"/>
    </row>
    <row r="30" spans="1:24" s="271" customFormat="1" x14ac:dyDescent="0.2">
      <c r="A30" s="305"/>
      <c r="B30" s="124"/>
      <c r="C30" s="305"/>
      <c r="D30" s="305"/>
      <c r="E30" s="305"/>
      <c r="F30" s="305"/>
      <c r="G30" s="124"/>
      <c r="H30" s="305"/>
      <c r="I30" s="305"/>
      <c r="J30" s="305"/>
      <c r="K30" s="305"/>
      <c r="L30" s="305"/>
      <c r="M30" s="124"/>
      <c r="N30" s="124"/>
      <c r="O30" s="124"/>
      <c r="P30" s="124"/>
      <c r="Q30" s="300"/>
    </row>
    <row r="31" spans="1:24" s="271" customFormat="1" x14ac:dyDescent="0.2">
      <c r="A31" s="305"/>
      <c r="B31" s="124"/>
      <c r="C31" s="305"/>
      <c r="D31" s="305"/>
      <c r="E31" s="305"/>
      <c r="F31" s="305"/>
      <c r="G31" s="124"/>
      <c r="H31" s="305"/>
      <c r="I31" s="305"/>
      <c r="J31" s="305"/>
      <c r="K31" s="305"/>
      <c r="L31" s="305"/>
      <c r="M31" s="124"/>
      <c r="N31" s="124"/>
      <c r="O31" s="124"/>
      <c r="P31" s="124"/>
    </row>
    <row r="32" spans="1:24" s="271" customFormat="1" x14ac:dyDescent="0.2">
      <c r="A32" s="305"/>
      <c r="B32" s="124"/>
      <c r="C32" s="305"/>
      <c r="D32" s="305"/>
      <c r="E32" s="305"/>
      <c r="F32" s="305"/>
      <c r="G32" s="307"/>
      <c r="H32" s="308"/>
      <c r="I32" s="308"/>
      <c r="J32" s="308"/>
      <c r="K32" s="308"/>
      <c r="L32" s="308"/>
      <c r="M32" s="124"/>
      <c r="N32" s="270" t="s">
        <v>115</v>
      </c>
      <c r="O32" s="309"/>
      <c r="P32" s="277"/>
    </row>
    <row r="33" spans="1:18" s="271" customFormat="1" x14ac:dyDescent="0.2">
      <c r="A33" s="305"/>
      <c r="B33" s="124"/>
      <c r="D33" s="305"/>
      <c r="E33" s="305"/>
      <c r="F33" s="305"/>
      <c r="G33" s="124"/>
      <c r="H33" s="305"/>
      <c r="I33" s="305"/>
      <c r="J33" s="305"/>
      <c r="K33" s="305"/>
      <c r="L33" s="305"/>
      <c r="M33" s="124"/>
      <c r="N33" s="273"/>
      <c r="O33" s="349" t="s">
        <v>200</v>
      </c>
    </row>
    <row r="34" spans="1:18" s="271" customFormat="1" x14ac:dyDescent="0.2">
      <c r="A34" s="305"/>
      <c r="B34" s="124"/>
      <c r="C34" s="305"/>
      <c r="D34" s="305"/>
      <c r="E34" s="305"/>
      <c r="F34" s="305"/>
      <c r="G34" s="124"/>
      <c r="H34" s="310"/>
      <c r="I34" s="310"/>
      <c r="J34" s="310"/>
      <c r="K34" s="310"/>
      <c r="L34" s="310"/>
      <c r="N34" s="279"/>
      <c r="O34" s="349" t="s">
        <v>201</v>
      </c>
      <c r="Q34" s="311"/>
    </row>
    <row r="35" spans="1:18" x14ac:dyDescent="0.2">
      <c r="A35" s="6"/>
      <c r="B35" s="301"/>
      <c r="C35" s="302"/>
      <c r="D35" s="302"/>
      <c r="E35" s="302"/>
      <c r="F35" s="302"/>
      <c r="G35" s="264"/>
      <c r="H35" s="302"/>
      <c r="I35" s="302"/>
      <c r="J35" s="3"/>
      <c r="K35" s="3"/>
      <c r="L35" s="3"/>
      <c r="Q35" s="311"/>
      <c r="R35" s="274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278"/>
      <c r="Q36" s="311"/>
    </row>
    <row r="37" spans="1:18" x14ac:dyDescent="0.2">
      <c r="A37" s="6"/>
      <c r="B37" s="4"/>
      <c r="C37" s="12"/>
      <c r="D37" s="12"/>
      <c r="E37" s="12"/>
      <c r="F37" s="12"/>
      <c r="G37" s="154"/>
      <c r="H37" s="12"/>
      <c r="I37" s="12"/>
      <c r="J37" s="12"/>
      <c r="K37" s="12"/>
      <c r="L37" s="12"/>
      <c r="M37" s="4"/>
      <c r="N37" s="4"/>
      <c r="O37" s="4"/>
      <c r="P37" s="278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4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E40" s="18"/>
      <c r="H40" s="280"/>
    </row>
    <row r="41" spans="1:18" x14ac:dyDescent="0.2">
      <c r="A41" s="13"/>
      <c r="B41" s="13"/>
      <c r="C41" s="13"/>
      <c r="D41" s="13"/>
      <c r="E41" s="18"/>
    </row>
    <row r="42" spans="1:18" x14ac:dyDescent="0.2">
      <c r="A42" s="13"/>
      <c r="B42" s="13"/>
      <c r="C42" s="13"/>
      <c r="D42" s="13"/>
      <c r="E42" s="16"/>
      <c r="F42" s="4"/>
      <c r="N42" s="4"/>
      <c r="O42" s="4"/>
      <c r="P42" s="279"/>
    </row>
    <row r="43" spans="1:18" x14ac:dyDescent="0.2">
      <c r="A43" s="13"/>
      <c r="B43" s="13"/>
      <c r="C43" s="13"/>
      <c r="D43" s="13"/>
      <c r="E43" s="18"/>
    </row>
    <row r="44" spans="1:18" x14ac:dyDescent="0.2">
      <c r="A44" s="13"/>
      <c r="B44" s="13"/>
      <c r="C44" s="13"/>
      <c r="D44" s="13"/>
      <c r="E44" s="18"/>
    </row>
  </sheetData>
  <mergeCells count="13"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  <mergeCell ref="E9:F9"/>
    <mergeCell ref="H9:L9"/>
    <mergeCell ref="G9:G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E27" sqref="E27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1" width="12" bestFit="1" customWidth="1"/>
  </cols>
  <sheetData>
    <row r="1" spans="1:11" x14ac:dyDescent="0.2">
      <c r="K1" s="17" t="s">
        <v>171</v>
      </c>
    </row>
    <row r="3" spans="1:11" ht="15" x14ac:dyDescent="0.25">
      <c r="A3" s="73"/>
      <c r="B3" s="73"/>
      <c r="C3" s="73"/>
      <c r="H3" s="73"/>
      <c r="I3" s="73"/>
      <c r="J3" s="73"/>
      <c r="K3" s="72"/>
    </row>
    <row r="4" spans="1:11" s="9" customFormat="1" ht="9.75" x14ac:dyDescent="0.2">
      <c r="A4" s="367" t="s">
        <v>67</v>
      </c>
      <c r="B4" s="367"/>
      <c r="C4" s="367"/>
      <c r="D4" s="367"/>
      <c r="E4" s="367"/>
      <c r="F4" s="117"/>
      <c r="G4" s="367" t="s">
        <v>67</v>
      </c>
      <c r="H4" s="367"/>
      <c r="I4" s="367"/>
      <c r="J4" s="367"/>
      <c r="K4" s="367"/>
    </row>
    <row r="5" spans="1:11" s="9" customFormat="1" ht="9.75" x14ac:dyDescent="0.2">
      <c r="A5" s="367" t="s">
        <v>68</v>
      </c>
      <c r="B5" s="367"/>
      <c r="C5" s="367"/>
      <c r="D5" s="367"/>
      <c r="E5" s="367"/>
      <c r="F5" s="117"/>
      <c r="G5" s="367" t="s">
        <v>68</v>
      </c>
      <c r="H5" s="367"/>
      <c r="I5" s="367"/>
      <c r="J5" s="367"/>
      <c r="K5" s="367"/>
    </row>
    <row r="6" spans="1:11" s="9" customFormat="1" ht="9.75" x14ac:dyDescent="0.2">
      <c r="A6" s="371" t="s">
        <v>173</v>
      </c>
      <c r="B6" s="371"/>
      <c r="C6" s="371"/>
      <c r="D6" s="371"/>
      <c r="E6" s="371"/>
      <c r="F6" s="117"/>
      <c r="G6" s="371" t="s">
        <v>69</v>
      </c>
      <c r="H6" s="371"/>
      <c r="I6" s="371"/>
      <c r="J6" s="371"/>
      <c r="K6" s="371"/>
    </row>
    <row r="7" spans="1:11" ht="15" customHeight="1" x14ac:dyDescent="0.25">
      <c r="A7" s="131"/>
      <c r="B7" s="368" t="s">
        <v>190</v>
      </c>
      <c r="C7" s="369"/>
      <c r="D7" s="369"/>
      <c r="E7" s="370"/>
      <c r="F7" s="72"/>
      <c r="G7" s="75"/>
      <c r="H7" s="372" t="s">
        <v>172</v>
      </c>
      <c r="I7" s="373"/>
      <c r="J7" s="373"/>
      <c r="K7" s="374"/>
    </row>
    <row r="8" spans="1:11" ht="77.25" customHeight="1" x14ac:dyDescent="0.25">
      <c r="A8" s="132" t="s">
        <v>70</v>
      </c>
      <c r="B8" s="133" t="s">
        <v>104</v>
      </c>
      <c r="C8" s="134" t="s">
        <v>72</v>
      </c>
      <c r="D8" s="135" t="s">
        <v>73</v>
      </c>
      <c r="E8" s="136" t="s">
        <v>74</v>
      </c>
      <c r="F8" s="72"/>
      <c r="G8" s="76" t="s">
        <v>70</v>
      </c>
      <c r="H8" s="22" t="s">
        <v>104</v>
      </c>
      <c r="I8" s="77" t="s">
        <v>72</v>
      </c>
      <c r="J8" s="78" t="s">
        <v>73</v>
      </c>
      <c r="K8" s="79" t="s">
        <v>74</v>
      </c>
    </row>
    <row r="9" spans="1:11" ht="15" x14ac:dyDescent="0.25">
      <c r="A9" s="244" t="s">
        <v>56</v>
      </c>
      <c r="B9" s="245">
        <f>3+11+5+6</f>
        <v>25</v>
      </c>
      <c r="C9" s="246">
        <f>127.32+368.45+183.09+178.16</f>
        <v>857.02</v>
      </c>
      <c r="D9" s="246">
        <f>4243.86+12280.84+6102.89+5938.98</f>
        <v>28566.57</v>
      </c>
      <c r="E9" s="247">
        <f>1145.83+3315.8+1647.78+1603.55</f>
        <v>7712.96</v>
      </c>
      <c r="F9" s="72"/>
      <c r="G9" s="80" t="s">
        <v>56</v>
      </c>
      <c r="H9" s="245">
        <f>1+5+7+7</f>
        <v>20</v>
      </c>
      <c r="I9" s="246">
        <f>58.27+211.98+155.37+265.32</f>
        <v>690.94</v>
      </c>
      <c r="J9" s="246">
        <f>1942.46+7066.02+5179.08+8844.03</f>
        <v>23031.59</v>
      </c>
      <c r="K9" s="247">
        <f>524.47+1907.81+1398.35+2387.89</f>
        <v>6218.5199999999995</v>
      </c>
    </row>
    <row r="10" spans="1:11" ht="15" x14ac:dyDescent="0.25">
      <c r="A10" s="244" t="s">
        <v>57</v>
      </c>
      <c r="B10" s="245">
        <f>9+4+7+5</f>
        <v>25</v>
      </c>
      <c r="C10" s="246">
        <f>373.05+180.02+232.46+125.91</f>
        <v>911.44</v>
      </c>
      <c r="D10" s="246">
        <f>12434.68</f>
        <v>12434.68</v>
      </c>
      <c r="E10" s="247">
        <f>3357.35+1620.17+2092.03+1133.2</f>
        <v>8202.7500000000018</v>
      </c>
      <c r="F10" s="72"/>
      <c r="G10" s="80" t="s">
        <v>57</v>
      </c>
      <c r="H10" s="245">
        <f>2+7+5+10</f>
        <v>24</v>
      </c>
      <c r="I10" s="248">
        <f>21.76+227.96+157.65+359.94</f>
        <v>767.31</v>
      </c>
      <c r="J10" s="248">
        <f>725.24+7598.53+5254.79+11998.24</f>
        <v>25576.800000000003</v>
      </c>
      <c r="K10" s="247">
        <f>195.81+2051.6+1418.79+3239.52</f>
        <v>6905.7199999999993</v>
      </c>
    </row>
    <row r="11" spans="1:11" ht="15" x14ac:dyDescent="0.25">
      <c r="A11" s="244" t="s">
        <v>58</v>
      </c>
      <c r="B11" s="245">
        <v>23</v>
      </c>
      <c r="C11" s="246">
        <f>181.29+279.68+246.45+188</f>
        <v>895.42000000000007</v>
      </c>
      <c r="D11" s="312">
        <f>6042.66+9322.3+8214.89+6266.74</f>
        <v>29846.589999999997</v>
      </c>
      <c r="E11" s="246">
        <f>1631.51+2517+2218.02+1692.02</f>
        <v>8058.5500000000011</v>
      </c>
      <c r="F11" s="72"/>
      <c r="G11" s="80" t="s">
        <v>58</v>
      </c>
      <c r="H11" s="245">
        <f>5+4+3</f>
        <v>12</v>
      </c>
      <c r="I11" s="248">
        <f>198.85+150.68+122.93</f>
        <v>472.46</v>
      </c>
      <c r="J11" s="248">
        <f>6628.41+5022.63+4097.39</f>
        <v>15748.43</v>
      </c>
      <c r="K11" s="247">
        <f>1789.68+1356.1+1106.29</f>
        <v>4252.07</v>
      </c>
    </row>
    <row r="12" spans="1:11" ht="15" x14ac:dyDescent="0.25">
      <c r="A12" s="244" t="s">
        <v>59</v>
      </c>
      <c r="B12" s="245">
        <v>0</v>
      </c>
      <c r="C12" s="248">
        <v>0</v>
      </c>
      <c r="D12" s="248">
        <v>0</v>
      </c>
      <c r="E12" s="247">
        <v>0</v>
      </c>
      <c r="F12" s="72"/>
      <c r="G12" s="80" t="s">
        <v>59</v>
      </c>
      <c r="H12" s="245">
        <v>0</v>
      </c>
      <c r="I12" s="248">
        <v>0</v>
      </c>
      <c r="J12" s="248">
        <v>0</v>
      </c>
      <c r="K12" s="247">
        <v>0</v>
      </c>
    </row>
    <row r="13" spans="1:11" ht="15" x14ac:dyDescent="0.25">
      <c r="A13" s="244" t="s">
        <v>60</v>
      </c>
      <c r="B13" s="245">
        <v>0</v>
      </c>
      <c r="C13" s="246">
        <v>0</v>
      </c>
      <c r="D13" s="246">
        <v>0</v>
      </c>
      <c r="E13" s="247">
        <v>0</v>
      </c>
      <c r="F13" s="72"/>
      <c r="G13" s="80" t="s">
        <v>60</v>
      </c>
      <c r="H13" s="245">
        <f>6</f>
        <v>6</v>
      </c>
      <c r="I13" s="248">
        <f>166.02</f>
        <v>166.02</v>
      </c>
      <c r="J13" s="248">
        <f>5534.14</f>
        <v>5534.14</v>
      </c>
      <c r="K13" s="247">
        <f>1494.23</f>
        <v>1494.23</v>
      </c>
    </row>
    <row r="14" spans="1:11" ht="15" x14ac:dyDescent="0.25">
      <c r="A14" s="244" t="s">
        <v>61</v>
      </c>
      <c r="B14" s="245">
        <v>0</v>
      </c>
      <c r="C14" s="246">
        <v>0</v>
      </c>
      <c r="D14" s="246">
        <v>0</v>
      </c>
      <c r="E14" s="247">
        <v>0</v>
      </c>
      <c r="F14" s="72"/>
      <c r="G14" s="80" t="s">
        <v>61</v>
      </c>
      <c r="H14" s="245">
        <f>2</f>
        <v>2</v>
      </c>
      <c r="I14" s="248">
        <f>80.24</f>
        <v>80.239999999999995</v>
      </c>
      <c r="J14" s="248">
        <f>2674.46</f>
        <v>2674.46</v>
      </c>
      <c r="K14" s="247">
        <f>722.09</f>
        <v>722.09</v>
      </c>
    </row>
    <row r="15" spans="1:11" ht="15" x14ac:dyDescent="0.25">
      <c r="A15" s="249" t="s">
        <v>62</v>
      </c>
      <c r="B15" s="245">
        <v>0</v>
      </c>
      <c r="C15" s="248">
        <v>0</v>
      </c>
      <c r="D15" s="248">
        <v>0</v>
      </c>
      <c r="E15" s="247">
        <v>0</v>
      </c>
      <c r="F15" s="72"/>
      <c r="G15" s="80" t="s">
        <v>62</v>
      </c>
      <c r="H15" s="245">
        <v>0</v>
      </c>
      <c r="I15" s="248">
        <v>0</v>
      </c>
      <c r="J15" s="248">
        <v>0</v>
      </c>
      <c r="K15" s="247">
        <v>0</v>
      </c>
    </row>
    <row r="16" spans="1:11" ht="15" x14ac:dyDescent="0.25">
      <c r="A16" s="244" t="s">
        <v>63</v>
      </c>
      <c r="B16" s="245">
        <v>0</v>
      </c>
      <c r="C16" s="246">
        <v>0</v>
      </c>
      <c r="D16" s="246">
        <v>0</v>
      </c>
      <c r="E16" s="247">
        <v>0</v>
      </c>
      <c r="F16" s="72"/>
      <c r="G16" s="80" t="s">
        <v>63</v>
      </c>
      <c r="H16" s="245">
        <f>2+12</f>
        <v>14</v>
      </c>
      <c r="I16" s="248">
        <f>33.11+581.22</f>
        <v>614.33000000000004</v>
      </c>
      <c r="J16" s="248">
        <f>1103.52+19373.37</f>
        <v>20476.89</v>
      </c>
      <c r="K16" s="247">
        <f>297.95+5230.8</f>
        <v>5528.75</v>
      </c>
    </row>
    <row r="17" spans="1:13" ht="15" x14ac:dyDescent="0.25">
      <c r="A17" s="244" t="s">
        <v>75</v>
      </c>
      <c r="B17" s="245">
        <v>0</v>
      </c>
      <c r="C17" s="246">
        <v>0</v>
      </c>
      <c r="D17" s="246">
        <v>0</v>
      </c>
      <c r="E17" s="247">
        <v>0</v>
      </c>
      <c r="F17" s="72"/>
      <c r="G17" s="80" t="s">
        <v>75</v>
      </c>
      <c r="H17" s="245">
        <f>10+17+4+5</f>
        <v>36</v>
      </c>
      <c r="I17" s="248">
        <f>448.99+671.86+170.27+121.16</f>
        <v>1412.28</v>
      </c>
      <c r="J17" s="248">
        <f>14966.51+22395.41+5675.65+4038.48</f>
        <v>47076.05</v>
      </c>
      <c r="K17" s="247">
        <f>4040.97+6046.76+1532.43+1090.39</f>
        <v>12710.55</v>
      </c>
    </row>
    <row r="18" spans="1:13" ht="15" x14ac:dyDescent="0.25">
      <c r="A18" s="244" t="s">
        <v>64</v>
      </c>
      <c r="B18" s="245">
        <v>0</v>
      </c>
      <c r="C18" s="246">
        <v>0</v>
      </c>
      <c r="D18" s="246">
        <v>0</v>
      </c>
      <c r="E18" s="247">
        <v>0</v>
      </c>
      <c r="F18" s="72"/>
      <c r="G18" s="80" t="s">
        <v>64</v>
      </c>
      <c r="H18" s="245">
        <f>6+8+5+4</f>
        <v>23</v>
      </c>
      <c r="I18" s="248">
        <f>267.82+363.57+152.59+73.02</f>
        <v>857</v>
      </c>
      <c r="J18" s="248">
        <f>8927.07+12118.87+5085.98+2433.63</f>
        <v>28565.550000000003</v>
      </c>
      <c r="K18" s="247">
        <f>2410.3+3272.09+1373.21+657.07</f>
        <v>7712.67</v>
      </c>
    </row>
    <row r="19" spans="1:13" ht="15" x14ac:dyDescent="0.25">
      <c r="A19" s="244" t="s">
        <v>65</v>
      </c>
      <c r="B19" s="245">
        <v>0</v>
      </c>
      <c r="C19" s="246">
        <v>0</v>
      </c>
      <c r="D19" s="246">
        <v>0</v>
      </c>
      <c r="E19" s="247">
        <v>0</v>
      </c>
      <c r="F19" s="72"/>
      <c r="G19" s="80" t="s">
        <v>65</v>
      </c>
      <c r="H19" s="245">
        <f>5+8+5+6+3</f>
        <v>27</v>
      </c>
      <c r="I19" s="248">
        <f>222.25+330.11+161.96+192.26+77.23</f>
        <v>983.81000000000006</v>
      </c>
      <c r="J19" s="248">
        <f>7407.77+11003.72+5398.47+6408.78+2574.18</f>
        <v>32792.92</v>
      </c>
      <c r="K19" s="247">
        <f>2000.08+2971.01+1457.59+1730.38+695.03</f>
        <v>8854.09</v>
      </c>
    </row>
    <row r="20" spans="1:13" ht="15" x14ac:dyDescent="0.25">
      <c r="A20" s="244" t="s">
        <v>66</v>
      </c>
      <c r="B20" s="245">
        <v>0</v>
      </c>
      <c r="C20" s="246">
        <v>0</v>
      </c>
      <c r="D20" s="246">
        <v>0</v>
      </c>
      <c r="E20" s="247">
        <v>0</v>
      </c>
      <c r="F20" s="72"/>
      <c r="G20" s="80" t="s">
        <v>66</v>
      </c>
      <c r="H20" s="245">
        <f>1+3+3</f>
        <v>7</v>
      </c>
      <c r="I20" s="248">
        <f>53.44+87.96+120.94</f>
        <v>262.33999999999997</v>
      </c>
      <c r="J20" s="248">
        <f>1781.26+2931.8+4030</f>
        <v>8743.0600000000013</v>
      </c>
      <c r="K20" s="247">
        <f>480.94+791.59+1088.09</f>
        <v>2360.62</v>
      </c>
    </row>
    <row r="21" spans="1:13" ht="15" x14ac:dyDescent="0.25">
      <c r="A21" s="250" t="s">
        <v>0</v>
      </c>
      <c r="B21" s="251">
        <f>SUM(B9:B20)</f>
        <v>73</v>
      </c>
      <c r="C21" s="252">
        <f>SUM(C9:C20)</f>
        <v>2663.88</v>
      </c>
      <c r="D21" s="253">
        <f>SUM(D9:D20)</f>
        <v>70847.839999999997</v>
      </c>
      <c r="E21" s="254">
        <f>SUM(E9:E20)</f>
        <v>23974.260000000002</v>
      </c>
      <c r="F21" s="72"/>
      <c r="G21" s="81" t="s">
        <v>0</v>
      </c>
      <c r="H21" s="89">
        <f>SUM(H9:H20)</f>
        <v>171</v>
      </c>
      <c r="I21" s="115">
        <f>SUM(I9:I20)</f>
        <v>6306.7300000000005</v>
      </c>
      <c r="J21" s="115">
        <f>SUM(J9:J20)</f>
        <v>210219.89</v>
      </c>
      <c r="K21" s="116">
        <f>SUM(K9:K20)</f>
        <v>56759.30999999999</v>
      </c>
    </row>
    <row r="22" spans="1:13" ht="15" x14ac:dyDescent="0.25">
      <c r="A22" s="128" t="s">
        <v>133</v>
      </c>
      <c r="B22" s="74"/>
      <c r="C22" s="74"/>
      <c r="D22" s="74"/>
      <c r="F22" s="72"/>
      <c r="G22" s="82"/>
      <c r="H22" s="74"/>
      <c r="I22" s="347" t="s">
        <v>199</v>
      </c>
      <c r="J22" s="348"/>
      <c r="K22" s="348"/>
    </row>
    <row r="23" spans="1:13" ht="15" x14ac:dyDescent="0.25">
      <c r="A23" s="74"/>
      <c r="B23" s="74"/>
      <c r="C23" s="74"/>
      <c r="D23" s="74"/>
      <c r="E23" s="74"/>
      <c r="F23" s="72"/>
      <c r="G23" s="74"/>
      <c r="H23" s="74"/>
      <c r="I23" s="74"/>
      <c r="J23" s="74"/>
      <c r="K23" s="74"/>
    </row>
    <row r="24" spans="1:13" ht="15" x14ac:dyDescent="0.25">
      <c r="A24" s="83"/>
      <c r="B24" s="74"/>
      <c r="C24" s="84"/>
      <c r="D24" s="159"/>
      <c r="E24" s="74"/>
      <c r="F24" s="72"/>
      <c r="G24" s="83"/>
      <c r="H24" s="74"/>
      <c r="I24" s="74"/>
      <c r="J24" s="74"/>
      <c r="K24" s="74"/>
      <c r="M24" s="44"/>
    </row>
    <row r="25" spans="1:13" ht="15" x14ac:dyDescent="0.25">
      <c r="A25" s="74"/>
      <c r="B25" s="74"/>
      <c r="C25" s="74"/>
      <c r="D25" s="74"/>
      <c r="E25" s="74"/>
      <c r="F25" s="72"/>
      <c r="G25" s="74"/>
      <c r="H25" s="74"/>
      <c r="I25" s="74"/>
      <c r="J25" s="74"/>
      <c r="K25" s="74"/>
    </row>
    <row r="26" spans="1:13" ht="15" x14ac:dyDescent="0.25">
      <c r="A26" s="83"/>
      <c r="B26" s="74"/>
      <c r="C26" s="74"/>
      <c r="D26" s="74"/>
      <c r="E26" s="74"/>
      <c r="F26" s="72"/>
      <c r="G26" s="83"/>
      <c r="H26" s="74"/>
      <c r="I26" s="74" t="s">
        <v>16</v>
      </c>
      <c r="J26" s="74"/>
      <c r="K26" s="74"/>
    </row>
    <row r="27" spans="1:13" ht="15" x14ac:dyDescent="0.25">
      <c r="A27" s="74"/>
      <c r="B27" s="84"/>
      <c r="C27" s="84"/>
      <c r="D27" s="84"/>
      <c r="E27" s="430">
        <f>E11+C11</f>
        <v>8953.9700000000012</v>
      </c>
      <c r="F27" s="72"/>
      <c r="G27" s="74"/>
      <c r="H27" s="84"/>
      <c r="I27" s="349" t="s">
        <v>200</v>
      </c>
      <c r="J27" s="84"/>
      <c r="K27" s="74"/>
    </row>
    <row r="28" spans="1:13" ht="15" x14ac:dyDescent="0.25">
      <c r="A28" s="72"/>
      <c r="B28" s="72"/>
      <c r="C28" s="85"/>
      <c r="E28" s="72"/>
      <c r="F28" s="74"/>
      <c r="G28" s="72"/>
      <c r="H28" s="72"/>
      <c r="I28" s="349" t="s">
        <v>201</v>
      </c>
      <c r="J28" s="74"/>
      <c r="K28" s="72"/>
    </row>
    <row r="29" spans="1:13" ht="15" x14ac:dyDescent="0.25">
      <c r="A29" s="72"/>
      <c r="B29" s="72"/>
      <c r="C29" s="74"/>
      <c r="E29" s="72"/>
      <c r="F29" s="86"/>
      <c r="G29" s="72"/>
      <c r="H29" s="72"/>
      <c r="I29" s="74"/>
      <c r="J29" s="74"/>
      <c r="K29" s="72"/>
    </row>
    <row r="30" spans="1:13" ht="15" x14ac:dyDescent="0.25">
      <c r="A30" s="87"/>
      <c r="B30" s="72"/>
      <c r="C30" s="74"/>
      <c r="D30" s="44"/>
      <c r="E30" s="72"/>
      <c r="F30" s="83"/>
      <c r="G30" s="87"/>
      <c r="H30" s="72"/>
      <c r="I30" s="74"/>
      <c r="J30" s="74"/>
      <c r="K30" s="72"/>
    </row>
    <row r="31" spans="1:13" ht="15" x14ac:dyDescent="0.25">
      <c r="A31" s="85"/>
      <c r="B31" s="72"/>
      <c r="C31" s="85"/>
      <c r="D31" s="85"/>
      <c r="E31" s="85"/>
      <c r="F31" s="72"/>
      <c r="G31" s="72"/>
      <c r="H31" s="72"/>
      <c r="I31" s="72"/>
      <c r="J31" s="72"/>
      <c r="K31" s="72"/>
    </row>
    <row r="32" spans="1:13" ht="15" x14ac:dyDescent="0.25">
      <c r="A32" s="72"/>
      <c r="B32" s="72"/>
      <c r="C32" s="72"/>
      <c r="D32" s="72"/>
      <c r="E32" s="72"/>
    </row>
    <row r="33" spans="1:5" ht="15" x14ac:dyDescent="0.25">
      <c r="A33" s="72"/>
      <c r="B33" s="72"/>
      <c r="C33" s="72"/>
      <c r="D33" s="72"/>
      <c r="E33" s="72"/>
    </row>
    <row r="34" spans="1:5" ht="15" x14ac:dyDescent="0.25">
      <c r="A34" s="72"/>
      <c r="B34" s="72"/>
      <c r="C34" s="72"/>
      <c r="D34" s="72"/>
      <c r="E34" s="72"/>
    </row>
    <row r="35" spans="1:5" ht="15" x14ac:dyDescent="0.25">
      <c r="A35" s="74"/>
      <c r="B35" s="72"/>
      <c r="C35" s="72"/>
      <c r="D35" s="72"/>
      <c r="E35" s="72"/>
    </row>
    <row r="36" spans="1:5" x14ac:dyDescent="0.2">
      <c r="A36" s="88"/>
      <c r="B36" s="74"/>
      <c r="C36" s="74"/>
      <c r="D36" s="74"/>
      <c r="E36" s="74"/>
    </row>
    <row r="37" spans="1:5" ht="15" x14ac:dyDescent="0.25">
      <c r="A37" s="72"/>
      <c r="B37" s="85"/>
      <c r="C37" s="85"/>
      <c r="D37" s="85"/>
      <c r="E37" s="74"/>
    </row>
    <row r="38" spans="1:5" ht="15" x14ac:dyDescent="0.25">
      <c r="A38" s="72"/>
      <c r="B38" s="85"/>
      <c r="C38" s="85"/>
      <c r="D38" s="85"/>
      <c r="E38" s="74"/>
    </row>
    <row r="39" spans="1:5" x14ac:dyDescent="0.2">
      <c r="A39" s="74"/>
      <c r="B39" s="74"/>
      <c r="C39" s="74"/>
      <c r="D39" s="74"/>
      <c r="E39" s="74"/>
    </row>
    <row r="40" spans="1:5" x14ac:dyDescent="0.2">
      <c r="A40" s="74"/>
      <c r="B40" s="74"/>
      <c r="C40" s="74"/>
      <c r="D40" s="74"/>
      <c r="E40" s="74"/>
    </row>
    <row r="41" spans="1:5" x14ac:dyDescent="0.2">
      <c r="A41" s="74"/>
      <c r="B41" s="74"/>
      <c r="C41" s="74"/>
      <c r="D41" s="74"/>
      <c r="E41" s="74"/>
    </row>
    <row r="42" spans="1:5" x14ac:dyDescent="0.2">
      <c r="A42" s="74"/>
      <c r="B42" s="74"/>
      <c r="C42" s="74"/>
      <c r="D42" s="74"/>
      <c r="E42" s="74"/>
    </row>
    <row r="43" spans="1:5" x14ac:dyDescent="0.2">
      <c r="A43" s="74"/>
      <c r="B43" s="74"/>
      <c r="C43" s="74"/>
      <c r="D43" s="74"/>
      <c r="E43" s="74"/>
    </row>
    <row r="44" spans="1:5" x14ac:dyDescent="0.2">
      <c r="A44" s="74"/>
      <c r="B44" s="74"/>
      <c r="C44" s="74"/>
      <c r="D44" s="74"/>
      <c r="E44" s="74"/>
    </row>
    <row r="45" spans="1:5" x14ac:dyDescent="0.2">
      <c r="A45" s="74"/>
      <c r="B45" s="74"/>
      <c r="C45" s="74"/>
      <c r="D45" s="74"/>
      <c r="E45" s="74"/>
    </row>
    <row r="46" spans="1:5" x14ac:dyDescent="0.2">
      <c r="A46" s="74"/>
      <c r="B46" s="74"/>
      <c r="C46" s="74"/>
      <c r="D46" s="74"/>
      <c r="E46" s="74"/>
    </row>
    <row r="47" spans="1:5" x14ac:dyDescent="0.2">
      <c r="A47" s="74"/>
      <c r="B47" s="74"/>
      <c r="C47" s="74"/>
      <c r="D47" s="74"/>
      <c r="E47" s="74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G41" sqref="G41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3.28515625" customWidth="1"/>
    <col min="11" max="11" width="15.85546875" customWidth="1"/>
  </cols>
  <sheetData>
    <row r="1" spans="1:14" x14ac:dyDescent="0.2">
      <c r="K1" s="17" t="s">
        <v>203</v>
      </c>
    </row>
    <row r="4" spans="1:14" x14ac:dyDescent="0.2">
      <c r="A4" s="375" t="s">
        <v>76</v>
      </c>
      <c r="B4" s="375"/>
      <c r="C4" s="375"/>
      <c r="D4" s="375"/>
      <c r="E4" s="375"/>
      <c r="F4" s="2"/>
      <c r="G4" s="375" t="s">
        <v>76</v>
      </c>
      <c r="H4" s="375"/>
      <c r="I4" s="375"/>
      <c r="J4" s="375"/>
      <c r="K4" s="375"/>
    </row>
    <row r="5" spans="1:14" x14ac:dyDescent="0.2">
      <c r="A5" s="375" t="s">
        <v>174</v>
      </c>
      <c r="B5" s="375"/>
      <c r="C5" s="375"/>
      <c r="D5" s="375"/>
      <c r="E5" s="375"/>
      <c r="F5" s="2"/>
      <c r="G5" s="375" t="s">
        <v>181</v>
      </c>
      <c r="H5" s="375"/>
      <c r="I5" s="375"/>
      <c r="J5" s="375"/>
      <c r="K5" s="375"/>
    </row>
    <row r="6" spans="1:14" x14ac:dyDescent="0.2">
      <c r="A6" s="45"/>
      <c r="B6" s="45"/>
      <c r="C6" s="45"/>
      <c r="D6" s="45"/>
      <c r="E6" s="45"/>
      <c r="F6" s="2"/>
      <c r="G6" s="45"/>
      <c r="H6" s="45"/>
      <c r="I6" s="45"/>
      <c r="J6" s="45"/>
      <c r="K6" s="45"/>
    </row>
    <row r="7" spans="1:14" ht="12.75" customHeight="1" x14ac:dyDescent="0.2">
      <c r="A7" s="21"/>
      <c r="B7" s="368" t="str">
        <f>'2. COMPR DEV 30%'!B7:E7</f>
        <v>DEL 01 AL 31 DE ENERO AL 31 DE MARZO DEL AÑO 2021</v>
      </c>
      <c r="C7" s="369"/>
      <c r="D7" s="369"/>
      <c r="E7" s="370"/>
      <c r="G7" s="21"/>
      <c r="H7" s="376" t="s">
        <v>172</v>
      </c>
      <c r="I7" s="377"/>
      <c r="J7" s="377"/>
      <c r="K7" s="378"/>
    </row>
    <row r="8" spans="1:14" ht="45" x14ac:dyDescent="0.2">
      <c r="A8" s="35" t="s">
        <v>70</v>
      </c>
      <c r="B8" s="22" t="s">
        <v>71</v>
      </c>
      <c r="C8" s="23" t="s">
        <v>72</v>
      </c>
      <c r="D8" s="137" t="s">
        <v>73</v>
      </c>
      <c r="E8" s="24" t="s">
        <v>74</v>
      </c>
      <c r="G8" s="35" t="s">
        <v>70</v>
      </c>
      <c r="H8" s="90" t="s">
        <v>71</v>
      </c>
      <c r="I8" s="37" t="s">
        <v>72</v>
      </c>
      <c r="J8" s="37" t="s">
        <v>78</v>
      </c>
      <c r="K8" s="91" t="s">
        <v>74</v>
      </c>
    </row>
    <row r="9" spans="1:14" x14ac:dyDescent="0.2">
      <c r="A9" s="257" t="s">
        <v>56</v>
      </c>
      <c r="B9" s="258">
        <f>5+32+5+5</f>
        <v>47</v>
      </c>
      <c r="C9" s="259">
        <f>50.02+242.47+44.1+58.25</f>
        <v>394.84000000000003</v>
      </c>
      <c r="D9" s="259">
        <f>9214.2+61845.48+8130.6+10846.2</f>
        <v>90036.48000000001</v>
      </c>
      <c r="E9" s="259">
        <f>9664.27+67186.15+8527.34+11370.32</f>
        <v>96748.079999999987</v>
      </c>
      <c r="G9" s="31" t="s">
        <v>56</v>
      </c>
      <c r="H9" s="258">
        <f>20+21+28+19</f>
        <v>88</v>
      </c>
      <c r="I9" s="259">
        <f>17.33+26.65+19.58+28.95</f>
        <v>92.509999999999991</v>
      </c>
      <c r="J9" s="259">
        <f>15980.58+22332.63+23862.11+18353.55</f>
        <v>80528.87</v>
      </c>
      <c r="K9" s="259">
        <f>14147.82+20585.43+21135.63+17539.43</f>
        <v>73408.31</v>
      </c>
      <c r="L9" s="44"/>
      <c r="M9" s="44"/>
      <c r="N9" s="44"/>
    </row>
    <row r="10" spans="1:14" x14ac:dyDescent="0.2">
      <c r="A10" s="257" t="s">
        <v>57</v>
      </c>
      <c r="B10" s="258">
        <f>14+36+15+20</f>
        <v>85</v>
      </c>
      <c r="C10" s="259">
        <f>27.96+80.93+22.96+34.61</f>
        <v>166.46000000000004</v>
      </c>
      <c r="D10" s="259">
        <f>11918.23+42320.92+11519.7+17195</f>
        <v>82953.849999999991</v>
      </c>
      <c r="E10" s="259">
        <f>11841.22+40285.89+10759.68+16423.37</f>
        <v>79310.16</v>
      </c>
      <c r="F10" s="174"/>
      <c r="G10" s="26" t="s">
        <v>57</v>
      </c>
      <c r="H10" s="261">
        <f>13+41+18+16</f>
        <v>88</v>
      </c>
      <c r="I10" s="262">
        <f>25.6+22.45+19.17+9.69</f>
        <v>76.91</v>
      </c>
      <c r="J10" s="262">
        <f>10831+32854.39+21010.54+11006.95</f>
        <v>75702.880000000005</v>
      </c>
      <c r="K10" s="263">
        <f>10535.65+28645.3+20991.37+10997.26</f>
        <v>71169.579999999987</v>
      </c>
      <c r="L10" s="11"/>
      <c r="M10" s="11"/>
      <c r="N10" s="11"/>
    </row>
    <row r="11" spans="1:14" x14ac:dyDescent="0.2">
      <c r="A11" s="257" t="s">
        <v>58</v>
      </c>
      <c r="B11" s="258">
        <v>0</v>
      </c>
      <c r="C11" s="259">
        <f>24.35+46.45+49.87+9.37</f>
        <v>130.04000000000002</v>
      </c>
      <c r="D11" s="259">
        <f>18680.72+28430+38774.39+13235.38</f>
        <v>99120.49</v>
      </c>
      <c r="E11" s="259">
        <f>18223.02+26465.08+38294.74+11359.07</f>
        <v>94341.91</v>
      </c>
      <c r="G11" s="93" t="s">
        <v>58</v>
      </c>
      <c r="H11" s="261">
        <f>22+16+14</f>
        <v>52</v>
      </c>
      <c r="I11" s="262">
        <f>9.22+18.28+14.59</f>
        <v>42.09</v>
      </c>
      <c r="J11" s="262">
        <f>14677.7+17967.95+11380.53</f>
        <v>44026.18</v>
      </c>
      <c r="K11" s="263">
        <f>12693.5+16548.79+10417.6</f>
        <v>39659.89</v>
      </c>
      <c r="L11" s="94"/>
      <c r="M11" s="95"/>
      <c r="N11" s="11"/>
    </row>
    <row r="12" spans="1:14" x14ac:dyDescent="0.2">
      <c r="A12" s="257" t="s">
        <v>59</v>
      </c>
      <c r="B12" s="258">
        <v>0</v>
      </c>
      <c r="C12" s="259">
        <v>0</v>
      </c>
      <c r="D12" s="259">
        <v>0</v>
      </c>
      <c r="E12" s="259">
        <v>0</v>
      </c>
      <c r="G12" s="31" t="s">
        <v>59</v>
      </c>
      <c r="H12" s="261">
        <v>0</v>
      </c>
      <c r="I12" s="262">
        <v>0</v>
      </c>
      <c r="J12" s="262">
        <v>0</v>
      </c>
      <c r="K12" s="263">
        <v>0</v>
      </c>
      <c r="L12" s="95"/>
      <c r="M12" s="96"/>
      <c r="N12" s="11"/>
    </row>
    <row r="13" spans="1:14" x14ac:dyDescent="0.2">
      <c r="A13" s="257" t="s">
        <v>60</v>
      </c>
      <c r="B13" s="258">
        <v>0</v>
      </c>
      <c r="C13" s="259">
        <v>0</v>
      </c>
      <c r="D13" s="259">
        <v>0</v>
      </c>
      <c r="E13" s="259">
        <v>0</v>
      </c>
      <c r="G13" s="31" t="s">
        <v>60</v>
      </c>
      <c r="H13" s="261">
        <f>20</f>
        <v>20</v>
      </c>
      <c r="I13" s="262">
        <f>14.31</f>
        <v>14.31</v>
      </c>
      <c r="J13" s="262">
        <f>13720.367</f>
        <v>13720.367</v>
      </c>
      <c r="K13" s="263">
        <f>13706.06</f>
        <v>13706.06</v>
      </c>
      <c r="L13" s="44"/>
      <c r="M13" s="95"/>
      <c r="N13" s="11"/>
    </row>
    <row r="14" spans="1:14" x14ac:dyDescent="0.2">
      <c r="A14" s="257" t="s">
        <v>61</v>
      </c>
      <c r="B14" s="258">
        <v>0</v>
      </c>
      <c r="C14" s="259">
        <v>0</v>
      </c>
      <c r="D14" s="259">
        <v>0</v>
      </c>
      <c r="E14" s="259">
        <v>0</v>
      </c>
      <c r="G14" s="31" t="s">
        <v>61</v>
      </c>
      <c r="H14" s="261">
        <f>2</f>
        <v>2</v>
      </c>
      <c r="I14" s="262">
        <f>3.95</f>
        <v>3.95</v>
      </c>
      <c r="J14" s="262">
        <v>2601.6</v>
      </c>
      <c r="K14" s="263">
        <f>2301.88</f>
        <v>2301.88</v>
      </c>
      <c r="L14" s="95"/>
      <c r="M14" s="97"/>
      <c r="N14" s="11"/>
    </row>
    <row r="15" spans="1:14" x14ac:dyDescent="0.2">
      <c r="A15" s="260" t="s">
        <v>62</v>
      </c>
      <c r="B15" s="258">
        <v>0</v>
      </c>
      <c r="C15" s="259">
        <v>0</v>
      </c>
      <c r="D15" s="259">
        <v>0</v>
      </c>
      <c r="E15" s="259">
        <v>0</v>
      </c>
      <c r="G15" s="31" t="s">
        <v>62</v>
      </c>
      <c r="H15" s="261">
        <f>1+3+2</f>
        <v>6</v>
      </c>
      <c r="I15" s="262">
        <f>24.35</f>
        <v>24.35</v>
      </c>
      <c r="J15" s="262">
        <f>1637.1+7095.82+978.26</f>
        <v>9711.18</v>
      </c>
      <c r="K15" s="263">
        <f>1262.97+7200.53+742.15</f>
        <v>9205.65</v>
      </c>
      <c r="L15" s="44"/>
      <c r="M15" s="97"/>
      <c r="N15" s="44"/>
    </row>
    <row r="16" spans="1:14" x14ac:dyDescent="0.2">
      <c r="A16" s="257" t="s">
        <v>63</v>
      </c>
      <c r="B16" s="258">
        <v>0</v>
      </c>
      <c r="C16" s="259">
        <v>0</v>
      </c>
      <c r="D16" s="259">
        <v>0</v>
      </c>
      <c r="E16" s="259">
        <v>0</v>
      </c>
      <c r="G16" s="31" t="s">
        <v>63</v>
      </c>
      <c r="H16" s="261">
        <f>3+4+31</f>
        <v>38</v>
      </c>
      <c r="I16" s="262">
        <f>7.95+35.45</f>
        <v>43.400000000000006</v>
      </c>
      <c r="J16" s="262">
        <f>1880.78+3361.64+25935.55</f>
        <v>31177.97</v>
      </c>
      <c r="K16" s="263">
        <f>1643.92+3262.45+23693.7</f>
        <v>28600.07</v>
      </c>
      <c r="L16" s="98"/>
      <c r="M16" s="11"/>
      <c r="N16" s="11"/>
    </row>
    <row r="17" spans="1:15" x14ac:dyDescent="0.2">
      <c r="A17" s="257" t="s">
        <v>75</v>
      </c>
      <c r="B17" s="258">
        <v>0</v>
      </c>
      <c r="C17" s="259">
        <v>0</v>
      </c>
      <c r="D17" s="259">
        <v>0</v>
      </c>
      <c r="E17" s="259">
        <v>0</v>
      </c>
      <c r="G17" s="31" t="s">
        <v>75</v>
      </c>
      <c r="H17" s="261">
        <f>49+42+21+30</f>
        <v>142</v>
      </c>
      <c r="I17" s="262">
        <f>62.13+78.73+5.37+30.86</f>
        <v>177.09000000000003</v>
      </c>
      <c r="J17" s="262">
        <f>40555.56+47323.45+21513.12+28276.11</f>
        <v>137668.24</v>
      </c>
      <c r="K17" s="263">
        <f>37099.34+44246.57+17312.1+25276.54</f>
        <v>123934.55000000002</v>
      </c>
      <c r="L17" s="95"/>
      <c r="M17" s="11"/>
      <c r="N17" s="11"/>
    </row>
    <row r="18" spans="1:15" x14ac:dyDescent="0.2">
      <c r="A18" s="257" t="s">
        <v>64</v>
      </c>
      <c r="B18" s="258">
        <v>0</v>
      </c>
      <c r="C18" s="259">
        <v>0</v>
      </c>
      <c r="D18" s="259">
        <v>0</v>
      </c>
      <c r="E18" s="259">
        <v>0</v>
      </c>
      <c r="G18" s="31" t="s">
        <v>64</v>
      </c>
      <c r="H18" s="261">
        <f>25+31+42+35</f>
        <v>133</v>
      </c>
      <c r="I18" s="262">
        <f>24.92+23.31+38.51+35.78</f>
        <v>122.52000000000001</v>
      </c>
      <c r="J18" s="262">
        <f>22993.7+36941.46+33711.83+30650.19</f>
        <v>124297.18000000001</v>
      </c>
      <c r="K18" s="263">
        <f>21176.06+33917.56+30209.46+28328.77</f>
        <v>113631.84999999999</v>
      </c>
      <c r="L18" s="95"/>
      <c r="M18" s="99"/>
      <c r="N18" s="94"/>
    </row>
    <row r="19" spans="1:15" x14ac:dyDescent="0.2">
      <c r="A19" s="257" t="s">
        <v>65</v>
      </c>
      <c r="B19" s="258">
        <v>0</v>
      </c>
      <c r="C19" s="259">
        <v>0</v>
      </c>
      <c r="D19" s="259">
        <v>0</v>
      </c>
      <c r="E19" s="259">
        <v>0</v>
      </c>
      <c r="G19" s="31" t="s">
        <v>65</v>
      </c>
      <c r="H19" s="261">
        <f>11+25+23+26+28</f>
        <v>113</v>
      </c>
      <c r="I19" s="262">
        <f>1.27+3.08+15.89+41.72+43.99+21.98</f>
        <v>127.93</v>
      </c>
      <c r="J19" s="262">
        <f>8501.95+25806.53+23295.99+26615.75+26240.99</f>
        <v>110461.21</v>
      </c>
      <c r="K19" s="263">
        <f>7225.95+95.83+24377.99+22135.17+25289.88+24147.87</f>
        <v>103272.69</v>
      </c>
      <c r="L19" s="99"/>
      <c r="M19" s="11"/>
      <c r="N19" s="11"/>
      <c r="O19" s="11"/>
    </row>
    <row r="20" spans="1:15" x14ac:dyDescent="0.2">
      <c r="A20" s="257" t="s">
        <v>66</v>
      </c>
      <c r="B20" s="258">
        <v>0</v>
      </c>
      <c r="C20" s="259">
        <v>0</v>
      </c>
      <c r="D20" s="259">
        <v>0</v>
      </c>
      <c r="E20" s="259">
        <v>0</v>
      </c>
      <c r="G20" s="31" t="s">
        <v>66</v>
      </c>
      <c r="H20" s="261">
        <f>27+36+21</f>
        <v>84</v>
      </c>
      <c r="I20" s="262">
        <f>34.19+47.92+21.87</f>
        <v>103.98</v>
      </c>
      <c r="J20" s="262">
        <f>23360.51+31813.21+13960.8</f>
        <v>69134.52</v>
      </c>
      <c r="K20" s="263">
        <f>21837.46+29140.77+12813.96</f>
        <v>63792.189999999995</v>
      </c>
      <c r="L20" s="44"/>
      <c r="M20" s="95"/>
      <c r="N20" s="44"/>
    </row>
    <row r="21" spans="1:15" x14ac:dyDescent="0.2">
      <c r="A21" s="33" t="s">
        <v>0</v>
      </c>
      <c r="B21" s="100">
        <f>SUM(B9:B20)</f>
        <v>132</v>
      </c>
      <c r="C21" s="160">
        <f>SUM(C9:C20)</f>
        <v>691.34000000000015</v>
      </c>
      <c r="D21" s="160">
        <f>SUM(D9:D20)</f>
        <v>272110.82</v>
      </c>
      <c r="E21" s="160">
        <f>SUM(E9:E20)</f>
        <v>270400.15000000002</v>
      </c>
      <c r="G21" s="33" t="s">
        <v>0</v>
      </c>
      <c r="H21" s="101">
        <f>SUM(H9:H20)</f>
        <v>766</v>
      </c>
      <c r="I21" s="102">
        <f>SUM(I9:I20)</f>
        <v>829.04</v>
      </c>
      <c r="J21" s="102">
        <f>SUM(J9:J20)</f>
        <v>699030.19700000004</v>
      </c>
      <c r="K21" s="102">
        <f>SUM(K9:K20)</f>
        <v>642682.72</v>
      </c>
      <c r="L21" s="11"/>
      <c r="M21" s="11"/>
    </row>
    <row r="22" spans="1:15" x14ac:dyDescent="0.2">
      <c r="A22" s="127" t="s">
        <v>133</v>
      </c>
      <c r="B22" s="2"/>
      <c r="C22" s="2"/>
      <c r="D22" s="2"/>
      <c r="E22" s="7"/>
      <c r="G22" s="29"/>
      <c r="H22" s="2"/>
      <c r="I22" s="347" t="s">
        <v>199</v>
      </c>
      <c r="J22" s="2"/>
    </row>
    <row r="23" spans="1:15" x14ac:dyDescent="0.2">
      <c r="A23" s="5"/>
      <c r="B23" s="2"/>
      <c r="C23" s="2"/>
      <c r="D23" s="2"/>
      <c r="E23" s="2"/>
      <c r="F23" s="2"/>
    </row>
    <row r="24" spans="1:15" x14ac:dyDescent="0.2">
      <c r="A24" s="124"/>
      <c r="B24" s="14"/>
    </row>
    <row r="25" spans="1:15" x14ac:dyDescent="0.2">
      <c r="A25" s="124"/>
      <c r="B25" s="2"/>
      <c r="C25" s="2"/>
      <c r="D25" s="2"/>
      <c r="E25" s="2"/>
      <c r="F25" s="2"/>
    </row>
    <row r="26" spans="1:15" x14ac:dyDescent="0.2">
      <c r="A26" s="124"/>
      <c r="B26" s="15"/>
      <c r="C26" s="2"/>
      <c r="D26" s="2"/>
      <c r="E26" s="2"/>
      <c r="F26" s="2"/>
    </row>
    <row r="27" spans="1:15" x14ac:dyDescent="0.2">
      <c r="A27" s="5"/>
      <c r="B27" s="2"/>
      <c r="C27" s="2"/>
      <c r="D27" s="2"/>
      <c r="E27" s="2"/>
      <c r="F27" s="2"/>
      <c r="J27" s="2"/>
    </row>
    <row r="28" spans="1:15" x14ac:dyDescent="0.2">
      <c r="A28" s="5"/>
      <c r="D28" s="2"/>
      <c r="E28" s="2"/>
      <c r="F28" s="2"/>
    </row>
    <row r="29" spans="1:15" x14ac:dyDescent="0.2">
      <c r="A29" s="5"/>
      <c r="B29" s="5"/>
      <c r="C29" s="5"/>
      <c r="D29" s="5"/>
      <c r="E29" s="5"/>
      <c r="F29" s="5"/>
      <c r="G29" s="5"/>
      <c r="H29" s="5" t="s">
        <v>99</v>
      </c>
      <c r="J29" s="5"/>
      <c r="K29" s="5"/>
    </row>
    <row r="30" spans="1:15" x14ac:dyDescent="0.2">
      <c r="A30" s="5"/>
      <c r="B30" s="5"/>
      <c r="C30" s="5"/>
      <c r="D30" s="5"/>
      <c r="E30" s="5"/>
      <c r="F30" s="5"/>
      <c r="G30" s="5"/>
      <c r="I30" s="349" t="s">
        <v>200</v>
      </c>
      <c r="J30" s="5"/>
      <c r="K30" s="5"/>
    </row>
    <row r="31" spans="1:15" x14ac:dyDescent="0.2">
      <c r="A31" s="5"/>
      <c r="B31" s="5"/>
      <c r="C31" s="5"/>
      <c r="D31" s="5"/>
      <c r="E31" s="5"/>
      <c r="F31" s="5"/>
      <c r="G31" s="5"/>
      <c r="I31" s="349" t="s">
        <v>201</v>
      </c>
      <c r="J31" s="5"/>
      <c r="K31" s="5"/>
    </row>
    <row r="32" spans="1:15" x14ac:dyDescent="0.2">
      <c r="A32" s="103"/>
      <c r="B32" s="9"/>
      <c r="C32" s="9"/>
      <c r="F32" s="2"/>
    </row>
    <row r="33" spans="1:9" x14ac:dyDescent="0.2">
      <c r="A33" s="9"/>
      <c r="F33" s="2"/>
      <c r="H33" s="2"/>
      <c r="I33" s="2"/>
    </row>
    <row r="34" spans="1:9" x14ac:dyDescent="0.2">
      <c r="A34" s="28"/>
      <c r="B34" s="2"/>
      <c r="C34" s="2"/>
      <c r="D34" s="2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  <c r="H35" s="2"/>
      <c r="I35" s="2"/>
    </row>
    <row r="36" spans="1:9" x14ac:dyDescent="0.2">
      <c r="B36" s="4"/>
      <c r="C36" s="4"/>
      <c r="D36" s="4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  <row r="45" spans="1:9" x14ac:dyDescent="0.2">
      <c r="A45" s="2"/>
      <c r="B45" s="2"/>
      <c r="C45" s="2"/>
      <c r="D45" s="2"/>
      <c r="E45" s="2"/>
      <c r="F45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workbookViewId="0">
      <selection activeCell="C10" sqref="C10:F10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7" t="s">
        <v>204</v>
      </c>
    </row>
    <row r="5" spans="1:15" x14ac:dyDescent="0.2">
      <c r="B5" s="19"/>
    </row>
    <row r="6" spans="1:15" x14ac:dyDescent="0.2">
      <c r="B6" s="20"/>
      <c r="C6" s="20"/>
      <c r="D6" s="20"/>
      <c r="E6" s="20"/>
    </row>
    <row r="7" spans="1:15" x14ac:dyDescent="0.2">
      <c r="B7" s="20"/>
      <c r="C7" s="20"/>
      <c r="D7" s="20"/>
      <c r="E7" s="20"/>
    </row>
    <row r="8" spans="1:15" x14ac:dyDescent="0.2">
      <c r="B8" s="375" t="s">
        <v>77</v>
      </c>
      <c r="C8" s="375"/>
      <c r="D8" s="375"/>
      <c r="E8" s="375"/>
      <c r="F8" s="375"/>
      <c r="G8" s="2"/>
      <c r="H8" s="375" t="s">
        <v>77</v>
      </c>
      <c r="I8" s="375"/>
      <c r="J8" s="375"/>
      <c r="K8" s="375"/>
      <c r="L8" s="375"/>
    </row>
    <row r="9" spans="1:15" x14ac:dyDescent="0.2">
      <c r="B9" s="379" t="s">
        <v>163</v>
      </c>
      <c r="C9" s="379"/>
      <c r="D9" s="379"/>
      <c r="E9" s="379"/>
      <c r="F9" s="379"/>
      <c r="G9" s="2"/>
      <c r="H9" s="379" t="s">
        <v>162</v>
      </c>
      <c r="I9" s="379"/>
      <c r="J9" s="379"/>
      <c r="K9" s="379"/>
      <c r="L9" s="379"/>
    </row>
    <row r="10" spans="1:15" ht="12.75" customHeight="1" x14ac:dyDescent="0.2">
      <c r="B10" s="21"/>
      <c r="C10" s="368" t="s">
        <v>191</v>
      </c>
      <c r="D10" s="369"/>
      <c r="E10" s="369"/>
      <c r="F10" s="370"/>
      <c r="H10" s="21"/>
      <c r="I10" s="376" t="s">
        <v>170</v>
      </c>
      <c r="J10" s="377"/>
      <c r="K10" s="377"/>
      <c r="L10" s="380"/>
    </row>
    <row r="11" spans="1:15" ht="45" x14ac:dyDescent="0.2">
      <c r="B11" s="35" t="s">
        <v>70</v>
      </c>
      <c r="C11" s="42" t="s">
        <v>100</v>
      </c>
      <c r="D11" s="37" t="s">
        <v>72</v>
      </c>
      <c r="E11" s="137" t="s">
        <v>73</v>
      </c>
      <c r="F11" s="30" t="s">
        <v>79</v>
      </c>
      <c r="H11" s="35" t="s">
        <v>70</v>
      </c>
      <c r="I11" s="42" t="s">
        <v>101</v>
      </c>
      <c r="J11" s="37" t="s">
        <v>72</v>
      </c>
      <c r="K11" s="37" t="s">
        <v>78</v>
      </c>
      <c r="L11" s="30" t="s">
        <v>79</v>
      </c>
      <c r="N11" s="269"/>
    </row>
    <row r="12" spans="1:15" x14ac:dyDescent="0.2">
      <c r="A12" s="266"/>
      <c r="B12" s="31" t="s">
        <v>56</v>
      </c>
      <c r="C12" s="40">
        <f>6+27+27+23</f>
        <v>83</v>
      </c>
      <c r="D12" s="38">
        <f>3.17+45+29.37+38.1</f>
        <v>115.64000000000001</v>
      </c>
      <c r="E12" s="38">
        <f>3269.13+26008.04+29396.11+24638.48</f>
        <v>83311.759999999995</v>
      </c>
      <c r="F12" s="32">
        <f>2911.24+24127.57+28433.94+23292.31</f>
        <v>78765.06</v>
      </c>
      <c r="H12" s="31" t="s">
        <v>56</v>
      </c>
      <c r="I12" s="40">
        <f>11+12+7+9</f>
        <v>39</v>
      </c>
      <c r="J12" s="38">
        <f>86.32+91.13+73.4+72.72</f>
        <v>323.57</v>
      </c>
      <c r="K12" s="38">
        <f>23854.8+19079.64+12980.4+13558.8</f>
        <v>69473.64</v>
      </c>
      <c r="L12" s="32">
        <f>25627.99+20480.32+13640.89+14213.01</f>
        <v>73962.209999999992</v>
      </c>
      <c r="M12" s="130"/>
      <c r="N12" s="97"/>
      <c r="O12" s="44"/>
    </row>
    <row r="13" spans="1:15" x14ac:dyDescent="0.2">
      <c r="A13" s="266"/>
      <c r="B13" s="31" t="s">
        <v>57</v>
      </c>
      <c r="C13" s="40">
        <f>21+6+6+9</f>
        <v>42</v>
      </c>
      <c r="D13" s="38">
        <f>165.86+65.15+52.59+73.34</f>
        <v>356.94000000000005</v>
      </c>
      <c r="E13" s="38">
        <f>31951.24+11348.57+9188.42+12981</f>
        <v>65469.229999999996</v>
      </c>
      <c r="F13" s="32">
        <f>33548.45+11934.85+9661.71+13640.96</f>
        <v>68785.97</v>
      </c>
      <c r="H13" s="31" t="s">
        <v>57</v>
      </c>
      <c r="I13" s="261">
        <f>11+28+7+7</f>
        <v>53</v>
      </c>
      <c r="J13" s="267">
        <f>108.7+314.77+46.26+54.31</f>
        <v>524.04</v>
      </c>
      <c r="K13" s="267">
        <f>18913.2+56281.25+8109+10285.73</f>
        <v>93589.18</v>
      </c>
      <c r="L13" s="263">
        <f>19891.32+59113.84+8525.19+10231.42</f>
        <v>97761.77</v>
      </c>
      <c r="M13" s="130"/>
      <c r="N13" s="95"/>
      <c r="O13" s="44"/>
    </row>
    <row r="14" spans="1:15" x14ac:dyDescent="0.2">
      <c r="A14" s="266"/>
      <c r="B14" s="31" t="s">
        <v>58</v>
      </c>
      <c r="C14" s="40">
        <v>0</v>
      </c>
      <c r="D14" s="38">
        <f>66.58+295.13+152.27+95.22</f>
        <v>609.20000000000005</v>
      </c>
      <c r="E14" s="38">
        <f>11905.8+64085.4+28192.2+17905.2</f>
        <v>122088.59999999999</v>
      </c>
      <c r="F14" s="32">
        <f>12504.86+67704.94+29562.07+18761.94</f>
        <v>128533.81</v>
      </c>
      <c r="H14" s="31" t="s">
        <v>58</v>
      </c>
      <c r="I14" s="261">
        <f>36+31</f>
        <v>67</v>
      </c>
      <c r="J14" s="267">
        <f>330.38+232.73</f>
        <v>563.11</v>
      </c>
      <c r="K14" s="267">
        <f>62973.26+47530.87</f>
        <v>110504.13</v>
      </c>
      <c r="L14" s="263">
        <f>66526.82+50053.03</f>
        <v>116579.85</v>
      </c>
      <c r="M14" s="130"/>
      <c r="N14" s="94"/>
      <c r="O14" s="11"/>
    </row>
    <row r="15" spans="1:15" x14ac:dyDescent="0.2">
      <c r="A15" s="266"/>
      <c r="B15" s="31" t="s">
        <v>59</v>
      </c>
      <c r="C15" s="40">
        <v>0</v>
      </c>
      <c r="D15" s="38">
        <v>0</v>
      </c>
      <c r="E15" s="38">
        <v>0</v>
      </c>
      <c r="F15" s="32">
        <v>0</v>
      </c>
      <c r="H15" s="31" t="s">
        <v>59</v>
      </c>
      <c r="I15" s="261">
        <v>0</v>
      </c>
      <c r="J15" s="267">
        <v>0</v>
      </c>
      <c r="K15" s="267">
        <v>0</v>
      </c>
      <c r="L15" s="263">
        <v>0</v>
      </c>
      <c r="M15" s="104"/>
      <c r="N15" s="97"/>
      <c r="O15" s="11"/>
    </row>
    <row r="16" spans="1:15" x14ac:dyDescent="0.2">
      <c r="A16" s="266"/>
      <c r="B16" s="31" t="s">
        <v>60</v>
      </c>
      <c r="C16" s="40">
        <v>0</v>
      </c>
      <c r="D16" s="38">
        <v>0</v>
      </c>
      <c r="E16" s="38">
        <v>0</v>
      </c>
      <c r="F16" s="32">
        <v>0</v>
      </c>
      <c r="H16" s="31" t="s">
        <v>60</v>
      </c>
      <c r="I16" s="261">
        <f>20</f>
        <v>20</v>
      </c>
      <c r="J16" s="267">
        <f>147.3</f>
        <v>147.30000000000001</v>
      </c>
      <c r="K16" s="267">
        <v>29142.9</v>
      </c>
      <c r="L16" s="263">
        <f>28995.6</f>
        <v>28995.599999999999</v>
      </c>
      <c r="M16" s="95"/>
      <c r="N16" s="94"/>
      <c r="O16" s="11"/>
    </row>
    <row r="17" spans="1:16" x14ac:dyDescent="0.2">
      <c r="A17" s="266"/>
      <c r="B17" s="31" t="s">
        <v>61</v>
      </c>
      <c r="C17" s="40">
        <v>0</v>
      </c>
      <c r="D17" s="38">
        <v>0</v>
      </c>
      <c r="E17" s="38">
        <v>0</v>
      </c>
      <c r="F17" s="32">
        <v>0</v>
      </c>
      <c r="H17" s="31" t="s">
        <v>61</v>
      </c>
      <c r="I17" s="261">
        <f>8+13+6</f>
        <v>27</v>
      </c>
      <c r="J17" s="267">
        <f>78.96+101.83+97.9</f>
        <v>278.69</v>
      </c>
      <c r="K17" s="267">
        <f>15210.6+17839.2+17878.2</f>
        <v>50928</v>
      </c>
      <c r="L17" s="263">
        <f>15921.05+18755.34+18759.24</f>
        <v>53435.630000000005</v>
      </c>
      <c r="M17" s="95"/>
      <c r="N17" s="94"/>
      <c r="O17" s="11"/>
    </row>
    <row r="18" spans="1:16" x14ac:dyDescent="0.2">
      <c r="A18" s="266"/>
      <c r="B18" s="26" t="s">
        <v>80</v>
      </c>
      <c r="C18" s="40">
        <v>0</v>
      </c>
      <c r="D18" s="38">
        <v>0</v>
      </c>
      <c r="E18" s="38">
        <v>0</v>
      </c>
      <c r="F18" s="32">
        <v>0</v>
      </c>
      <c r="G18" s="105"/>
      <c r="H18" s="106" t="s">
        <v>80</v>
      </c>
      <c r="I18" s="261">
        <f>1+1+3</f>
        <v>5</v>
      </c>
      <c r="J18" s="267">
        <f>5.69+14.25+32.78</f>
        <v>52.72</v>
      </c>
      <c r="K18" s="267">
        <f>1086+2143.2+5958</f>
        <v>9187.2000000000007</v>
      </c>
      <c r="L18" s="263">
        <f>1137.17+2271.46+6252.94</f>
        <v>9661.57</v>
      </c>
      <c r="M18" s="44"/>
      <c r="N18" s="94"/>
      <c r="O18" s="44"/>
    </row>
    <row r="19" spans="1:16" x14ac:dyDescent="0.2">
      <c r="A19" s="266"/>
      <c r="B19" s="92" t="s">
        <v>63</v>
      </c>
      <c r="C19" s="40">
        <v>0</v>
      </c>
      <c r="D19" s="38">
        <v>0</v>
      </c>
      <c r="E19" s="38">
        <v>0</v>
      </c>
      <c r="F19" s="32">
        <v>0</v>
      </c>
      <c r="H19" s="93" t="s">
        <v>63</v>
      </c>
      <c r="I19" s="261">
        <f>14+25</f>
        <v>39</v>
      </c>
      <c r="J19" s="267">
        <f>186.14+226.78</f>
        <v>412.91999999999996</v>
      </c>
      <c r="K19" s="267">
        <f>33383.5+41574</f>
        <v>74957.5</v>
      </c>
      <c r="L19" s="263">
        <f>36956.72+43773.28</f>
        <v>80730</v>
      </c>
      <c r="M19" s="44"/>
      <c r="N19" s="11"/>
      <c r="O19" s="11"/>
    </row>
    <row r="20" spans="1:16" x14ac:dyDescent="0.2">
      <c r="A20" s="266"/>
      <c r="B20" s="92" t="s">
        <v>75</v>
      </c>
      <c r="C20" s="40">
        <v>0</v>
      </c>
      <c r="D20" s="38">
        <v>0</v>
      </c>
      <c r="E20" s="38">
        <v>0</v>
      </c>
      <c r="F20" s="32">
        <v>0</v>
      </c>
      <c r="H20" s="31" t="s">
        <v>75</v>
      </c>
      <c r="I20" s="261">
        <f>66+34+36+10</f>
        <v>146</v>
      </c>
      <c r="J20" s="267">
        <f>838.98+(-281.19+14.39)+258.5+319.94+49.91</f>
        <v>1200.5300000000002</v>
      </c>
      <c r="K20" s="267">
        <f>109674.94+51127.8+57372.7+9215.4</f>
        <v>227390.84</v>
      </c>
      <c r="L20" s="263">
        <f>119161.12+(-2575.95+2842.75)+54027.27+60251.56+9664.4</f>
        <v>243371.15</v>
      </c>
      <c r="M20" s="107"/>
      <c r="N20" s="98"/>
      <c r="O20" s="95"/>
      <c r="P20" s="11"/>
    </row>
    <row r="21" spans="1:16" x14ac:dyDescent="0.2">
      <c r="A21" s="266"/>
      <c r="B21" s="31" t="s">
        <v>64</v>
      </c>
      <c r="C21" s="40">
        <v>0</v>
      </c>
      <c r="D21" s="38">
        <v>0</v>
      </c>
      <c r="E21" s="38">
        <v>0</v>
      </c>
      <c r="F21" s="32">
        <v>0</v>
      </c>
      <c r="H21" s="31" t="s">
        <v>64</v>
      </c>
      <c r="I21" s="261">
        <f>32+30+32+22</f>
        <v>116</v>
      </c>
      <c r="J21" s="267">
        <f>276.75+230.36+316.91+200.61</f>
        <v>1024.6300000000001</v>
      </c>
      <c r="K21" s="267">
        <f>56883.06+42268.3+62006.4+35708.4</f>
        <v>196866.16</v>
      </c>
      <c r="L21" s="263">
        <f>60294.72+44341.12+65397.4+37513.72</f>
        <v>207546.96</v>
      </c>
      <c r="M21" s="95"/>
      <c r="N21" s="44"/>
      <c r="O21" s="11"/>
    </row>
    <row r="22" spans="1:16" x14ac:dyDescent="0.2">
      <c r="A22" s="266"/>
      <c r="B22" s="31" t="s">
        <v>65</v>
      </c>
      <c r="C22" s="40">
        <v>0</v>
      </c>
      <c r="D22" s="38">
        <v>0</v>
      </c>
      <c r="E22" s="38">
        <v>0</v>
      </c>
      <c r="F22" s="32">
        <v>0</v>
      </c>
      <c r="H22" s="31" t="s">
        <v>65</v>
      </c>
      <c r="I22" s="261">
        <f>15+41+12+1+7</f>
        <v>76</v>
      </c>
      <c r="J22" s="267">
        <f>128.02+439.98+98.66+6.11+35.59</f>
        <v>708.36</v>
      </c>
      <c r="K22" s="267">
        <f>22720.2+89555.28+17299.32+1081.8+7072.8</f>
        <v>137729.4</v>
      </c>
      <c r="L22" s="263">
        <f>23872.02+95560.07+18187.08+1136.75+7393</f>
        <v>146148.92000000001</v>
      </c>
      <c r="M22" s="108"/>
      <c r="N22" s="109"/>
      <c r="O22" s="11"/>
      <c r="P22" s="2"/>
    </row>
    <row r="23" spans="1:16" x14ac:dyDescent="0.2">
      <c r="A23" s="266"/>
      <c r="B23" s="31" t="s">
        <v>66</v>
      </c>
      <c r="C23" s="40">
        <v>0</v>
      </c>
      <c r="D23" s="38">
        <v>0</v>
      </c>
      <c r="E23" s="38">
        <v>0</v>
      </c>
      <c r="F23" s="32">
        <v>0</v>
      </c>
      <c r="H23" s="31" t="s">
        <v>66</v>
      </c>
      <c r="I23" s="261">
        <f>32+12+9</f>
        <v>53</v>
      </c>
      <c r="J23" s="267">
        <f>208.13+75.19+63.36</f>
        <v>346.68</v>
      </c>
      <c r="K23" s="267">
        <f>38702.4+14105.52+10795.2</f>
        <v>63603.119999999995</v>
      </c>
      <c r="L23" s="263">
        <f>40934.78+14781.98+11365.24</f>
        <v>67082</v>
      </c>
      <c r="M23" s="95"/>
      <c r="N23" s="11"/>
      <c r="O23" s="11"/>
    </row>
    <row r="24" spans="1:16" x14ac:dyDescent="0.2">
      <c r="A24" s="266"/>
      <c r="B24" s="33" t="s">
        <v>0</v>
      </c>
      <c r="C24" s="41">
        <f>SUM(C12:C23)</f>
        <v>125</v>
      </c>
      <c r="D24" s="39">
        <f>SUM(D12:D23)</f>
        <v>1081.7800000000002</v>
      </c>
      <c r="E24" s="110">
        <f>SUM(E12:E23)</f>
        <v>270869.58999999997</v>
      </c>
      <c r="F24" s="34">
        <f>SUM(F12:F23)</f>
        <v>276084.83999999997</v>
      </c>
      <c r="H24" s="33" t="s">
        <v>0</v>
      </c>
      <c r="I24" s="41">
        <f>SUM(I12:I23)</f>
        <v>641</v>
      </c>
      <c r="J24" s="39">
        <f>SUM(J12:J23)</f>
        <v>5582.55</v>
      </c>
      <c r="K24" s="110">
        <f>SUM(K12:K23)</f>
        <v>1063372.07</v>
      </c>
      <c r="L24" s="34">
        <f>SUM(L12:L23)</f>
        <v>1125275.6599999999</v>
      </c>
      <c r="M24" s="44"/>
      <c r="N24" s="111"/>
      <c r="O24" s="11"/>
    </row>
    <row r="25" spans="1:16" x14ac:dyDescent="0.2">
      <c r="A25" s="266"/>
      <c r="B25" s="268" t="s">
        <v>132</v>
      </c>
      <c r="C25" s="266"/>
      <c r="D25" s="266"/>
      <c r="E25" s="266"/>
      <c r="F25" s="266"/>
      <c r="I25" s="5"/>
      <c r="J25" s="347" t="s">
        <v>199</v>
      </c>
      <c r="L25" s="8"/>
      <c r="M25" s="44"/>
    </row>
    <row r="26" spans="1:16" x14ac:dyDescent="0.2">
      <c r="A26" s="266"/>
      <c r="B26" s="266"/>
      <c r="C26" s="266"/>
      <c r="D26" s="266"/>
      <c r="E26" s="266"/>
      <c r="F26" s="266"/>
      <c r="I26" s="5"/>
      <c r="N26" s="11"/>
    </row>
    <row r="27" spans="1:16" x14ac:dyDescent="0.2">
      <c r="A27" s="5"/>
      <c r="B27" s="124"/>
      <c r="C27" s="2"/>
      <c r="D27" s="2"/>
      <c r="E27" s="2"/>
      <c r="F27" s="2"/>
      <c r="G27" s="2"/>
    </row>
    <row r="28" spans="1:16" x14ac:dyDescent="0.2">
      <c r="B28" s="124"/>
    </row>
    <row r="29" spans="1:16" x14ac:dyDescent="0.2">
      <c r="B29" s="124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17"/>
      <c r="D31" s="2"/>
      <c r="E31" s="2"/>
    </row>
    <row r="32" spans="1:16" x14ac:dyDescent="0.2">
      <c r="A32" s="2"/>
      <c r="B32" s="36"/>
      <c r="C32" s="2"/>
      <c r="D32" s="4"/>
      <c r="E32" s="4"/>
      <c r="F32" s="5"/>
      <c r="G32" s="5"/>
      <c r="H32" s="5"/>
      <c r="I32" s="5"/>
      <c r="J32" s="5" t="s">
        <v>94</v>
      </c>
      <c r="K32" s="5"/>
      <c r="L32" s="5"/>
      <c r="M32" s="5"/>
    </row>
    <row r="33" spans="1:13" x14ac:dyDescent="0.2">
      <c r="A33" s="43"/>
      <c r="B33" s="43"/>
      <c r="C33" s="43"/>
      <c r="F33" s="5"/>
      <c r="G33" s="5"/>
      <c r="H33" s="5"/>
      <c r="I33" s="5"/>
      <c r="J33" s="349" t="s">
        <v>200</v>
      </c>
      <c r="K33" s="5"/>
      <c r="L33" s="5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349" t="s">
        <v>201</v>
      </c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115" zoomScaleNormal="115" workbookViewId="0">
      <selection activeCell="R17" sqref="R17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102</v>
      </c>
    </row>
    <row r="3" spans="1:18" x14ac:dyDescent="0.2">
      <c r="B3" s="387" t="s">
        <v>167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4" spans="1:18" x14ac:dyDescent="0.2">
      <c r="A4" s="176"/>
      <c r="B4" s="388" t="s">
        <v>192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</row>
    <row r="5" spans="1:18" x14ac:dyDescent="0.2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1:18" ht="11.25" customHeight="1" x14ac:dyDescent="0.2">
      <c r="B6" s="381" t="s">
        <v>168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255">
        <f>C25</f>
        <v>58</v>
      </c>
      <c r="N6" s="175"/>
      <c r="O6" s="175"/>
      <c r="P6" s="175"/>
    </row>
    <row r="7" spans="1:18" ht="12" thickBot="1" x14ac:dyDescent="0.25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</row>
    <row r="8" spans="1:18" ht="12.75" thickBot="1" x14ac:dyDescent="0.25">
      <c r="B8" s="389" t="s">
        <v>19</v>
      </c>
      <c r="C8" s="390"/>
      <c r="D8" s="389" t="s">
        <v>143</v>
      </c>
      <c r="E8" s="403"/>
      <c r="F8" s="388"/>
      <c r="G8" s="391" t="s">
        <v>21</v>
      </c>
      <c r="H8" s="392"/>
      <c r="I8" s="384">
        <f>SUM(I10:I32)</f>
        <v>0</v>
      </c>
      <c r="J8" s="391" t="s">
        <v>20</v>
      </c>
      <c r="K8" s="392"/>
      <c r="L8" s="395"/>
      <c r="M8" s="391" t="s">
        <v>22</v>
      </c>
      <c r="N8" s="411"/>
      <c r="O8" s="411"/>
      <c r="P8" s="392"/>
    </row>
    <row r="9" spans="1:18" ht="12.75" thickBot="1" x14ac:dyDescent="0.25">
      <c r="B9" s="400" t="s">
        <v>23</v>
      </c>
      <c r="C9" s="401"/>
      <c r="D9" s="212" t="s">
        <v>144</v>
      </c>
      <c r="E9" s="211" t="s">
        <v>145</v>
      </c>
      <c r="F9" s="388"/>
      <c r="G9" s="385" t="s">
        <v>26</v>
      </c>
      <c r="H9" s="386"/>
      <c r="I9" s="384"/>
      <c r="J9" s="385" t="s">
        <v>25</v>
      </c>
      <c r="K9" s="386"/>
      <c r="L9" s="395"/>
      <c r="M9" s="382" t="s">
        <v>27</v>
      </c>
      <c r="N9" s="383"/>
      <c r="O9" s="393" t="s">
        <v>29</v>
      </c>
      <c r="P9" s="394"/>
    </row>
    <row r="10" spans="1:18" ht="24.75" x14ac:dyDescent="0.2">
      <c r="B10" s="199" t="s">
        <v>31</v>
      </c>
      <c r="C10" s="213">
        <f>D10+E10</f>
        <v>0</v>
      </c>
      <c r="D10" s="214">
        <v>0</v>
      </c>
      <c r="E10" s="215">
        <v>0</v>
      </c>
      <c r="F10" s="388"/>
      <c r="G10" s="208" t="s">
        <v>155</v>
      </c>
      <c r="H10" s="221">
        <v>0</v>
      </c>
      <c r="I10" s="384"/>
      <c r="J10" s="179" t="s">
        <v>134</v>
      </c>
      <c r="K10" s="215">
        <v>0</v>
      </c>
      <c r="L10" s="395"/>
      <c r="M10" s="190">
        <v>1142.8599999999999</v>
      </c>
      <c r="N10" s="229">
        <v>4</v>
      </c>
      <c r="O10" s="191">
        <v>571.42999999999995</v>
      </c>
      <c r="P10" s="232">
        <v>0</v>
      </c>
      <c r="Q10" s="112"/>
    </row>
    <row r="11" spans="1:18" ht="16.5" x14ac:dyDescent="0.2">
      <c r="B11" s="197" t="s">
        <v>33</v>
      </c>
      <c r="C11" s="213">
        <f t="shared" ref="C11:C24" si="0">D11+E11</f>
        <v>3</v>
      </c>
      <c r="D11" s="214">
        <v>2</v>
      </c>
      <c r="E11" s="215">
        <v>1</v>
      </c>
      <c r="F11" s="388"/>
      <c r="G11" s="192" t="s">
        <v>156</v>
      </c>
      <c r="H11" s="222">
        <v>6</v>
      </c>
      <c r="I11" s="384"/>
      <c r="J11" s="179" t="s">
        <v>148</v>
      </c>
      <c r="K11" s="215">
        <v>1</v>
      </c>
      <c r="L11" s="395"/>
      <c r="M11" s="181">
        <v>2285.71</v>
      </c>
      <c r="N11" s="230">
        <v>4</v>
      </c>
      <c r="O11" s="118">
        <v>1142.8599999999999</v>
      </c>
      <c r="P11" s="233">
        <v>0</v>
      </c>
      <c r="Q11" s="112"/>
    </row>
    <row r="12" spans="1:18" x14ac:dyDescent="0.2">
      <c r="B12" s="197" t="s">
        <v>36</v>
      </c>
      <c r="C12" s="213">
        <f t="shared" si="0"/>
        <v>0</v>
      </c>
      <c r="D12" s="216">
        <v>0</v>
      </c>
      <c r="E12" s="217">
        <v>0</v>
      </c>
      <c r="F12" s="388"/>
      <c r="G12" s="192" t="s">
        <v>35</v>
      </c>
      <c r="H12" s="222">
        <v>13</v>
      </c>
      <c r="I12" s="384"/>
      <c r="J12" s="179" t="s">
        <v>95</v>
      </c>
      <c r="K12" s="215">
        <v>0</v>
      </c>
      <c r="L12" s="395"/>
      <c r="M12" s="181">
        <v>3428.57</v>
      </c>
      <c r="N12" s="230">
        <v>23</v>
      </c>
      <c r="O12" s="118">
        <v>1714.29</v>
      </c>
      <c r="P12" s="233">
        <v>1</v>
      </c>
      <c r="Q12" s="112"/>
      <c r="R12" s="228"/>
    </row>
    <row r="13" spans="1:18" x14ac:dyDescent="0.2">
      <c r="B13" s="197" t="s">
        <v>39</v>
      </c>
      <c r="C13" s="213">
        <f t="shared" si="0"/>
        <v>2</v>
      </c>
      <c r="D13" s="216">
        <v>2</v>
      </c>
      <c r="E13" s="217">
        <v>0</v>
      </c>
      <c r="F13" s="388"/>
      <c r="G13" s="192" t="s">
        <v>38</v>
      </c>
      <c r="H13" s="222">
        <v>16</v>
      </c>
      <c r="I13" s="384"/>
      <c r="J13" s="179" t="s">
        <v>96</v>
      </c>
      <c r="K13" s="215">
        <v>0</v>
      </c>
      <c r="L13" s="395"/>
      <c r="M13" s="181">
        <v>4571.43</v>
      </c>
      <c r="N13" s="230">
        <v>0</v>
      </c>
      <c r="O13" s="182">
        <v>2285.71</v>
      </c>
      <c r="P13" s="233">
        <v>0</v>
      </c>
    </row>
    <row r="14" spans="1:18" x14ac:dyDescent="0.2">
      <c r="B14" s="197" t="s">
        <v>41</v>
      </c>
      <c r="C14" s="213">
        <f t="shared" si="0"/>
        <v>1</v>
      </c>
      <c r="D14" s="214">
        <v>0</v>
      </c>
      <c r="E14" s="218">
        <v>1</v>
      </c>
      <c r="F14" s="388"/>
      <c r="G14" s="192" t="s">
        <v>152</v>
      </c>
      <c r="H14" s="222">
        <v>12</v>
      </c>
      <c r="I14" s="384"/>
      <c r="J14" s="179" t="s">
        <v>157</v>
      </c>
      <c r="K14" s="215">
        <v>0</v>
      </c>
      <c r="L14" s="395"/>
      <c r="M14" s="181">
        <v>5714.29</v>
      </c>
      <c r="N14" s="230">
        <v>2</v>
      </c>
      <c r="O14" s="118">
        <v>2857.14</v>
      </c>
      <c r="P14" s="233">
        <v>0</v>
      </c>
    </row>
    <row r="15" spans="1:18" x14ac:dyDescent="0.2">
      <c r="B15" s="198" t="s">
        <v>43</v>
      </c>
      <c r="C15" s="213">
        <f t="shared" si="0"/>
        <v>29</v>
      </c>
      <c r="D15" s="214">
        <v>16</v>
      </c>
      <c r="E15" s="215">
        <v>13</v>
      </c>
      <c r="F15" s="388"/>
      <c r="G15" s="209" t="s">
        <v>153</v>
      </c>
      <c r="H15" s="222">
        <v>10</v>
      </c>
      <c r="I15" s="384"/>
      <c r="J15" s="179" t="s">
        <v>97</v>
      </c>
      <c r="K15" s="215">
        <v>5</v>
      </c>
      <c r="L15" s="395"/>
      <c r="M15" s="181">
        <v>6857.14</v>
      </c>
      <c r="N15" s="230">
        <v>2</v>
      </c>
      <c r="O15" s="118">
        <v>3428.57</v>
      </c>
      <c r="P15" s="233">
        <v>0</v>
      </c>
    </row>
    <row r="16" spans="1:18" x14ac:dyDescent="0.2">
      <c r="B16" s="198" t="s">
        <v>45</v>
      </c>
      <c r="C16" s="213">
        <f t="shared" si="0"/>
        <v>0</v>
      </c>
      <c r="D16" s="216">
        <v>0</v>
      </c>
      <c r="E16" s="215">
        <v>0</v>
      </c>
      <c r="F16" s="388"/>
      <c r="G16" s="209" t="s">
        <v>154</v>
      </c>
      <c r="H16" s="219">
        <v>1</v>
      </c>
      <c r="I16" s="384"/>
      <c r="J16" s="179" t="s">
        <v>47</v>
      </c>
      <c r="K16" s="215">
        <v>4</v>
      </c>
      <c r="L16" s="395"/>
      <c r="M16" s="181">
        <v>8000</v>
      </c>
      <c r="N16" s="230">
        <v>1</v>
      </c>
      <c r="O16" s="118">
        <v>4571.43</v>
      </c>
      <c r="P16" s="233">
        <v>0</v>
      </c>
    </row>
    <row r="17" spans="2:18" ht="12" thickBot="1" x14ac:dyDescent="0.25">
      <c r="B17" s="197" t="s">
        <v>46</v>
      </c>
      <c r="C17" s="213">
        <f t="shared" si="0"/>
        <v>2</v>
      </c>
      <c r="D17" s="216">
        <v>0</v>
      </c>
      <c r="E17" s="217">
        <v>2</v>
      </c>
      <c r="F17" s="388"/>
      <c r="G17" s="210" t="s">
        <v>123</v>
      </c>
      <c r="H17" s="220">
        <v>0</v>
      </c>
      <c r="I17" s="384"/>
      <c r="J17" s="179" t="s">
        <v>121</v>
      </c>
      <c r="K17" s="215">
        <v>2</v>
      </c>
      <c r="L17" s="395"/>
      <c r="M17" s="183">
        <v>9142.86</v>
      </c>
      <c r="N17" s="230">
        <v>0</v>
      </c>
      <c r="O17" s="118">
        <v>5714.29</v>
      </c>
      <c r="P17" s="233">
        <v>0</v>
      </c>
    </row>
    <row r="18" spans="2:18" ht="17.25" thickBot="1" x14ac:dyDescent="0.25">
      <c r="B18" s="197" t="s">
        <v>48</v>
      </c>
      <c r="C18" s="213">
        <f t="shared" si="0"/>
        <v>1</v>
      </c>
      <c r="D18" s="214">
        <v>0</v>
      </c>
      <c r="E18" s="217">
        <v>1</v>
      </c>
      <c r="F18" s="388"/>
      <c r="G18" s="207" t="s">
        <v>0</v>
      </c>
      <c r="H18" s="223">
        <f>SUM(H10:H17)</f>
        <v>58</v>
      </c>
      <c r="I18" s="384"/>
      <c r="J18" s="179" t="s">
        <v>126</v>
      </c>
      <c r="K18" s="215">
        <v>0</v>
      </c>
      <c r="L18" s="395"/>
      <c r="M18" s="184">
        <v>10285.709999999999</v>
      </c>
      <c r="N18" s="230">
        <v>0</v>
      </c>
      <c r="O18" s="118">
        <v>6857.14</v>
      </c>
      <c r="P18" s="233">
        <v>0</v>
      </c>
    </row>
    <row r="19" spans="2:18" ht="12" thickBot="1" x14ac:dyDescent="0.25">
      <c r="B19" s="197" t="s">
        <v>49</v>
      </c>
      <c r="C19" s="213">
        <f t="shared" si="0"/>
        <v>1</v>
      </c>
      <c r="D19" s="214">
        <v>0</v>
      </c>
      <c r="E19" s="215">
        <v>1</v>
      </c>
      <c r="F19" s="388"/>
      <c r="I19" s="384"/>
      <c r="J19" s="179" t="s">
        <v>120</v>
      </c>
      <c r="K19" s="215">
        <v>2</v>
      </c>
      <c r="L19" s="395"/>
      <c r="M19" s="185">
        <v>11428.57</v>
      </c>
      <c r="N19" s="230">
        <v>10</v>
      </c>
      <c r="O19" s="118">
        <v>8000</v>
      </c>
      <c r="P19" s="233">
        <v>0</v>
      </c>
    </row>
    <row r="20" spans="2:18" ht="17.25" thickBot="1" x14ac:dyDescent="0.25">
      <c r="B20" s="197" t="s">
        <v>50</v>
      </c>
      <c r="C20" s="213">
        <f t="shared" si="0"/>
        <v>3</v>
      </c>
      <c r="D20" s="216">
        <v>2</v>
      </c>
      <c r="E20" s="215">
        <v>1</v>
      </c>
      <c r="F20" s="388"/>
      <c r="G20" s="409" t="s">
        <v>24</v>
      </c>
      <c r="H20" s="410"/>
      <c r="I20" s="384"/>
      <c r="J20" s="180" t="s">
        <v>159</v>
      </c>
      <c r="K20" s="215">
        <v>6</v>
      </c>
      <c r="L20" s="395"/>
      <c r="M20" s="186">
        <v>15000</v>
      </c>
      <c r="N20" s="230">
        <v>0</v>
      </c>
      <c r="O20" s="118">
        <v>9142.86</v>
      </c>
      <c r="P20" s="233">
        <v>0</v>
      </c>
    </row>
    <row r="21" spans="2:18" x14ac:dyDescent="0.2">
      <c r="B21" s="197" t="s">
        <v>51</v>
      </c>
      <c r="C21" s="213">
        <f t="shared" si="0"/>
        <v>13</v>
      </c>
      <c r="D21" s="216">
        <v>6</v>
      </c>
      <c r="E21" s="217">
        <v>7</v>
      </c>
      <c r="F21" s="388"/>
      <c r="G21" s="196" t="s">
        <v>32</v>
      </c>
      <c r="H21" s="224">
        <v>23</v>
      </c>
      <c r="I21" s="384"/>
      <c r="J21" s="180" t="s">
        <v>142</v>
      </c>
      <c r="K21" s="215">
        <v>1</v>
      </c>
      <c r="L21" s="395"/>
      <c r="M21" s="186">
        <v>20000</v>
      </c>
      <c r="N21" s="230">
        <v>3</v>
      </c>
      <c r="O21" s="118">
        <v>10285.709999999999</v>
      </c>
      <c r="P21" s="233">
        <v>0</v>
      </c>
    </row>
    <row r="22" spans="2:18" x14ac:dyDescent="0.2">
      <c r="B22" s="197" t="s">
        <v>52</v>
      </c>
      <c r="C22" s="213">
        <f t="shared" si="0"/>
        <v>0</v>
      </c>
      <c r="D22" s="216">
        <v>0</v>
      </c>
      <c r="E22" s="217">
        <v>0</v>
      </c>
      <c r="F22" s="388"/>
      <c r="G22" s="193" t="s">
        <v>34</v>
      </c>
      <c r="H22" s="225">
        <v>1</v>
      </c>
      <c r="I22" s="384"/>
      <c r="J22" s="180" t="s">
        <v>160</v>
      </c>
      <c r="K22" s="215">
        <v>3</v>
      </c>
      <c r="L22" s="395"/>
      <c r="M22" s="186">
        <v>25000</v>
      </c>
      <c r="N22" s="230">
        <v>0</v>
      </c>
      <c r="O22" s="118">
        <v>11428.57</v>
      </c>
      <c r="P22" s="233">
        <v>0</v>
      </c>
    </row>
    <row r="23" spans="2:18" ht="12" thickBot="1" x14ac:dyDescent="0.25">
      <c r="B23" s="197" t="s">
        <v>53</v>
      </c>
      <c r="C23" s="213">
        <f t="shared" si="0"/>
        <v>2</v>
      </c>
      <c r="D23" s="216">
        <v>0</v>
      </c>
      <c r="E23" s="218">
        <v>2</v>
      </c>
      <c r="F23" s="388"/>
      <c r="G23" s="193" t="s">
        <v>37</v>
      </c>
      <c r="H23" s="225">
        <v>29</v>
      </c>
      <c r="I23" s="384"/>
      <c r="J23" s="179" t="s">
        <v>54</v>
      </c>
      <c r="K23" s="215">
        <v>0</v>
      </c>
      <c r="L23" s="395"/>
      <c r="M23" s="187">
        <v>30000</v>
      </c>
      <c r="N23" s="231">
        <v>2</v>
      </c>
      <c r="O23" s="188"/>
      <c r="P23" s="234"/>
    </row>
    <row r="24" spans="2:18" ht="17.25" thickBot="1" x14ac:dyDescent="0.25">
      <c r="B24" s="194" t="s">
        <v>116</v>
      </c>
      <c r="C24" s="213">
        <f t="shared" si="0"/>
        <v>1</v>
      </c>
      <c r="D24" s="216">
        <v>0</v>
      </c>
      <c r="E24" s="218">
        <v>1</v>
      </c>
      <c r="F24" s="388"/>
      <c r="G24" s="193" t="s">
        <v>40</v>
      </c>
      <c r="H24" s="225">
        <v>2</v>
      </c>
      <c r="I24" s="384"/>
      <c r="J24" s="179" t="s">
        <v>118</v>
      </c>
      <c r="K24" s="215">
        <v>0</v>
      </c>
      <c r="L24" s="395"/>
      <c r="M24" s="235" t="s">
        <v>0</v>
      </c>
      <c r="N24" s="236">
        <f>SUM(N10:N23)</f>
        <v>51</v>
      </c>
      <c r="O24" s="235" t="s">
        <v>0</v>
      </c>
      <c r="P24" s="237">
        <f>SUM(P10:P23)</f>
        <v>1</v>
      </c>
    </row>
    <row r="25" spans="2:18" ht="12.75" thickBot="1" x14ac:dyDescent="0.25">
      <c r="B25" s="203" t="s">
        <v>0</v>
      </c>
      <c r="C25" s="227">
        <f>SUM(C10:C24)</f>
        <v>58</v>
      </c>
      <c r="D25" s="227">
        <f>SUM(D10:D24)</f>
        <v>28</v>
      </c>
      <c r="E25" s="265">
        <f>SUM(E10:E24)</f>
        <v>30</v>
      </c>
      <c r="F25" s="388"/>
      <c r="G25" s="194" t="s">
        <v>42</v>
      </c>
      <c r="H25" s="225">
        <v>3</v>
      </c>
      <c r="I25" s="384"/>
      <c r="J25" s="179" t="s">
        <v>117</v>
      </c>
      <c r="K25" s="215">
        <v>2</v>
      </c>
      <c r="L25" s="395"/>
      <c r="M25" s="407" t="s">
        <v>30</v>
      </c>
      <c r="N25" s="408"/>
      <c r="O25" s="396" t="s">
        <v>28</v>
      </c>
      <c r="P25" s="397"/>
    </row>
    <row r="26" spans="2:18" ht="12" thickBot="1" x14ac:dyDescent="0.25">
      <c r="B26" s="126" t="s">
        <v>133</v>
      </c>
      <c r="C26" s="177"/>
      <c r="D26" s="177"/>
      <c r="E26" s="177"/>
      <c r="F26" s="388"/>
      <c r="G26" s="194" t="s">
        <v>44</v>
      </c>
      <c r="H26" s="225">
        <v>0</v>
      </c>
      <c r="I26" s="384"/>
      <c r="J26" s="179" t="s">
        <v>55</v>
      </c>
      <c r="K26" s="215">
        <v>7</v>
      </c>
      <c r="L26" s="395"/>
      <c r="M26" s="189">
        <v>3428.57</v>
      </c>
      <c r="N26" s="256">
        <f>N32+P32</f>
        <v>24</v>
      </c>
      <c r="O26" s="189">
        <v>1142.8599999999999</v>
      </c>
      <c r="P26" s="238">
        <f>N31+P31</f>
        <v>24</v>
      </c>
      <c r="R26" s="240"/>
    </row>
    <row r="27" spans="2:18" ht="12.75" thickBot="1" x14ac:dyDescent="0.25">
      <c r="B27" s="243"/>
      <c r="C27" s="177"/>
      <c r="D27" s="177"/>
      <c r="E27" s="177"/>
      <c r="F27" s="388"/>
      <c r="G27" s="195" t="s">
        <v>105</v>
      </c>
      <c r="H27" s="226">
        <v>0</v>
      </c>
      <c r="I27" s="384"/>
      <c r="J27" s="179" t="s">
        <v>110</v>
      </c>
      <c r="K27" s="215">
        <v>0</v>
      </c>
      <c r="L27" s="395"/>
      <c r="M27" s="398"/>
      <c r="N27" s="398"/>
      <c r="O27" s="398"/>
      <c r="P27" s="399"/>
    </row>
    <row r="28" spans="2:18" ht="12" thickBot="1" x14ac:dyDescent="0.25">
      <c r="B28" s="243"/>
      <c r="C28" s="177"/>
      <c r="D28" s="177"/>
      <c r="E28" s="177"/>
      <c r="F28" s="388"/>
      <c r="G28" s="205" t="s">
        <v>0</v>
      </c>
      <c r="H28" s="206">
        <f>H21+H22+H23+H24+H25+H26+H27</f>
        <v>58</v>
      </c>
      <c r="I28" s="384"/>
      <c r="J28" s="179" t="s">
        <v>127</v>
      </c>
      <c r="K28" s="215">
        <v>6</v>
      </c>
      <c r="L28" s="395"/>
      <c r="M28" s="404" t="s">
        <v>98</v>
      </c>
      <c r="N28" s="405"/>
      <c r="O28" s="405"/>
      <c r="P28" s="406"/>
    </row>
    <row r="29" spans="2:18" ht="16.5" x14ac:dyDescent="0.2">
      <c r="B29" s="243"/>
      <c r="C29" s="177"/>
      <c r="D29" s="177"/>
      <c r="E29" s="177"/>
      <c r="F29" s="388"/>
      <c r="I29" s="384"/>
      <c r="J29" s="179" t="s">
        <v>114</v>
      </c>
      <c r="K29" s="215">
        <v>1</v>
      </c>
      <c r="L29" s="395"/>
      <c r="M29" s="335" t="s">
        <v>107</v>
      </c>
      <c r="N29" s="341">
        <v>22</v>
      </c>
      <c r="O29" s="338" t="s">
        <v>147</v>
      </c>
      <c r="P29" s="344">
        <v>29</v>
      </c>
      <c r="Q29" s="240"/>
      <c r="R29" s="240"/>
    </row>
    <row r="30" spans="2:18" ht="12" x14ac:dyDescent="0.2">
      <c r="B30" s="243"/>
      <c r="C30" s="177"/>
      <c r="D30" s="177"/>
      <c r="E30" s="177"/>
      <c r="F30" s="388"/>
      <c r="I30" s="384"/>
      <c r="J30" s="200" t="s">
        <v>119</v>
      </c>
      <c r="K30" s="215">
        <v>0</v>
      </c>
      <c r="L30" s="395"/>
      <c r="M30" s="336" t="s">
        <v>108</v>
      </c>
      <c r="N30" s="342">
        <v>0</v>
      </c>
      <c r="O30" s="339" t="s">
        <v>149</v>
      </c>
      <c r="P30" s="345">
        <v>1</v>
      </c>
    </row>
    <row r="31" spans="2:18" ht="12" x14ac:dyDescent="0.2">
      <c r="B31" s="243"/>
      <c r="C31" s="177"/>
      <c r="D31" s="177"/>
      <c r="E31" s="177"/>
      <c r="F31" s="388"/>
      <c r="G31" s="177"/>
      <c r="H31" s="177"/>
      <c r="I31" s="384"/>
      <c r="J31" s="200" t="s">
        <v>169</v>
      </c>
      <c r="K31" s="215">
        <v>16</v>
      </c>
      <c r="L31" s="395"/>
      <c r="M31" s="336" t="s">
        <v>146</v>
      </c>
      <c r="N31" s="342">
        <v>0</v>
      </c>
      <c r="O31" s="339" t="s">
        <v>150</v>
      </c>
      <c r="P31" s="345">
        <v>24</v>
      </c>
    </row>
    <row r="32" spans="2:18" ht="12.75" thickBot="1" x14ac:dyDescent="0.25">
      <c r="B32" s="243"/>
      <c r="C32" s="177"/>
      <c r="D32" s="177"/>
      <c r="E32" s="177"/>
      <c r="F32" s="388"/>
      <c r="G32" s="177"/>
      <c r="H32" s="177"/>
      <c r="I32" s="384"/>
      <c r="J32" s="200" t="s">
        <v>158</v>
      </c>
      <c r="K32" s="215">
        <v>2</v>
      </c>
      <c r="L32" s="395"/>
      <c r="M32" s="336" t="s">
        <v>106</v>
      </c>
      <c r="N32" s="342">
        <v>6</v>
      </c>
      <c r="O32" s="339" t="s">
        <v>151</v>
      </c>
      <c r="P32" s="346">
        <v>18</v>
      </c>
    </row>
    <row r="33" spans="2:18" ht="17.25" thickBot="1" x14ac:dyDescent="0.25">
      <c r="F33" s="388"/>
      <c r="G33" s="178"/>
      <c r="H33" s="178"/>
      <c r="I33" s="384"/>
      <c r="J33" s="201" t="s">
        <v>0</v>
      </c>
      <c r="K33" s="204">
        <f>SUM(K10:K32)</f>
        <v>58</v>
      </c>
      <c r="L33" s="395"/>
      <c r="M33" s="337" t="s">
        <v>195</v>
      </c>
      <c r="N33" s="343">
        <v>0</v>
      </c>
      <c r="O33" s="340" t="s">
        <v>196</v>
      </c>
      <c r="P33" s="346">
        <v>1</v>
      </c>
      <c r="R33" s="240"/>
    </row>
    <row r="34" spans="2:18" ht="12.75" thickBot="1" x14ac:dyDescent="0.25">
      <c r="F34" s="314"/>
      <c r="G34" s="178"/>
      <c r="H34" s="178"/>
      <c r="I34" s="313"/>
      <c r="J34" s="332"/>
      <c r="K34" s="333"/>
      <c r="L34" s="315"/>
      <c r="M34" s="202" t="s">
        <v>0</v>
      </c>
      <c r="N34" s="239">
        <f>N29+N30+N31+N32+N33</f>
        <v>28</v>
      </c>
      <c r="O34" s="334" t="s">
        <v>0</v>
      </c>
      <c r="P34" s="331">
        <f>P29+P30+P31+P32+P33</f>
        <v>73</v>
      </c>
      <c r="R34" s="240"/>
    </row>
    <row r="35" spans="2:18" ht="12.75" x14ac:dyDescent="0.2">
      <c r="C35" s="125"/>
      <c r="D35" s="125"/>
      <c r="E35" s="125"/>
      <c r="F35" s="125"/>
      <c r="G35" s="125"/>
      <c r="H35" s="125"/>
      <c r="I35" s="18"/>
      <c r="J35" s="64"/>
      <c r="K35" s="18"/>
      <c r="L35" s="18"/>
      <c r="M35" s="347" t="s">
        <v>199</v>
      </c>
      <c r="N35" s="64"/>
      <c r="P35" s="64"/>
    </row>
    <row r="36" spans="2:18" ht="12.75" x14ac:dyDescent="0.2">
      <c r="B36" s="114" t="s">
        <v>109</v>
      </c>
      <c r="C36" s="125"/>
      <c r="D36" s="125"/>
      <c r="E36" s="125"/>
      <c r="F36" s="125"/>
      <c r="G36" s="125"/>
      <c r="H36" s="125"/>
      <c r="I36" s="18"/>
      <c r="J36" s="64"/>
      <c r="K36" s="18"/>
      <c r="L36" s="18"/>
      <c r="M36" s="64"/>
      <c r="N36" s="64"/>
      <c r="P36" s="64"/>
    </row>
    <row r="37" spans="2:18" ht="12" x14ac:dyDescent="0.2">
      <c r="B37" s="9" t="s">
        <v>164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4"/>
    </row>
    <row r="38" spans="2:18" ht="12" x14ac:dyDescent="0.2">
      <c r="B38" s="9" t="s">
        <v>165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4"/>
    </row>
    <row r="39" spans="2:18" ht="12.75" x14ac:dyDescent="0.2">
      <c r="B39" s="9" t="s">
        <v>166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2"/>
    </row>
    <row r="42" spans="2:18" ht="12.75" x14ac:dyDescent="0.2">
      <c r="M42" s="349" t="s">
        <v>200</v>
      </c>
      <c r="N42" s="71"/>
    </row>
    <row r="43" spans="2:18" ht="12.75" x14ac:dyDescent="0.2">
      <c r="M43" s="349" t="s">
        <v>201</v>
      </c>
      <c r="N43" s="64"/>
    </row>
  </sheetData>
  <mergeCells count="22">
    <mergeCell ref="D8:E8"/>
    <mergeCell ref="M28:P28"/>
    <mergeCell ref="M25:N25"/>
    <mergeCell ref="G20:H20"/>
    <mergeCell ref="M8:P8"/>
    <mergeCell ref="J9:K9"/>
    <mergeCell ref="B6:L6"/>
    <mergeCell ref="M9:N9"/>
    <mergeCell ref="I8:I33"/>
    <mergeCell ref="G9:H9"/>
    <mergeCell ref="B3:P3"/>
    <mergeCell ref="B4:P4"/>
    <mergeCell ref="B8:C8"/>
    <mergeCell ref="J8:K8"/>
    <mergeCell ref="G8:H8"/>
    <mergeCell ref="O9:P9"/>
    <mergeCell ref="L8:L33"/>
    <mergeCell ref="O25:P25"/>
    <mergeCell ref="M27:P27"/>
    <mergeCell ref="F8:F33"/>
    <mergeCell ref="B9:C9"/>
    <mergeCell ref="B7:P7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workbookViewId="0">
      <selection activeCell="K25" sqref="K23:L25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8" width="6" customWidth="1"/>
    <col min="9" max="9" width="7.7109375" customWidth="1"/>
    <col min="10" max="10" width="7.28515625" customWidth="1"/>
    <col min="11" max="11" width="5.7109375" customWidth="1"/>
    <col min="12" max="12" width="7.42578125" customWidth="1"/>
    <col min="13" max="13" width="5.42578125" customWidth="1"/>
    <col min="14" max="15" width="6.140625" customWidth="1"/>
    <col min="16" max="16" width="9.42578125" customWidth="1"/>
    <col min="17" max="17" width="6.85546875" customWidth="1"/>
    <col min="18" max="18" width="8.140625" customWidth="1"/>
    <col min="19" max="19" width="10.5703125" customWidth="1"/>
    <col min="20" max="20" width="11.5703125" customWidth="1"/>
    <col min="21" max="21" width="10.42578125" customWidth="1"/>
    <col min="22" max="22" width="11.5703125" customWidth="1"/>
    <col min="257" max="257" width="3.5703125" customWidth="1"/>
    <col min="258" max="258" width="9.140625" customWidth="1"/>
    <col min="259" max="259" width="9" customWidth="1"/>
    <col min="260" max="260" width="5.85546875" customWidth="1"/>
    <col min="261" max="261" width="7.28515625" customWidth="1"/>
    <col min="262" max="262" width="6.140625" customWidth="1"/>
    <col min="263" max="264" width="6" customWidth="1"/>
    <col min="265" max="265" width="9.7109375" customWidth="1"/>
    <col min="266" max="266" width="8.42578125" customWidth="1"/>
    <col min="267" max="267" width="5.7109375" customWidth="1"/>
    <col min="268" max="268" width="7.42578125" customWidth="1"/>
    <col min="269" max="269" width="5.42578125" customWidth="1"/>
    <col min="270" max="271" width="6.140625" customWidth="1"/>
    <col min="272" max="272" width="9.42578125" customWidth="1"/>
    <col min="273" max="273" width="8.85546875" customWidth="1"/>
    <col min="274" max="275" width="10.5703125" customWidth="1"/>
    <col min="276" max="276" width="11.5703125" customWidth="1"/>
    <col min="277" max="277" width="10.42578125" customWidth="1"/>
    <col min="278" max="278" width="11.5703125" customWidth="1"/>
    <col min="513" max="513" width="3.5703125" customWidth="1"/>
    <col min="514" max="514" width="9.140625" customWidth="1"/>
    <col min="515" max="515" width="9" customWidth="1"/>
    <col min="516" max="516" width="5.85546875" customWidth="1"/>
    <col min="517" max="517" width="7.28515625" customWidth="1"/>
    <col min="518" max="518" width="6.140625" customWidth="1"/>
    <col min="519" max="520" width="6" customWidth="1"/>
    <col min="521" max="521" width="9.7109375" customWidth="1"/>
    <col min="522" max="522" width="8.42578125" customWidth="1"/>
    <col min="523" max="523" width="5.7109375" customWidth="1"/>
    <col min="524" max="524" width="7.42578125" customWidth="1"/>
    <col min="525" max="525" width="5.42578125" customWidth="1"/>
    <col min="526" max="527" width="6.140625" customWidth="1"/>
    <col min="528" max="528" width="9.42578125" customWidth="1"/>
    <col min="529" max="529" width="8.85546875" customWidth="1"/>
    <col min="530" max="531" width="10.5703125" customWidth="1"/>
    <col min="532" max="532" width="11.5703125" customWidth="1"/>
    <col min="533" max="533" width="10.42578125" customWidth="1"/>
    <col min="534" max="534" width="11.5703125" customWidth="1"/>
    <col min="769" max="769" width="3.5703125" customWidth="1"/>
    <col min="770" max="770" width="9.140625" customWidth="1"/>
    <col min="771" max="771" width="9" customWidth="1"/>
    <col min="772" max="772" width="5.85546875" customWidth="1"/>
    <col min="773" max="773" width="7.28515625" customWidth="1"/>
    <col min="774" max="774" width="6.140625" customWidth="1"/>
    <col min="775" max="776" width="6" customWidth="1"/>
    <col min="777" max="777" width="9.7109375" customWidth="1"/>
    <col min="778" max="778" width="8.42578125" customWidth="1"/>
    <col min="779" max="779" width="5.7109375" customWidth="1"/>
    <col min="780" max="780" width="7.42578125" customWidth="1"/>
    <col min="781" max="781" width="5.42578125" customWidth="1"/>
    <col min="782" max="783" width="6.140625" customWidth="1"/>
    <col min="784" max="784" width="9.42578125" customWidth="1"/>
    <col min="785" max="785" width="8.85546875" customWidth="1"/>
    <col min="786" max="787" width="10.5703125" customWidth="1"/>
    <col min="788" max="788" width="11.5703125" customWidth="1"/>
    <col min="789" max="789" width="10.42578125" customWidth="1"/>
    <col min="790" max="790" width="11.5703125" customWidth="1"/>
    <col min="1025" max="1025" width="3.5703125" customWidth="1"/>
    <col min="1026" max="1026" width="9.140625" customWidth="1"/>
    <col min="1027" max="1027" width="9" customWidth="1"/>
    <col min="1028" max="1028" width="5.85546875" customWidth="1"/>
    <col min="1029" max="1029" width="7.28515625" customWidth="1"/>
    <col min="1030" max="1030" width="6.140625" customWidth="1"/>
    <col min="1031" max="1032" width="6" customWidth="1"/>
    <col min="1033" max="1033" width="9.7109375" customWidth="1"/>
    <col min="1034" max="1034" width="8.42578125" customWidth="1"/>
    <col min="1035" max="1035" width="5.7109375" customWidth="1"/>
    <col min="1036" max="1036" width="7.42578125" customWidth="1"/>
    <col min="1037" max="1037" width="5.42578125" customWidth="1"/>
    <col min="1038" max="1039" width="6.140625" customWidth="1"/>
    <col min="1040" max="1040" width="9.42578125" customWidth="1"/>
    <col min="1041" max="1041" width="8.85546875" customWidth="1"/>
    <col min="1042" max="1043" width="10.5703125" customWidth="1"/>
    <col min="1044" max="1044" width="11.5703125" customWidth="1"/>
    <col min="1045" max="1045" width="10.42578125" customWidth="1"/>
    <col min="1046" max="1046" width="11.5703125" customWidth="1"/>
    <col min="1281" max="1281" width="3.5703125" customWidth="1"/>
    <col min="1282" max="1282" width="9.140625" customWidth="1"/>
    <col min="1283" max="1283" width="9" customWidth="1"/>
    <col min="1284" max="1284" width="5.85546875" customWidth="1"/>
    <col min="1285" max="1285" width="7.28515625" customWidth="1"/>
    <col min="1286" max="1286" width="6.140625" customWidth="1"/>
    <col min="1287" max="1288" width="6" customWidth="1"/>
    <col min="1289" max="1289" width="9.7109375" customWidth="1"/>
    <col min="1290" max="1290" width="8.42578125" customWidth="1"/>
    <col min="1291" max="1291" width="5.7109375" customWidth="1"/>
    <col min="1292" max="1292" width="7.42578125" customWidth="1"/>
    <col min="1293" max="1293" width="5.42578125" customWidth="1"/>
    <col min="1294" max="1295" width="6.140625" customWidth="1"/>
    <col min="1296" max="1296" width="9.42578125" customWidth="1"/>
    <col min="1297" max="1297" width="8.85546875" customWidth="1"/>
    <col min="1298" max="1299" width="10.5703125" customWidth="1"/>
    <col min="1300" max="1300" width="11.5703125" customWidth="1"/>
    <col min="1301" max="1301" width="10.42578125" customWidth="1"/>
    <col min="1302" max="1302" width="11.5703125" customWidth="1"/>
    <col min="1537" max="1537" width="3.5703125" customWidth="1"/>
    <col min="1538" max="1538" width="9.140625" customWidth="1"/>
    <col min="1539" max="1539" width="9" customWidth="1"/>
    <col min="1540" max="1540" width="5.85546875" customWidth="1"/>
    <col min="1541" max="1541" width="7.28515625" customWidth="1"/>
    <col min="1542" max="1542" width="6.140625" customWidth="1"/>
    <col min="1543" max="1544" width="6" customWidth="1"/>
    <col min="1545" max="1545" width="9.7109375" customWidth="1"/>
    <col min="1546" max="1546" width="8.42578125" customWidth="1"/>
    <col min="1547" max="1547" width="5.7109375" customWidth="1"/>
    <col min="1548" max="1548" width="7.42578125" customWidth="1"/>
    <col min="1549" max="1549" width="5.42578125" customWidth="1"/>
    <col min="1550" max="1551" width="6.140625" customWidth="1"/>
    <col min="1552" max="1552" width="9.42578125" customWidth="1"/>
    <col min="1553" max="1553" width="8.85546875" customWidth="1"/>
    <col min="1554" max="1555" width="10.5703125" customWidth="1"/>
    <col min="1556" max="1556" width="11.5703125" customWidth="1"/>
    <col min="1557" max="1557" width="10.42578125" customWidth="1"/>
    <col min="1558" max="1558" width="11.5703125" customWidth="1"/>
    <col min="1793" max="1793" width="3.5703125" customWidth="1"/>
    <col min="1794" max="1794" width="9.140625" customWidth="1"/>
    <col min="1795" max="1795" width="9" customWidth="1"/>
    <col min="1796" max="1796" width="5.85546875" customWidth="1"/>
    <col min="1797" max="1797" width="7.28515625" customWidth="1"/>
    <col min="1798" max="1798" width="6.140625" customWidth="1"/>
    <col min="1799" max="1800" width="6" customWidth="1"/>
    <col min="1801" max="1801" width="9.7109375" customWidth="1"/>
    <col min="1802" max="1802" width="8.42578125" customWidth="1"/>
    <col min="1803" max="1803" width="5.7109375" customWidth="1"/>
    <col min="1804" max="1804" width="7.42578125" customWidth="1"/>
    <col min="1805" max="1805" width="5.42578125" customWidth="1"/>
    <col min="1806" max="1807" width="6.140625" customWidth="1"/>
    <col min="1808" max="1808" width="9.42578125" customWidth="1"/>
    <col min="1809" max="1809" width="8.85546875" customWidth="1"/>
    <col min="1810" max="1811" width="10.5703125" customWidth="1"/>
    <col min="1812" max="1812" width="11.5703125" customWidth="1"/>
    <col min="1813" max="1813" width="10.42578125" customWidth="1"/>
    <col min="1814" max="1814" width="11.5703125" customWidth="1"/>
    <col min="2049" max="2049" width="3.5703125" customWidth="1"/>
    <col min="2050" max="2050" width="9.140625" customWidth="1"/>
    <col min="2051" max="2051" width="9" customWidth="1"/>
    <col min="2052" max="2052" width="5.85546875" customWidth="1"/>
    <col min="2053" max="2053" width="7.28515625" customWidth="1"/>
    <col min="2054" max="2054" width="6.140625" customWidth="1"/>
    <col min="2055" max="2056" width="6" customWidth="1"/>
    <col min="2057" max="2057" width="9.7109375" customWidth="1"/>
    <col min="2058" max="2058" width="8.42578125" customWidth="1"/>
    <col min="2059" max="2059" width="5.7109375" customWidth="1"/>
    <col min="2060" max="2060" width="7.42578125" customWidth="1"/>
    <col min="2061" max="2061" width="5.42578125" customWidth="1"/>
    <col min="2062" max="2063" width="6.140625" customWidth="1"/>
    <col min="2064" max="2064" width="9.42578125" customWidth="1"/>
    <col min="2065" max="2065" width="8.85546875" customWidth="1"/>
    <col min="2066" max="2067" width="10.5703125" customWidth="1"/>
    <col min="2068" max="2068" width="11.5703125" customWidth="1"/>
    <col min="2069" max="2069" width="10.42578125" customWidth="1"/>
    <col min="2070" max="2070" width="11.5703125" customWidth="1"/>
    <col min="2305" max="2305" width="3.5703125" customWidth="1"/>
    <col min="2306" max="2306" width="9.140625" customWidth="1"/>
    <col min="2307" max="2307" width="9" customWidth="1"/>
    <col min="2308" max="2308" width="5.85546875" customWidth="1"/>
    <col min="2309" max="2309" width="7.28515625" customWidth="1"/>
    <col min="2310" max="2310" width="6.140625" customWidth="1"/>
    <col min="2311" max="2312" width="6" customWidth="1"/>
    <col min="2313" max="2313" width="9.7109375" customWidth="1"/>
    <col min="2314" max="2314" width="8.42578125" customWidth="1"/>
    <col min="2315" max="2315" width="5.7109375" customWidth="1"/>
    <col min="2316" max="2316" width="7.42578125" customWidth="1"/>
    <col min="2317" max="2317" width="5.42578125" customWidth="1"/>
    <col min="2318" max="2319" width="6.140625" customWidth="1"/>
    <col min="2320" max="2320" width="9.42578125" customWidth="1"/>
    <col min="2321" max="2321" width="8.85546875" customWidth="1"/>
    <col min="2322" max="2323" width="10.5703125" customWidth="1"/>
    <col min="2324" max="2324" width="11.5703125" customWidth="1"/>
    <col min="2325" max="2325" width="10.42578125" customWidth="1"/>
    <col min="2326" max="2326" width="11.5703125" customWidth="1"/>
    <col min="2561" max="2561" width="3.5703125" customWidth="1"/>
    <col min="2562" max="2562" width="9.140625" customWidth="1"/>
    <col min="2563" max="2563" width="9" customWidth="1"/>
    <col min="2564" max="2564" width="5.85546875" customWidth="1"/>
    <col min="2565" max="2565" width="7.28515625" customWidth="1"/>
    <col min="2566" max="2566" width="6.140625" customWidth="1"/>
    <col min="2567" max="2568" width="6" customWidth="1"/>
    <col min="2569" max="2569" width="9.7109375" customWidth="1"/>
    <col min="2570" max="2570" width="8.42578125" customWidth="1"/>
    <col min="2571" max="2571" width="5.7109375" customWidth="1"/>
    <col min="2572" max="2572" width="7.42578125" customWidth="1"/>
    <col min="2573" max="2573" width="5.42578125" customWidth="1"/>
    <col min="2574" max="2575" width="6.140625" customWidth="1"/>
    <col min="2576" max="2576" width="9.42578125" customWidth="1"/>
    <col min="2577" max="2577" width="8.85546875" customWidth="1"/>
    <col min="2578" max="2579" width="10.5703125" customWidth="1"/>
    <col min="2580" max="2580" width="11.5703125" customWidth="1"/>
    <col min="2581" max="2581" width="10.42578125" customWidth="1"/>
    <col min="2582" max="2582" width="11.5703125" customWidth="1"/>
    <col min="2817" max="2817" width="3.5703125" customWidth="1"/>
    <col min="2818" max="2818" width="9.140625" customWidth="1"/>
    <col min="2819" max="2819" width="9" customWidth="1"/>
    <col min="2820" max="2820" width="5.85546875" customWidth="1"/>
    <col min="2821" max="2821" width="7.28515625" customWidth="1"/>
    <col min="2822" max="2822" width="6.140625" customWidth="1"/>
    <col min="2823" max="2824" width="6" customWidth="1"/>
    <col min="2825" max="2825" width="9.7109375" customWidth="1"/>
    <col min="2826" max="2826" width="8.42578125" customWidth="1"/>
    <col min="2827" max="2827" width="5.7109375" customWidth="1"/>
    <col min="2828" max="2828" width="7.42578125" customWidth="1"/>
    <col min="2829" max="2829" width="5.42578125" customWidth="1"/>
    <col min="2830" max="2831" width="6.140625" customWidth="1"/>
    <col min="2832" max="2832" width="9.42578125" customWidth="1"/>
    <col min="2833" max="2833" width="8.85546875" customWidth="1"/>
    <col min="2834" max="2835" width="10.5703125" customWidth="1"/>
    <col min="2836" max="2836" width="11.5703125" customWidth="1"/>
    <col min="2837" max="2837" width="10.42578125" customWidth="1"/>
    <col min="2838" max="2838" width="11.5703125" customWidth="1"/>
    <col min="3073" max="3073" width="3.5703125" customWidth="1"/>
    <col min="3074" max="3074" width="9.140625" customWidth="1"/>
    <col min="3075" max="3075" width="9" customWidth="1"/>
    <col min="3076" max="3076" width="5.85546875" customWidth="1"/>
    <col min="3077" max="3077" width="7.28515625" customWidth="1"/>
    <col min="3078" max="3078" width="6.140625" customWidth="1"/>
    <col min="3079" max="3080" width="6" customWidth="1"/>
    <col min="3081" max="3081" width="9.7109375" customWidth="1"/>
    <col min="3082" max="3082" width="8.42578125" customWidth="1"/>
    <col min="3083" max="3083" width="5.7109375" customWidth="1"/>
    <col min="3084" max="3084" width="7.42578125" customWidth="1"/>
    <col min="3085" max="3085" width="5.42578125" customWidth="1"/>
    <col min="3086" max="3087" width="6.140625" customWidth="1"/>
    <col min="3088" max="3088" width="9.42578125" customWidth="1"/>
    <col min="3089" max="3089" width="8.85546875" customWidth="1"/>
    <col min="3090" max="3091" width="10.5703125" customWidth="1"/>
    <col min="3092" max="3092" width="11.5703125" customWidth="1"/>
    <col min="3093" max="3093" width="10.42578125" customWidth="1"/>
    <col min="3094" max="3094" width="11.5703125" customWidth="1"/>
    <col min="3329" max="3329" width="3.5703125" customWidth="1"/>
    <col min="3330" max="3330" width="9.140625" customWidth="1"/>
    <col min="3331" max="3331" width="9" customWidth="1"/>
    <col min="3332" max="3332" width="5.85546875" customWidth="1"/>
    <col min="3333" max="3333" width="7.28515625" customWidth="1"/>
    <col min="3334" max="3334" width="6.140625" customWidth="1"/>
    <col min="3335" max="3336" width="6" customWidth="1"/>
    <col min="3337" max="3337" width="9.7109375" customWidth="1"/>
    <col min="3338" max="3338" width="8.42578125" customWidth="1"/>
    <col min="3339" max="3339" width="5.7109375" customWidth="1"/>
    <col min="3340" max="3340" width="7.42578125" customWidth="1"/>
    <col min="3341" max="3341" width="5.42578125" customWidth="1"/>
    <col min="3342" max="3343" width="6.140625" customWidth="1"/>
    <col min="3344" max="3344" width="9.42578125" customWidth="1"/>
    <col min="3345" max="3345" width="8.85546875" customWidth="1"/>
    <col min="3346" max="3347" width="10.5703125" customWidth="1"/>
    <col min="3348" max="3348" width="11.5703125" customWidth="1"/>
    <col min="3349" max="3349" width="10.42578125" customWidth="1"/>
    <col min="3350" max="3350" width="11.5703125" customWidth="1"/>
    <col min="3585" max="3585" width="3.5703125" customWidth="1"/>
    <col min="3586" max="3586" width="9.140625" customWidth="1"/>
    <col min="3587" max="3587" width="9" customWidth="1"/>
    <col min="3588" max="3588" width="5.85546875" customWidth="1"/>
    <col min="3589" max="3589" width="7.28515625" customWidth="1"/>
    <col min="3590" max="3590" width="6.140625" customWidth="1"/>
    <col min="3591" max="3592" width="6" customWidth="1"/>
    <col min="3593" max="3593" width="9.7109375" customWidth="1"/>
    <col min="3594" max="3594" width="8.42578125" customWidth="1"/>
    <col min="3595" max="3595" width="5.7109375" customWidth="1"/>
    <col min="3596" max="3596" width="7.42578125" customWidth="1"/>
    <col min="3597" max="3597" width="5.42578125" customWidth="1"/>
    <col min="3598" max="3599" width="6.140625" customWidth="1"/>
    <col min="3600" max="3600" width="9.42578125" customWidth="1"/>
    <col min="3601" max="3601" width="8.85546875" customWidth="1"/>
    <col min="3602" max="3603" width="10.5703125" customWidth="1"/>
    <col min="3604" max="3604" width="11.5703125" customWidth="1"/>
    <col min="3605" max="3605" width="10.42578125" customWidth="1"/>
    <col min="3606" max="3606" width="11.5703125" customWidth="1"/>
    <col min="3841" max="3841" width="3.5703125" customWidth="1"/>
    <col min="3842" max="3842" width="9.140625" customWidth="1"/>
    <col min="3843" max="3843" width="9" customWidth="1"/>
    <col min="3844" max="3844" width="5.85546875" customWidth="1"/>
    <col min="3845" max="3845" width="7.28515625" customWidth="1"/>
    <col min="3846" max="3846" width="6.140625" customWidth="1"/>
    <col min="3847" max="3848" width="6" customWidth="1"/>
    <col min="3849" max="3849" width="9.7109375" customWidth="1"/>
    <col min="3850" max="3850" width="8.42578125" customWidth="1"/>
    <col min="3851" max="3851" width="5.7109375" customWidth="1"/>
    <col min="3852" max="3852" width="7.42578125" customWidth="1"/>
    <col min="3853" max="3853" width="5.42578125" customWidth="1"/>
    <col min="3854" max="3855" width="6.140625" customWidth="1"/>
    <col min="3856" max="3856" width="9.42578125" customWidth="1"/>
    <col min="3857" max="3857" width="8.85546875" customWidth="1"/>
    <col min="3858" max="3859" width="10.5703125" customWidth="1"/>
    <col min="3860" max="3860" width="11.5703125" customWidth="1"/>
    <col min="3861" max="3861" width="10.42578125" customWidth="1"/>
    <col min="3862" max="3862" width="11.5703125" customWidth="1"/>
    <col min="4097" max="4097" width="3.5703125" customWidth="1"/>
    <col min="4098" max="4098" width="9.140625" customWidth="1"/>
    <col min="4099" max="4099" width="9" customWidth="1"/>
    <col min="4100" max="4100" width="5.85546875" customWidth="1"/>
    <col min="4101" max="4101" width="7.28515625" customWidth="1"/>
    <col min="4102" max="4102" width="6.140625" customWidth="1"/>
    <col min="4103" max="4104" width="6" customWidth="1"/>
    <col min="4105" max="4105" width="9.7109375" customWidth="1"/>
    <col min="4106" max="4106" width="8.42578125" customWidth="1"/>
    <col min="4107" max="4107" width="5.7109375" customWidth="1"/>
    <col min="4108" max="4108" width="7.42578125" customWidth="1"/>
    <col min="4109" max="4109" width="5.42578125" customWidth="1"/>
    <col min="4110" max="4111" width="6.140625" customWidth="1"/>
    <col min="4112" max="4112" width="9.42578125" customWidth="1"/>
    <col min="4113" max="4113" width="8.85546875" customWidth="1"/>
    <col min="4114" max="4115" width="10.5703125" customWidth="1"/>
    <col min="4116" max="4116" width="11.5703125" customWidth="1"/>
    <col min="4117" max="4117" width="10.42578125" customWidth="1"/>
    <col min="4118" max="4118" width="11.5703125" customWidth="1"/>
    <col min="4353" max="4353" width="3.5703125" customWidth="1"/>
    <col min="4354" max="4354" width="9.140625" customWidth="1"/>
    <col min="4355" max="4355" width="9" customWidth="1"/>
    <col min="4356" max="4356" width="5.85546875" customWidth="1"/>
    <col min="4357" max="4357" width="7.28515625" customWidth="1"/>
    <col min="4358" max="4358" width="6.140625" customWidth="1"/>
    <col min="4359" max="4360" width="6" customWidth="1"/>
    <col min="4361" max="4361" width="9.7109375" customWidth="1"/>
    <col min="4362" max="4362" width="8.42578125" customWidth="1"/>
    <col min="4363" max="4363" width="5.7109375" customWidth="1"/>
    <col min="4364" max="4364" width="7.42578125" customWidth="1"/>
    <col min="4365" max="4365" width="5.42578125" customWidth="1"/>
    <col min="4366" max="4367" width="6.140625" customWidth="1"/>
    <col min="4368" max="4368" width="9.42578125" customWidth="1"/>
    <col min="4369" max="4369" width="8.85546875" customWidth="1"/>
    <col min="4370" max="4371" width="10.5703125" customWidth="1"/>
    <col min="4372" max="4372" width="11.5703125" customWidth="1"/>
    <col min="4373" max="4373" width="10.42578125" customWidth="1"/>
    <col min="4374" max="4374" width="11.5703125" customWidth="1"/>
    <col min="4609" max="4609" width="3.5703125" customWidth="1"/>
    <col min="4610" max="4610" width="9.140625" customWidth="1"/>
    <col min="4611" max="4611" width="9" customWidth="1"/>
    <col min="4612" max="4612" width="5.85546875" customWidth="1"/>
    <col min="4613" max="4613" width="7.28515625" customWidth="1"/>
    <col min="4614" max="4614" width="6.140625" customWidth="1"/>
    <col min="4615" max="4616" width="6" customWidth="1"/>
    <col min="4617" max="4617" width="9.7109375" customWidth="1"/>
    <col min="4618" max="4618" width="8.42578125" customWidth="1"/>
    <col min="4619" max="4619" width="5.7109375" customWidth="1"/>
    <col min="4620" max="4620" width="7.42578125" customWidth="1"/>
    <col min="4621" max="4621" width="5.42578125" customWidth="1"/>
    <col min="4622" max="4623" width="6.140625" customWidth="1"/>
    <col min="4624" max="4624" width="9.42578125" customWidth="1"/>
    <col min="4625" max="4625" width="8.85546875" customWidth="1"/>
    <col min="4626" max="4627" width="10.5703125" customWidth="1"/>
    <col min="4628" max="4628" width="11.5703125" customWidth="1"/>
    <col min="4629" max="4629" width="10.42578125" customWidth="1"/>
    <col min="4630" max="4630" width="11.5703125" customWidth="1"/>
    <col min="4865" max="4865" width="3.5703125" customWidth="1"/>
    <col min="4866" max="4866" width="9.140625" customWidth="1"/>
    <col min="4867" max="4867" width="9" customWidth="1"/>
    <col min="4868" max="4868" width="5.85546875" customWidth="1"/>
    <col min="4869" max="4869" width="7.28515625" customWidth="1"/>
    <col min="4870" max="4870" width="6.140625" customWidth="1"/>
    <col min="4871" max="4872" width="6" customWidth="1"/>
    <col min="4873" max="4873" width="9.7109375" customWidth="1"/>
    <col min="4874" max="4874" width="8.42578125" customWidth="1"/>
    <col min="4875" max="4875" width="5.7109375" customWidth="1"/>
    <col min="4876" max="4876" width="7.42578125" customWidth="1"/>
    <col min="4877" max="4877" width="5.42578125" customWidth="1"/>
    <col min="4878" max="4879" width="6.140625" customWidth="1"/>
    <col min="4880" max="4880" width="9.42578125" customWidth="1"/>
    <col min="4881" max="4881" width="8.85546875" customWidth="1"/>
    <col min="4882" max="4883" width="10.5703125" customWidth="1"/>
    <col min="4884" max="4884" width="11.5703125" customWidth="1"/>
    <col min="4885" max="4885" width="10.42578125" customWidth="1"/>
    <col min="4886" max="4886" width="11.5703125" customWidth="1"/>
    <col min="5121" max="5121" width="3.5703125" customWidth="1"/>
    <col min="5122" max="5122" width="9.140625" customWidth="1"/>
    <col min="5123" max="5123" width="9" customWidth="1"/>
    <col min="5124" max="5124" width="5.85546875" customWidth="1"/>
    <col min="5125" max="5125" width="7.28515625" customWidth="1"/>
    <col min="5126" max="5126" width="6.140625" customWidth="1"/>
    <col min="5127" max="5128" width="6" customWidth="1"/>
    <col min="5129" max="5129" width="9.7109375" customWidth="1"/>
    <col min="5130" max="5130" width="8.42578125" customWidth="1"/>
    <col min="5131" max="5131" width="5.7109375" customWidth="1"/>
    <col min="5132" max="5132" width="7.42578125" customWidth="1"/>
    <col min="5133" max="5133" width="5.42578125" customWidth="1"/>
    <col min="5134" max="5135" width="6.140625" customWidth="1"/>
    <col min="5136" max="5136" width="9.42578125" customWidth="1"/>
    <col min="5137" max="5137" width="8.85546875" customWidth="1"/>
    <col min="5138" max="5139" width="10.5703125" customWidth="1"/>
    <col min="5140" max="5140" width="11.5703125" customWidth="1"/>
    <col min="5141" max="5141" width="10.42578125" customWidth="1"/>
    <col min="5142" max="5142" width="11.5703125" customWidth="1"/>
    <col min="5377" max="5377" width="3.5703125" customWidth="1"/>
    <col min="5378" max="5378" width="9.140625" customWidth="1"/>
    <col min="5379" max="5379" width="9" customWidth="1"/>
    <col min="5380" max="5380" width="5.85546875" customWidth="1"/>
    <col min="5381" max="5381" width="7.28515625" customWidth="1"/>
    <col min="5382" max="5382" width="6.140625" customWidth="1"/>
    <col min="5383" max="5384" width="6" customWidth="1"/>
    <col min="5385" max="5385" width="9.7109375" customWidth="1"/>
    <col min="5386" max="5386" width="8.42578125" customWidth="1"/>
    <col min="5387" max="5387" width="5.7109375" customWidth="1"/>
    <col min="5388" max="5388" width="7.42578125" customWidth="1"/>
    <col min="5389" max="5389" width="5.42578125" customWidth="1"/>
    <col min="5390" max="5391" width="6.140625" customWidth="1"/>
    <col min="5392" max="5392" width="9.42578125" customWidth="1"/>
    <col min="5393" max="5393" width="8.85546875" customWidth="1"/>
    <col min="5394" max="5395" width="10.5703125" customWidth="1"/>
    <col min="5396" max="5396" width="11.5703125" customWidth="1"/>
    <col min="5397" max="5397" width="10.42578125" customWidth="1"/>
    <col min="5398" max="5398" width="11.5703125" customWidth="1"/>
    <col min="5633" max="5633" width="3.5703125" customWidth="1"/>
    <col min="5634" max="5634" width="9.140625" customWidth="1"/>
    <col min="5635" max="5635" width="9" customWidth="1"/>
    <col min="5636" max="5636" width="5.85546875" customWidth="1"/>
    <col min="5637" max="5637" width="7.28515625" customWidth="1"/>
    <col min="5638" max="5638" width="6.140625" customWidth="1"/>
    <col min="5639" max="5640" width="6" customWidth="1"/>
    <col min="5641" max="5641" width="9.7109375" customWidth="1"/>
    <col min="5642" max="5642" width="8.42578125" customWidth="1"/>
    <col min="5643" max="5643" width="5.7109375" customWidth="1"/>
    <col min="5644" max="5644" width="7.42578125" customWidth="1"/>
    <col min="5645" max="5645" width="5.42578125" customWidth="1"/>
    <col min="5646" max="5647" width="6.140625" customWidth="1"/>
    <col min="5648" max="5648" width="9.42578125" customWidth="1"/>
    <col min="5649" max="5649" width="8.85546875" customWidth="1"/>
    <col min="5650" max="5651" width="10.5703125" customWidth="1"/>
    <col min="5652" max="5652" width="11.5703125" customWidth="1"/>
    <col min="5653" max="5653" width="10.42578125" customWidth="1"/>
    <col min="5654" max="5654" width="11.5703125" customWidth="1"/>
    <col min="5889" max="5889" width="3.5703125" customWidth="1"/>
    <col min="5890" max="5890" width="9.140625" customWidth="1"/>
    <col min="5891" max="5891" width="9" customWidth="1"/>
    <col min="5892" max="5892" width="5.85546875" customWidth="1"/>
    <col min="5893" max="5893" width="7.28515625" customWidth="1"/>
    <col min="5894" max="5894" width="6.140625" customWidth="1"/>
    <col min="5895" max="5896" width="6" customWidth="1"/>
    <col min="5897" max="5897" width="9.7109375" customWidth="1"/>
    <col min="5898" max="5898" width="8.42578125" customWidth="1"/>
    <col min="5899" max="5899" width="5.7109375" customWidth="1"/>
    <col min="5900" max="5900" width="7.42578125" customWidth="1"/>
    <col min="5901" max="5901" width="5.42578125" customWidth="1"/>
    <col min="5902" max="5903" width="6.140625" customWidth="1"/>
    <col min="5904" max="5904" width="9.42578125" customWidth="1"/>
    <col min="5905" max="5905" width="8.85546875" customWidth="1"/>
    <col min="5906" max="5907" width="10.5703125" customWidth="1"/>
    <col min="5908" max="5908" width="11.5703125" customWidth="1"/>
    <col min="5909" max="5909" width="10.42578125" customWidth="1"/>
    <col min="5910" max="5910" width="11.5703125" customWidth="1"/>
    <col min="6145" max="6145" width="3.5703125" customWidth="1"/>
    <col min="6146" max="6146" width="9.140625" customWidth="1"/>
    <col min="6147" max="6147" width="9" customWidth="1"/>
    <col min="6148" max="6148" width="5.85546875" customWidth="1"/>
    <col min="6149" max="6149" width="7.28515625" customWidth="1"/>
    <col min="6150" max="6150" width="6.140625" customWidth="1"/>
    <col min="6151" max="6152" width="6" customWidth="1"/>
    <col min="6153" max="6153" width="9.7109375" customWidth="1"/>
    <col min="6154" max="6154" width="8.42578125" customWidth="1"/>
    <col min="6155" max="6155" width="5.7109375" customWidth="1"/>
    <col min="6156" max="6156" width="7.42578125" customWidth="1"/>
    <col min="6157" max="6157" width="5.42578125" customWidth="1"/>
    <col min="6158" max="6159" width="6.140625" customWidth="1"/>
    <col min="6160" max="6160" width="9.42578125" customWidth="1"/>
    <col min="6161" max="6161" width="8.85546875" customWidth="1"/>
    <col min="6162" max="6163" width="10.5703125" customWidth="1"/>
    <col min="6164" max="6164" width="11.5703125" customWidth="1"/>
    <col min="6165" max="6165" width="10.42578125" customWidth="1"/>
    <col min="6166" max="6166" width="11.5703125" customWidth="1"/>
    <col min="6401" max="6401" width="3.5703125" customWidth="1"/>
    <col min="6402" max="6402" width="9.140625" customWidth="1"/>
    <col min="6403" max="6403" width="9" customWidth="1"/>
    <col min="6404" max="6404" width="5.85546875" customWidth="1"/>
    <col min="6405" max="6405" width="7.28515625" customWidth="1"/>
    <col min="6406" max="6406" width="6.140625" customWidth="1"/>
    <col min="6407" max="6408" width="6" customWidth="1"/>
    <col min="6409" max="6409" width="9.7109375" customWidth="1"/>
    <col min="6410" max="6410" width="8.42578125" customWidth="1"/>
    <col min="6411" max="6411" width="5.7109375" customWidth="1"/>
    <col min="6412" max="6412" width="7.42578125" customWidth="1"/>
    <col min="6413" max="6413" width="5.42578125" customWidth="1"/>
    <col min="6414" max="6415" width="6.140625" customWidth="1"/>
    <col min="6416" max="6416" width="9.42578125" customWidth="1"/>
    <col min="6417" max="6417" width="8.85546875" customWidth="1"/>
    <col min="6418" max="6419" width="10.5703125" customWidth="1"/>
    <col min="6420" max="6420" width="11.5703125" customWidth="1"/>
    <col min="6421" max="6421" width="10.42578125" customWidth="1"/>
    <col min="6422" max="6422" width="11.5703125" customWidth="1"/>
    <col min="6657" max="6657" width="3.5703125" customWidth="1"/>
    <col min="6658" max="6658" width="9.140625" customWidth="1"/>
    <col min="6659" max="6659" width="9" customWidth="1"/>
    <col min="6660" max="6660" width="5.85546875" customWidth="1"/>
    <col min="6661" max="6661" width="7.28515625" customWidth="1"/>
    <col min="6662" max="6662" width="6.140625" customWidth="1"/>
    <col min="6663" max="6664" width="6" customWidth="1"/>
    <col min="6665" max="6665" width="9.7109375" customWidth="1"/>
    <col min="6666" max="6666" width="8.42578125" customWidth="1"/>
    <col min="6667" max="6667" width="5.7109375" customWidth="1"/>
    <col min="6668" max="6668" width="7.42578125" customWidth="1"/>
    <col min="6669" max="6669" width="5.42578125" customWidth="1"/>
    <col min="6670" max="6671" width="6.140625" customWidth="1"/>
    <col min="6672" max="6672" width="9.42578125" customWidth="1"/>
    <col min="6673" max="6673" width="8.85546875" customWidth="1"/>
    <col min="6674" max="6675" width="10.5703125" customWidth="1"/>
    <col min="6676" max="6676" width="11.5703125" customWidth="1"/>
    <col min="6677" max="6677" width="10.42578125" customWidth="1"/>
    <col min="6678" max="6678" width="11.5703125" customWidth="1"/>
    <col min="6913" max="6913" width="3.5703125" customWidth="1"/>
    <col min="6914" max="6914" width="9.140625" customWidth="1"/>
    <col min="6915" max="6915" width="9" customWidth="1"/>
    <col min="6916" max="6916" width="5.85546875" customWidth="1"/>
    <col min="6917" max="6917" width="7.28515625" customWidth="1"/>
    <col min="6918" max="6918" width="6.140625" customWidth="1"/>
    <col min="6919" max="6920" width="6" customWidth="1"/>
    <col min="6921" max="6921" width="9.7109375" customWidth="1"/>
    <col min="6922" max="6922" width="8.42578125" customWidth="1"/>
    <col min="6923" max="6923" width="5.7109375" customWidth="1"/>
    <col min="6924" max="6924" width="7.42578125" customWidth="1"/>
    <col min="6925" max="6925" width="5.42578125" customWidth="1"/>
    <col min="6926" max="6927" width="6.140625" customWidth="1"/>
    <col min="6928" max="6928" width="9.42578125" customWidth="1"/>
    <col min="6929" max="6929" width="8.85546875" customWidth="1"/>
    <col min="6930" max="6931" width="10.5703125" customWidth="1"/>
    <col min="6932" max="6932" width="11.5703125" customWidth="1"/>
    <col min="6933" max="6933" width="10.42578125" customWidth="1"/>
    <col min="6934" max="6934" width="11.5703125" customWidth="1"/>
    <col min="7169" max="7169" width="3.5703125" customWidth="1"/>
    <col min="7170" max="7170" width="9.140625" customWidth="1"/>
    <col min="7171" max="7171" width="9" customWidth="1"/>
    <col min="7172" max="7172" width="5.85546875" customWidth="1"/>
    <col min="7173" max="7173" width="7.28515625" customWidth="1"/>
    <col min="7174" max="7174" width="6.140625" customWidth="1"/>
    <col min="7175" max="7176" width="6" customWidth="1"/>
    <col min="7177" max="7177" width="9.7109375" customWidth="1"/>
    <col min="7178" max="7178" width="8.42578125" customWidth="1"/>
    <col min="7179" max="7179" width="5.7109375" customWidth="1"/>
    <col min="7180" max="7180" width="7.42578125" customWidth="1"/>
    <col min="7181" max="7181" width="5.42578125" customWidth="1"/>
    <col min="7182" max="7183" width="6.140625" customWidth="1"/>
    <col min="7184" max="7184" width="9.42578125" customWidth="1"/>
    <col min="7185" max="7185" width="8.85546875" customWidth="1"/>
    <col min="7186" max="7187" width="10.5703125" customWidth="1"/>
    <col min="7188" max="7188" width="11.5703125" customWidth="1"/>
    <col min="7189" max="7189" width="10.42578125" customWidth="1"/>
    <col min="7190" max="7190" width="11.5703125" customWidth="1"/>
    <col min="7425" max="7425" width="3.5703125" customWidth="1"/>
    <col min="7426" max="7426" width="9.140625" customWidth="1"/>
    <col min="7427" max="7427" width="9" customWidth="1"/>
    <col min="7428" max="7428" width="5.85546875" customWidth="1"/>
    <col min="7429" max="7429" width="7.28515625" customWidth="1"/>
    <col min="7430" max="7430" width="6.140625" customWidth="1"/>
    <col min="7431" max="7432" width="6" customWidth="1"/>
    <col min="7433" max="7433" width="9.7109375" customWidth="1"/>
    <col min="7434" max="7434" width="8.42578125" customWidth="1"/>
    <col min="7435" max="7435" width="5.7109375" customWidth="1"/>
    <col min="7436" max="7436" width="7.42578125" customWidth="1"/>
    <col min="7437" max="7437" width="5.42578125" customWidth="1"/>
    <col min="7438" max="7439" width="6.140625" customWidth="1"/>
    <col min="7440" max="7440" width="9.42578125" customWidth="1"/>
    <col min="7441" max="7441" width="8.85546875" customWidth="1"/>
    <col min="7442" max="7443" width="10.5703125" customWidth="1"/>
    <col min="7444" max="7444" width="11.5703125" customWidth="1"/>
    <col min="7445" max="7445" width="10.42578125" customWidth="1"/>
    <col min="7446" max="7446" width="11.5703125" customWidth="1"/>
    <col min="7681" max="7681" width="3.5703125" customWidth="1"/>
    <col min="7682" max="7682" width="9.140625" customWidth="1"/>
    <col min="7683" max="7683" width="9" customWidth="1"/>
    <col min="7684" max="7684" width="5.85546875" customWidth="1"/>
    <col min="7685" max="7685" width="7.28515625" customWidth="1"/>
    <col min="7686" max="7686" width="6.140625" customWidth="1"/>
    <col min="7687" max="7688" width="6" customWidth="1"/>
    <col min="7689" max="7689" width="9.7109375" customWidth="1"/>
    <col min="7690" max="7690" width="8.42578125" customWidth="1"/>
    <col min="7691" max="7691" width="5.7109375" customWidth="1"/>
    <col min="7692" max="7692" width="7.42578125" customWidth="1"/>
    <col min="7693" max="7693" width="5.42578125" customWidth="1"/>
    <col min="7694" max="7695" width="6.140625" customWidth="1"/>
    <col min="7696" max="7696" width="9.42578125" customWidth="1"/>
    <col min="7697" max="7697" width="8.85546875" customWidth="1"/>
    <col min="7698" max="7699" width="10.5703125" customWidth="1"/>
    <col min="7700" max="7700" width="11.5703125" customWidth="1"/>
    <col min="7701" max="7701" width="10.42578125" customWidth="1"/>
    <col min="7702" max="7702" width="11.5703125" customWidth="1"/>
    <col min="7937" max="7937" width="3.5703125" customWidth="1"/>
    <col min="7938" max="7938" width="9.140625" customWidth="1"/>
    <col min="7939" max="7939" width="9" customWidth="1"/>
    <col min="7940" max="7940" width="5.85546875" customWidth="1"/>
    <col min="7941" max="7941" width="7.28515625" customWidth="1"/>
    <col min="7942" max="7942" width="6.140625" customWidth="1"/>
    <col min="7943" max="7944" width="6" customWidth="1"/>
    <col min="7945" max="7945" width="9.7109375" customWidth="1"/>
    <col min="7946" max="7946" width="8.42578125" customWidth="1"/>
    <col min="7947" max="7947" width="5.7109375" customWidth="1"/>
    <col min="7948" max="7948" width="7.42578125" customWidth="1"/>
    <col min="7949" max="7949" width="5.42578125" customWidth="1"/>
    <col min="7950" max="7951" width="6.140625" customWidth="1"/>
    <col min="7952" max="7952" width="9.42578125" customWidth="1"/>
    <col min="7953" max="7953" width="8.85546875" customWidth="1"/>
    <col min="7954" max="7955" width="10.5703125" customWidth="1"/>
    <col min="7956" max="7956" width="11.5703125" customWidth="1"/>
    <col min="7957" max="7957" width="10.42578125" customWidth="1"/>
    <col min="7958" max="7958" width="11.5703125" customWidth="1"/>
    <col min="8193" max="8193" width="3.5703125" customWidth="1"/>
    <col min="8194" max="8194" width="9.140625" customWidth="1"/>
    <col min="8195" max="8195" width="9" customWidth="1"/>
    <col min="8196" max="8196" width="5.85546875" customWidth="1"/>
    <col min="8197" max="8197" width="7.28515625" customWidth="1"/>
    <col min="8198" max="8198" width="6.140625" customWidth="1"/>
    <col min="8199" max="8200" width="6" customWidth="1"/>
    <col min="8201" max="8201" width="9.7109375" customWidth="1"/>
    <col min="8202" max="8202" width="8.42578125" customWidth="1"/>
    <col min="8203" max="8203" width="5.7109375" customWidth="1"/>
    <col min="8204" max="8204" width="7.42578125" customWidth="1"/>
    <col min="8205" max="8205" width="5.42578125" customWidth="1"/>
    <col min="8206" max="8207" width="6.140625" customWidth="1"/>
    <col min="8208" max="8208" width="9.42578125" customWidth="1"/>
    <col min="8209" max="8209" width="8.85546875" customWidth="1"/>
    <col min="8210" max="8211" width="10.5703125" customWidth="1"/>
    <col min="8212" max="8212" width="11.5703125" customWidth="1"/>
    <col min="8213" max="8213" width="10.42578125" customWidth="1"/>
    <col min="8214" max="8214" width="11.5703125" customWidth="1"/>
    <col min="8449" max="8449" width="3.5703125" customWidth="1"/>
    <col min="8450" max="8450" width="9.140625" customWidth="1"/>
    <col min="8451" max="8451" width="9" customWidth="1"/>
    <col min="8452" max="8452" width="5.85546875" customWidth="1"/>
    <col min="8453" max="8453" width="7.28515625" customWidth="1"/>
    <col min="8454" max="8454" width="6.140625" customWidth="1"/>
    <col min="8455" max="8456" width="6" customWidth="1"/>
    <col min="8457" max="8457" width="9.7109375" customWidth="1"/>
    <col min="8458" max="8458" width="8.42578125" customWidth="1"/>
    <col min="8459" max="8459" width="5.7109375" customWidth="1"/>
    <col min="8460" max="8460" width="7.42578125" customWidth="1"/>
    <col min="8461" max="8461" width="5.42578125" customWidth="1"/>
    <col min="8462" max="8463" width="6.140625" customWidth="1"/>
    <col min="8464" max="8464" width="9.42578125" customWidth="1"/>
    <col min="8465" max="8465" width="8.85546875" customWidth="1"/>
    <col min="8466" max="8467" width="10.5703125" customWidth="1"/>
    <col min="8468" max="8468" width="11.5703125" customWidth="1"/>
    <col min="8469" max="8469" width="10.42578125" customWidth="1"/>
    <col min="8470" max="8470" width="11.5703125" customWidth="1"/>
    <col min="8705" max="8705" width="3.5703125" customWidth="1"/>
    <col min="8706" max="8706" width="9.140625" customWidth="1"/>
    <col min="8707" max="8707" width="9" customWidth="1"/>
    <col min="8708" max="8708" width="5.85546875" customWidth="1"/>
    <col min="8709" max="8709" width="7.28515625" customWidth="1"/>
    <col min="8710" max="8710" width="6.140625" customWidth="1"/>
    <col min="8711" max="8712" width="6" customWidth="1"/>
    <col min="8713" max="8713" width="9.7109375" customWidth="1"/>
    <col min="8714" max="8714" width="8.42578125" customWidth="1"/>
    <col min="8715" max="8715" width="5.7109375" customWidth="1"/>
    <col min="8716" max="8716" width="7.42578125" customWidth="1"/>
    <col min="8717" max="8717" width="5.42578125" customWidth="1"/>
    <col min="8718" max="8719" width="6.140625" customWidth="1"/>
    <col min="8720" max="8720" width="9.42578125" customWidth="1"/>
    <col min="8721" max="8721" width="8.85546875" customWidth="1"/>
    <col min="8722" max="8723" width="10.5703125" customWidth="1"/>
    <col min="8724" max="8724" width="11.5703125" customWidth="1"/>
    <col min="8725" max="8725" width="10.42578125" customWidth="1"/>
    <col min="8726" max="8726" width="11.5703125" customWidth="1"/>
    <col min="8961" max="8961" width="3.5703125" customWidth="1"/>
    <col min="8962" max="8962" width="9.140625" customWidth="1"/>
    <col min="8963" max="8963" width="9" customWidth="1"/>
    <col min="8964" max="8964" width="5.85546875" customWidth="1"/>
    <col min="8965" max="8965" width="7.28515625" customWidth="1"/>
    <col min="8966" max="8966" width="6.140625" customWidth="1"/>
    <col min="8967" max="8968" width="6" customWidth="1"/>
    <col min="8969" max="8969" width="9.7109375" customWidth="1"/>
    <col min="8970" max="8970" width="8.42578125" customWidth="1"/>
    <col min="8971" max="8971" width="5.7109375" customWidth="1"/>
    <col min="8972" max="8972" width="7.42578125" customWidth="1"/>
    <col min="8973" max="8973" width="5.42578125" customWidth="1"/>
    <col min="8974" max="8975" width="6.140625" customWidth="1"/>
    <col min="8976" max="8976" width="9.42578125" customWidth="1"/>
    <col min="8977" max="8977" width="8.85546875" customWidth="1"/>
    <col min="8978" max="8979" width="10.5703125" customWidth="1"/>
    <col min="8980" max="8980" width="11.5703125" customWidth="1"/>
    <col min="8981" max="8981" width="10.42578125" customWidth="1"/>
    <col min="8982" max="8982" width="11.5703125" customWidth="1"/>
    <col min="9217" max="9217" width="3.5703125" customWidth="1"/>
    <col min="9218" max="9218" width="9.140625" customWidth="1"/>
    <col min="9219" max="9219" width="9" customWidth="1"/>
    <col min="9220" max="9220" width="5.85546875" customWidth="1"/>
    <col min="9221" max="9221" width="7.28515625" customWidth="1"/>
    <col min="9222" max="9222" width="6.140625" customWidth="1"/>
    <col min="9223" max="9224" width="6" customWidth="1"/>
    <col min="9225" max="9225" width="9.7109375" customWidth="1"/>
    <col min="9226" max="9226" width="8.42578125" customWidth="1"/>
    <col min="9227" max="9227" width="5.7109375" customWidth="1"/>
    <col min="9228" max="9228" width="7.42578125" customWidth="1"/>
    <col min="9229" max="9229" width="5.42578125" customWidth="1"/>
    <col min="9230" max="9231" width="6.140625" customWidth="1"/>
    <col min="9232" max="9232" width="9.42578125" customWidth="1"/>
    <col min="9233" max="9233" width="8.85546875" customWidth="1"/>
    <col min="9234" max="9235" width="10.5703125" customWidth="1"/>
    <col min="9236" max="9236" width="11.5703125" customWidth="1"/>
    <col min="9237" max="9237" width="10.42578125" customWidth="1"/>
    <col min="9238" max="9238" width="11.5703125" customWidth="1"/>
    <col min="9473" max="9473" width="3.5703125" customWidth="1"/>
    <col min="9474" max="9474" width="9.140625" customWidth="1"/>
    <col min="9475" max="9475" width="9" customWidth="1"/>
    <col min="9476" max="9476" width="5.85546875" customWidth="1"/>
    <col min="9477" max="9477" width="7.28515625" customWidth="1"/>
    <col min="9478" max="9478" width="6.140625" customWidth="1"/>
    <col min="9479" max="9480" width="6" customWidth="1"/>
    <col min="9481" max="9481" width="9.7109375" customWidth="1"/>
    <col min="9482" max="9482" width="8.42578125" customWidth="1"/>
    <col min="9483" max="9483" width="5.7109375" customWidth="1"/>
    <col min="9484" max="9484" width="7.42578125" customWidth="1"/>
    <col min="9485" max="9485" width="5.42578125" customWidth="1"/>
    <col min="9486" max="9487" width="6.140625" customWidth="1"/>
    <col min="9488" max="9488" width="9.42578125" customWidth="1"/>
    <col min="9489" max="9489" width="8.85546875" customWidth="1"/>
    <col min="9490" max="9491" width="10.5703125" customWidth="1"/>
    <col min="9492" max="9492" width="11.5703125" customWidth="1"/>
    <col min="9493" max="9493" width="10.42578125" customWidth="1"/>
    <col min="9494" max="9494" width="11.5703125" customWidth="1"/>
    <col min="9729" max="9729" width="3.5703125" customWidth="1"/>
    <col min="9730" max="9730" width="9.140625" customWidth="1"/>
    <col min="9731" max="9731" width="9" customWidth="1"/>
    <col min="9732" max="9732" width="5.85546875" customWidth="1"/>
    <col min="9733" max="9733" width="7.28515625" customWidth="1"/>
    <col min="9734" max="9734" width="6.140625" customWidth="1"/>
    <col min="9735" max="9736" width="6" customWidth="1"/>
    <col min="9737" max="9737" width="9.7109375" customWidth="1"/>
    <col min="9738" max="9738" width="8.42578125" customWidth="1"/>
    <col min="9739" max="9739" width="5.7109375" customWidth="1"/>
    <col min="9740" max="9740" width="7.42578125" customWidth="1"/>
    <col min="9741" max="9741" width="5.42578125" customWidth="1"/>
    <col min="9742" max="9743" width="6.140625" customWidth="1"/>
    <col min="9744" max="9744" width="9.42578125" customWidth="1"/>
    <col min="9745" max="9745" width="8.85546875" customWidth="1"/>
    <col min="9746" max="9747" width="10.5703125" customWidth="1"/>
    <col min="9748" max="9748" width="11.5703125" customWidth="1"/>
    <col min="9749" max="9749" width="10.42578125" customWidth="1"/>
    <col min="9750" max="9750" width="11.5703125" customWidth="1"/>
    <col min="9985" max="9985" width="3.5703125" customWidth="1"/>
    <col min="9986" max="9986" width="9.140625" customWidth="1"/>
    <col min="9987" max="9987" width="9" customWidth="1"/>
    <col min="9988" max="9988" width="5.85546875" customWidth="1"/>
    <col min="9989" max="9989" width="7.28515625" customWidth="1"/>
    <col min="9990" max="9990" width="6.140625" customWidth="1"/>
    <col min="9991" max="9992" width="6" customWidth="1"/>
    <col min="9993" max="9993" width="9.7109375" customWidth="1"/>
    <col min="9994" max="9994" width="8.42578125" customWidth="1"/>
    <col min="9995" max="9995" width="5.7109375" customWidth="1"/>
    <col min="9996" max="9996" width="7.42578125" customWidth="1"/>
    <col min="9997" max="9997" width="5.42578125" customWidth="1"/>
    <col min="9998" max="9999" width="6.140625" customWidth="1"/>
    <col min="10000" max="10000" width="9.42578125" customWidth="1"/>
    <col min="10001" max="10001" width="8.85546875" customWidth="1"/>
    <col min="10002" max="10003" width="10.5703125" customWidth="1"/>
    <col min="10004" max="10004" width="11.5703125" customWidth="1"/>
    <col min="10005" max="10005" width="10.42578125" customWidth="1"/>
    <col min="10006" max="10006" width="11.5703125" customWidth="1"/>
    <col min="10241" max="10241" width="3.5703125" customWidth="1"/>
    <col min="10242" max="10242" width="9.140625" customWidth="1"/>
    <col min="10243" max="10243" width="9" customWidth="1"/>
    <col min="10244" max="10244" width="5.85546875" customWidth="1"/>
    <col min="10245" max="10245" width="7.28515625" customWidth="1"/>
    <col min="10246" max="10246" width="6.140625" customWidth="1"/>
    <col min="10247" max="10248" width="6" customWidth="1"/>
    <col min="10249" max="10249" width="9.7109375" customWidth="1"/>
    <col min="10250" max="10250" width="8.42578125" customWidth="1"/>
    <col min="10251" max="10251" width="5.7109375" customWidth="1"/>
    <col min="10252" max="10252" width="7.42578125" customWidth="1"/>
    <col min="10253" max="10253" width="5.42578125" customWidth="1"/>
    <col min="10254" max="10255" width="6.140625" customWidth="1"/>
    <col min="10256" max="10256" width="9.42578125" customWidth="1"/>
    <col min="10257" max="10257" width="8.85546875" customWidth="1"/>
    <col min="10258" max="10259" width="10.5703125" customWidth="1"/>
    <col min="10260" max="10260" width="11.5703125" customWidth="1"/>
    <col min="10261" max="10261" width="10.42578125" customWidth="1"/>
    <col min="10262" max="10262" width="11.5703125" customWidth="1"/>
    <col min="10497" max="10497" width="3.5703125" customWidth="1"/>
    <col min="10498" max="10498" width="9.140625" customWidth="1"/>
    <col min="10499" max="10499" width="9" customWidth="1"/>
    <col min="10500" max="10500" width="5.85546875" customWidth="1"/>
    <col min="10501" max="10501" width="7.28515625" customWidth="1"/>
    <col min="10502" max="10502" width="6.140625" customWidth="1"/>
    <col min="10503" max="10504" width="6" customWidth="1"/>
    <col min="10505" max="10505" width="9.7109375" customWidth="1"/>
    <col min="10506" max="10506" width="8.42578125" customWidth="1"/>
    <col min="10507" max="10507" width="5.7109375" customWidth="1"/>
    <col min="10508" max="10508" width="7.42578125" customWidth="1"/>
    <col min="10509" max="10509" width="5.42578125" customWidth="1"/>
    <col min="10510" max="10511" width="6.140625" customWidth="1"/>
    <col min="10512" max="10512" width="9.42578125" customWidth="1"/>
    <col min="10513" max="10513" width="8.85546875" customWidth="1"/>
    <col min="10514" max="10515" width="10.5703125" customWidth="1"/>
    <col min="10516" max="10516" width="11.5703125" customWidth="1"/>
    <col min="10517" max="10517" width="10.42578125" customWidth="1"/>
    <col min="10518" max="10518" width="11.5703125" customWidth="1"/>
    <col min="10753" max="10753" width="3.5703125" customWidth="1"/>
    <col min="10754" max="10754" width="9.140625" customWidth="1"/>
    <col min="10755" max="10755" width="9" customWidth="1"/>
    <col min="10756" max="10756" width="5.85546875" customWidth="1"/>
    <col min="10757" max="10757" width="7.28515625" customWidth="1"/>
    <col min="10758" max="10758" width="6.140625" customWidth="1"/>
    <col min="10759" max="10760" width="6" customWidth="1"/>
    <col min="10761" max="10761" width="9.7109375" customWidth="1"/>
    <col min="10762" max="10762" width="8.42578125" customWidth="1"/>
    <col min="10763" max="10763" width="5.7109375" customWidth="1"/>
    <col min="10764" max="10764" width="7.42578125" customWidth="1"/>
    <col min="10765" max="10765" width="5.42578125" customWidth="1"/>
    <col min="10766" max="10767" width="6.140625" customWidth="1"/>
    <col min="10768" max="10768" width="9.42578125" customWidth="1"/>
    <col min="10769" max="10769" width="8.85546875" customWidth="1"/>
    <col min="10770" max="10771" width="10.5703125" customWidth="1"/>
    <col min="10772" max="10772" width="11.5703125" customWidth="1"/>
    <col min="10773" max="10773" width="10.42578125" customWidth="1"/>
    <col min="10774" max="10774" width="11.5703125" customWidth="1"/>
    <col min="11009" max="11009" width="3.5703125" customWidth="1"/>
    <col min="11010" max="11010" width="9.140625" customWidth="1"/>
    <col min="11011" max="11011" width="9" customWidth="1"/>
    <col min="11012" max="11012" width="5.85546875" customWidth="1"/>
    <col min="11013" max="11013" width="7.28515625" customWidth="1"/>
    <col min="11014" max="11014" width="6.140625" customWidth="1"/>
    <col min="11015" max="11016" width="6" customWidth="1"/>
    <col min="11017" max="11017" width="9.7109375" customWidth="1"/>
    <col min="11018" max="11018" width="8.42578125" customWidth="1"/>
    <col min="11019" max="11019" width="5.7109375" customWidth="1"/>
    <col min="11020" max="11020" width="7.42578125" customWidth="1"/>
    <col min="11021" max="11021" width="5.42578125" customWidth="1"/>
    <col min="11022" max="11023" width="6.140625" customWidth="1"/>
    <col min="11024" max="11024" width="9.42578125" customWidth="1"/>
    <col min="11025" max="11025" width="8.85546875" customWidth="1"/>
    <col min="11026" max="11027" width="10.5703125" customWidth="1"/>
    <col min="11028" max="11028" width="11.5703125" customWidth="1"/>
    <col min="11029" max="11029" width="10.42578125" customWidth="1"/>
    <col min="11030" max="11030" width="11.5703125" customWidth="1"/>
    <col min="11265" max="11265" width="3.5703125" customWidth="1"/>
    <col min="11266" max="11266" width="9.140625" customWidth="1"/>
    <col min="11267" max="11267" width="9" customWidth="1"/>
    <col min="11268" max="11268" width="5.85546875" customWidth="1"/>
    <col min="11269" max="11269" width="7.28515625" customWidth="1"/>
    <col min="11270" max="11270" width="6.140625" customWidth="1"/>
    <col min="11271" max="11272" width="6" customWidth="1"/>
    <col min="11273" max="11273" width="9.7109375" customWidth="1"/>
    <col min="11274" max="11274" width="8.42578125" customWidth="1"/>
    <col min="11275" max="11275" width="5.7109375" customWidth="1"/>
    <col min="11276" max="11276" width="7.42578125" customWidth="1"/>
    <col min="11277" max="11277" width="5.42578125" customWidth="1"/>
    <col min="11278" max="11279" width="6.140625" customWidth="1"/>
    <col min="11280" max="11280" width="9.42578125" customWidth="1"/>
    <col min="11281" max="11281" width="8.85546875" customWidth="1"/>
    <col min="11282" max="11283" width="10.5703125" customWidth="1"/>
    <col min="11284" max="11284" width="11.5703125" customWidth="1"/>
    <col min="11285" max="11285" width="10.42578125" customWidth="1"/>
    <col min="11286" max="11286" width="11.5703125" customWidth="1"/>
    <col min="11521" max="11521" width="3.5703125" customWidth="1"/>
    <col min="11522" max="11522" width="9.140625" customWidth="1"/>
    <col min="11523" max="11523" width="9" customWidth="1"/>
    <col min="11524" max="11524" width="5.85546875" customWidth="1"/>
    <col min="11525" max="11525" width="7.28515625" customWidth="1"/>
    <col min="11526" max="11526" width="6.140625" customWidth="1"/>
    <col min="11527" max="11528" width="6" customWidth="1"/>
    <col min="11529" max="11529" width="9.7109375" customWidth="1"/>
    <col min="11530" max="11530" width="8.42578125" customWidth="1"/>
    <col min="11531" max="11531" width="5.7109375" customWidth="1"/>
    <col min="11532" max="11532" width="7.42578125" customWidth="1"/>
    <col min="11533" max="11533" width="5.42578125" customWidth="1"/>
    <col min="11534" max="11535" width="6.140625" customWidth="1"/>
    <col min="11536" max="11536" width="9.42578125" customWidth="1"/>
    <col min="11537" max="11537" width="8.85546875" customWidth="1"/>
    <col min="11538" max="11539" width="10.5703125" customWidth="1"/>
    <col min="11540" max="11540" width="11.5703125" customWidth="1"/>
    <col min="11541" max="11541" width="10.42578125" customWidth="1"/>
    <col min="11542" max="11542" width="11.5703125" customWidth="1"/>
    <col min="11777" max="11777" width="3.5703125" customWidth="1"/>
    <col min="11778" max="11778" width="9.140625" customWidth="1"/>
    <col min="11779" max="11779" width="9" customWidth="1"/>
    <col min="11780" max="11780" width="5.85546875" customWidth="1"/>
    <col min="11781" max="11781" width="7.28515625" customWidth="1"/>
    <col min="11782" max="11782" width="6.140625" customWidth="1"/>
    <col min="11783" max="11784" width="6" customWidth="1"/>
    <col min="11785" max="11785" width="9.7109375" customWidth="1"/>
    <col min="11786" max="11786" width="8.42578125" customWidth="1"/>
    <col min="11787" max="11787" width="5.7109375" customWidth="1"/>
    <col min="11788" max="11788" width="7.42578125" customWidth="1"/>
    <col min="11789" max="11789" width="5.42578125" customWidth="1"/>
    <col min="11790" max="11791" width="6.140625" customWidth="1"/>
    <col min="11792" max="11792" width="9.42578125" customWidth="1"/>
    <col min="11793" max="11793" width="8.85546875" customWidth="1"/>
    <col min="11794" max="11795" width="10.5703125" customWidth="1"/>
    <col min="11796" max="11796" width="11.5703125" customWidth="1"/>
    <col min="11797" max="11797" width="10.42578125" customWidth="1"/>
    <col min="11798" max="11798" width="11.5703125" customWidth="1"/>
    <col min="12033" max="12033" width="3.5703125" customWidth="1"/>
    <col min="12034" max="12034" width="9.140625" customWidth="1"/>
    <col min="12035" max="12035" width="9" customWidth="1"/>
    <col min="12036" max="12036" width="5.85546875" customWidth="1"/>
    <col min="12037" max="12037" width="7.28515625" customWidth="1"/>
    <col min="12038" max="12038" width="6.140625" customWidth="1"/>
    <col min="12039" max="12040" width="6" customWidth="1"/>
    <col min="12041" max="12041" width="9.7109375" customWidth="1"/>
    <col min="12042" max="12042" width="8.42578125" customWidth="1"/>
    <col min="12043" max="12043" width="5.7109375" customWidth="1"/>
    <col min="12044" max="12044" width="7.42578125" customWidth="1"/>
    <col min="12045" max="12045" width="5.42578125" customWidth="1"/>
    <col min="12046" max="12047" width="6.140625" customWidth="1"/>
    <col min="12048" max="12048" width="9.42578125" customWidth="1"/>
    <col min="12049" max="12049" width="8.85546875" customWidth="1"/>
    <col min="12050" max="12051" width="10.5703125" customWidth="1"/>
    <col min="12052" max="12052" width="11.5703125" customWidth="1"/>
    <col min="12053" max="12053" width="10.42578125" customWidth="1"/>
    <col min="12054" max="12054" width="11.5703125" customWidth="1"/>
    <col min="12289" max="12289" width="3.5703125" customWidth="1"/>
    <col min="12290" max="12290" width="9.140625" customWidth="1"/>
    <col min="12291" max="12291" width="9" customWidth="1"/>
    <col min="12292" max="12292" width="5.85546875" customWidth="1"/>
    <col min="12293" max="12293" width="7.28515625" customWidth="1"/>
    <col min="12294" max="12294" width="6.140625" customWidth="1"/>
    <col min="12295" max="12296" width="6" customWidth="1"/>
    <col min="12297" max="12297" width="9.7109375" customWidth="1"/>
    <col min="12298" max="12298" width="8.42578125" customWidth="1"/>
    <col min="12299" max="12299" width="5.7109375" customWidth="1"/>
    <col min="12300" max="12300" width="7.42578125" customWidth="1"/>
    <col min="12301" max="12301" width="5.42578125" customWidth="1"/>
    <col min="12302" max="12303" width="6.140625" customWidth="1"/>
    <col min="12304" max="12304" width="9.42578125" customWidth="1"/>
    <col min="12305" max="12305" width="8.85546875" customWidth="1"/>
    <col min="12306" max="12307" width="10.5703125" customWidth="1"/>
    <col min="12308" max="12308" width="11.5703125" customWidth="1"/>
    <col min="12309" max="12309" width="10.42578125" customWidth="1"/>
    <col min="12310" max="12310" width="11.5703125" customWidth="1"/>
    <col min="12545" max="12545" width="3.5703125" customWidth="1"/>
    <col min="12546" max="12546" width="9.140625" customWidth="1"/>
    <col min="12547" max="12547" width="9" customWidth="1"/>
    <col min="12548" max="12548" width="5.85546875" customWidth="1"/>
    <col min="12549" max="12549" width="7.28515625" customWidth="1"/>
    <col min="12550" max="12550" width="6.140625" customWidth="1"/>
    <col min="12551" max="12552" width="6" customWidth="1"/>
    <col min="12553" max="12553" width="9.7109375" customWidth="1"/>
    <col min="12554" max="12554" width="8.42578125" customWidth="1"/>
    <col min="12555" max="12555" width="5.7109375" customWidth="1"/>
    <col min="12556" max="12556" width="7.42578125" customWidth="1"/>
    <col min="12557" max="12557" width="5.42578125" customWidth="1"/>
    <col min="12558" max="12559" width="6.140625" customWidth="1"/>
    <col min="12560" max="12560" width="9.42578125" customWidth="1"/>
    <col min="12561" max="12561" width="8.85546875" customWidth="1"/>
    <col min="12562" max="12563" width="10.5703125" customWidth="1"/>
    <col min="12564" max="12564" width="11.5703125" customWidth="1"/>
    <col min="12565" max="12565" width="10.42578125" customWidth="1"/>
    <col min="12566" max="12566" width="11.5703125" customWidth="1"/>
    <col min="12801" max="12801" width="3.5703125" customWidth="1"/>
    <col min="12802" max="12802" width="9.140625" customWidth="1"/>
    <col min="12803" max="12803" width="9" customWidth="1"/>
    <col min="12804" max="12804" width="5.85546875" customWidth="1"/>
    <col min="12805" max="12805" width="7.28515625" customWidth="1"/>
    <col min="12806" max="12806" width="6.140625" customWidth="1"/>
    <col min="12807" max="12808" width="6" customWidth="1"/>
    <col min="12809" max="12809" width="9.7109375" customWidth="1"/>
    <col min="12810" max="12810" width="8.42578125" customWidth="1"/>
    <col min="12811" max="12811" width="5.7109375" customWidth="1"/>
    <col min="12812" max="12812" width="7.42578125" customWidth="1"/>
    <col min="12813" max="12813" width="5.42578125" customWidth="1"/>
    <col min="12814" max="12815" width="6.140625" customWidth="1"/>
    <col min="12816" max="12816" width="9.42578125" customWidth="1"/>
    <col min="12817" max="12817" width="8.85546875" customWidth="1"/>
    <col min="12818" max="12819" width="10.5703125" customWidth="1"/>
    <col min="12820" max="12820" width="11.5703125" customWidth="1"/>
    <col min="12821" max="12821" width="10.42578125" customWidth="1"/>
    <col min="12822" max="12822" width="11.5703125" customWidth="1"/>
    <col min="13057" max="13057" width="3.5703125" customWidth="1"/>
    <col min="13058" max="13058" width="9.140625" customWidth="1"/>
    <col min="13059" max="13059" width="9" customWidth="1"/>
    <col min="13060" max="13060" width="5.85546875" customWidth="1"/>
    <col min="13061" max="13061" width="7.28515625" customWidth="1"/>
    <col min="13062" max="13062" width="6.140625" customWidth="1"/>
    <col min="13063" max="13064" width="6" customWidth="1"/>
    <col min="13065" max="13065" width="9.7109375" customWidth="1"/>
    <col min="13066" max="13066" width="8.42578125" customWidth="1"/>
    <col min="13067" max="13067" width="5.7109375" customWidth="1"/>
    <col min="13068" max="13068" width="7.42578125" customWidth="1"/>
    <col min="13069" max="13069" width="5.42578125" customWidth="1"/>
    <col min="13070" max="13071" width="6.140625" customWidth="1"/>
    <col min="13072" max="13072" width="9.42578125" customWidth="1"/>
    <col min="13073" max="13073" width="8.85546875" customWidth="1"/>
    <col min="13074" max="13075" width="10.5703125" customWidth="1"/>
    <col min="13076" max="13076" width="11.5703125" customWidth="1"/>
    <col min="13077" max="13077" width="10.42578125" customWidth="1"/>
    <col min="13078" max="13078" width="11.5703125" customWidth="1"/>
    <col min="13313" max="13313" width="3.5703125" customWidth="1"/>
    <col min="13314" max="13314" width="9.140625" customWidth="1"/>
    <col min="13315" max="13315" width="9" customWidth="1"/>
    <col min="13316" max="13316" width="5.85546875" customWidth="1"/>
    <col min="13317" max="13317" width="7.28515625" customWidth="1"/>
    <col min="13318" max="13318" width="6.140625" customWidth="1"/>
    <col min="13319" max="13320" width="6" customWidth="1"/>
    <col min="13321" max="13321" width="9.7109375" customWidth="1"/>
    <col min="13322" max="13322" width="8.42578125" customWidth="1"/>
    <col min="13323" max="13323" width="5.7109375" customWidth="1"/>
    <col min="13324" max="13324" width="7.42578125" customWidth="1"/>
    <col min="13325" max="13325" width="5.42578125" customWidth="1"/>
    <col min="13326" max="13327" width="6.140625" customWidth="1"/>
    <col min="13328" max="13328" width="9.42578125" customWidth="1"/>
    <col min="13329" max="13329" width="8.85546875" customWidth="1"/>
    <col min="13330" max="13331" width="10.5703125" customWidth="1"/>
    <col min="13332" max="13332" width="11.5703125" customWidth="1"/>
    <col min="13333" max="13333" width="10.42578125" customWidth="1"/>
    <col min="13334" max="13334" width="11.5703125" customWidth="1"/>
    <col min="13569" max="13569" width="3.5703125" customWidth="1"/>
    <col min="13570" max="13570" width="9.140625" customWidth="1"/>
    <col min="13571" max="13571" width="9" customWidth="1"/>
    <col min="13572" max="13572" width="5.85546875" customWidth="1"/>
    <col min="13573" max="13573" width="7.28515625" customWidth="1"/>
    <col min="13574" max="13574" width="6.140625" customWidth="1"/>
    <col min="13575" max="13576" width="6" customWidth="1"/>
    <col min="13577" max="13577" width="9.7109375" customWidth="1"/>
    <col min="13578" max="13578" width="8.42578125" customWidth="1"/>
    <col min="13579" max="13579" width="5.7109375" customWidth="1"/>
    <col min="13580" max="13580" width="7.42578125" customWidth="1"/>
    <col min="13581" max="13581" width="5.42578125" customWidth="1"/>
    <col min="13582" max="13583" width="6.140625" customWidth="1"/>
    <col min="13584" max="13584" width="9.42578125" customWidth="1"/>
    <col min="13585" max="13585" width="8.85546875" customWidth="1"/>
    <col min="13586" max="13587" width="10.5703125" customWidth="1"/>
    <col min="13588" max="13588" width="11.5703125" customWidth="1"/>
    <col min="13589" max="13589" width="10.42578125" customWidth="1"/>
    <col min="13590" max="13590" width="11.5703125" customWidth="1"/>
    <col min="13825" max="13825" width="3.5703125" customWidth="1"/>
    <col min="13826" max="13826" width="9.140625" customWidth="1"/>
    <col min="13827" max="13827" width="9" customWidth="1"/>
    <col min="13828" max="13828" width="5.85546875" customWidth="1"/>
    <col min="13829" max="13829" width="7.28515625" customWidth="1"/>
    <col min="13830" max="13830" width="6.140625" customWidth="1"/>
    <col min="13831" max="13832" width="6" customWidth="1"/>
    <col min="13833" max="13833" width="9.7109375" customWidth="1"/>
    <col min="13834" max="13834" width="8.42578125" customWidth="1"/>
    <col min="13835" max="13835" width="5.7109375" customWidth="1"/>
    <col min="13836" max="13836" width="7.42578125" customWidth="1"/>
    <col min="13837" max="13837" width="5.42578125" customWidth="1"/>
    <col min="13838" max="13839" width="6.140625" customWidth="1"/>
    <col min="13840" max="13840" width="9.42578125" customWidth="1"/>
    <col min="13841" max="13841" width="8.85546875" customWidth="1"/>
    <col min="13842" max="13843" width="10.5703125" customWidth="1"/>
    <col min="13844" max="13844" width="11.5703125" customWidth="1"/>
    <col min="13845" max="13845" width="10.42578125" customWidth="1"/>
    <col min="13846" max="13846" width="11.5703125" customWidth="1"/>
    <col min="14081" max="14081" width="3.5703125" customWidth="1"/>
    <col min="14082" max="14082" width="9.140625" customWidth="1"/>
    <col min="14083" max="14083" width="9" customWidth="1"/>
    <col min="14084" max="14084" width="5.85546875" customWidth="1"/>
    <col min="14085" max="14085" width="7.28515625" customWidth="1"/>
    <col min="14086" max="14086" width="6.140625" customWidth="1"/>
    <col min="14087" max="14088" width="6" customWidth="1"/>
    <col min="14089" max="14089" width="9.7109375" customWidth="1"/>
    <col min="14090" max="14090" width="8.42578125" customWidth="1"/>
    <col min="14091" max="14091" width="5.7109375" customWidth="1"/>
    <col min="14092" max="14092" width="7.42578125" customWidth="1"/>
    <col min="14093" max="14093" width="5.42578125" customWidth="1"/>
    <col min="14094" max="14095" width="6.140625" customWidth="1"/>
    <col min="14096" max="14096" width="9.42578125" customWidth="1"/>
    <col min="14097" max="14097" width="8.85546875" customWidth="1"/>
    <col min="14098" max="14099" width="10.5703125" customWidth="1"/>
    <col min="14100" max="14100" width="11.5703125" customWidth="1"/>
    <col min="14101" max="14101" width="10.42578125" customWidth="1"/>
    <col min="14102" max="14102" width="11.5703125" customWidth="1"/>
    <col min="14337" max="14337" width="3.5703125" customWidth="1"/>
    <col min="14338" max="14338" width="9.140625" customWidth="1"/>
    <col min="14339" max="14339" width="9" customWidth="1"/>
    <col min="14340" max="14340" width="5.85546875" customWidth="1"/>
    <col min="14341" max="14341" width="7.28515625" customWidth="1"/>
    <col min="14342" max="14342" width="6.140625" customWidth="1"/>
    <col min="14343" max="14344" width="6" customWidth="1"/>
    <col min="14345" max="14345" width="9.7109375" customWidth="1"/>
    <col min="14346" max="14346" width="8.42578125" customWidth="1"/>
    <col min="14347" max="14347" width="5.7109375" customWidth="1"/>
    <col min="14348" max="14348" width="7.42578125" customWidth="1"/>
    <col min="14349" max="14349" width="5.42578125" customWidth="1"/>
    <col min="14350" max="14351" width="6.140625" customWidth="1"/>
    <col min="14352" max="14352" width="9.42578125" customWidth="1"/>
    <col min="14353" max="14353" width="8.85546875" customWidth="1"/>
    <col min="14354" max="14355" width="10.5703125" customWidth="1"/>
    <col min="14356" max="14356" width="11.5703125" customWidth="1"/>
    <col min="14357" max="14357" width="10.42578125" customWidth="1"/>
    <col min="14358" max="14358" width="11.5703125" customWidth="1"/>
    <col min="14593" max="14593" width="3.5703125" customWidth="1"/>
    <col min="14594" max="14594" width="9.140625" customWidth="1"/>
    <col min="14595" max="14595" width="9" customWidth="1"/>
    <col min="14596" max="14596" width="5.85546875" customWidth="1"/>
    <col min="14597" max="14597" width="7.28515625" customWidth="1"/>
    <col min="14598" max="14598" width="6.140625" customWidth="1"/>
    <col min="14599" max="14600" width="6" customWidth="1"/>
    <col min="14601" max="14601" width="9.7109375" customWidth="1"/>
    <col min="14602" max="14602" width="8.42578125" customWidth="1"/>
    <col min="14603" max="14603" width="5.7109375" customWidth="1"/>
    <col min="14604" max="14604" width="7.42578125" customWidth="1"/>
    <col min="14605" max="14605" width="5.42578125" customWidth="1"/>
    <col min="14606" max="14607" width="6.140625" customWidth="1"/>
    <col min="14608" max="14608" width="9.42578125" customWidth="1"/>
    <col min="14609" max="14609" width="8.85546875" customWidth="1"/>
    <col min="14610" max="14611" width="10.5703125" customWidth="1"/>
    <col min="14612" max="14612" width="11.5703125" customWidth="1"/>
    <col min="14613" max="14613" width="10.42578125" customWidth="1"/>
    <col min="14614" max="14614" width="11.5703125" customWidth="1"/>
    <col min="14849" max="14849" width="3.5703125" customWidth="1"/>
    <col min="14850" max="14850" width="9.140625" customWidth="1"/>
    <col min="14851" max="14851" width="9" customWidth="1"/>
    <col min="14852" max="14852" width="5.85546875" customWidth="1"/>
    <col min="14853" max="14853" width="7.28515625" customWidth="1"/>
    <col min="14854" max="14854" width="6.140625" customWidth="1"/>
    <col min="14855" max="14856" width="6" customWidth="1"/>
    <col min="14857" max="14857" width="9.7109375" customWidth="1"/>
    <col min="14858" max="14858" width="8.42578125" customWidth="1"/>
    <col min="14859" max="14859" width="5.7109375" customWidth="1"/>
    <col min="14860" max="14860" width="7.42578125" customWidth="1"/>
    <col min="14861" max="14861" width="5.42578125" customWidth="1"/>
    <col min="14862" max="14863" width="6.140625" customWidth="1"/>
    <col min="14864" max="14864" width="9.42578125" customWidth="1"/>
    <col min="14865" max="14865" width="8.85546875" customWidth="1"/>
    <col min="14866" max="14867" width="10.5703125" customWidth="1"/>
    <col min="14868" max="14868" width="11.5703125" customWidth="1"/>
    <col min="14869" max="14869" width="10.42578125" customWidth="1"/>
    <col min="14870" max="14870" width="11.5703125" customWidth="1"/>
    <col min="15105" max="15105" width="3.5703125" customWidth="1"/>
    <col min="15106" max="15106" width="9.140625" customWidth="1"/>
    <col min="15107" max="15107" width="9" customWidth="1"/>
    <col min="15108" max="15108" width="5.85546875" customWidth="1"/>
    <col min="15109" max="15109" width="7.28515625" customWidth="1"/>
    <col min="15110" max="15110" width="6.140625" customWidth="1"/>
    <col min="15111" max="15112" width="6" customWidth="1"/>
    <col min="15113" max="15113" width="9.7109375" customWidth="1"/>
    <col min="15114" max="15114" width="8.42578125" customWidth="1"/>
    <col min="15115" max="15115" width="5.7109375" customWidth="1"/>
    <col min="15116" max="15116" width="7.42578125" customWidth="1"/>
    <col min="15117" max="15117" width="5.42578125" customWidth="1"/>
    <col min="15118" max="15119" width="6.140625" customWidth="1"/>
    <col min="15120" max="15120" width="9.42578125" customWidth="1"/>
    <col min="15121" max="15121" width="8.85546875" customWidth="1"/>
    <col min="15122" max="15123" width="10.5703125" customWidth="1"/>
    <col min="15124" max="15124" width="11.5703125" customWidth="1"/>
    <col min="15125" max="15125" width="10.42578125" customWidth="1"/>
    <col min="15126" max="15126" width="11.5703125" customWidth="1"/>
    <col min="15361" max="15361" width="3.5703125" customWidth="1"/>
    <col min="15362" max="15362" width="9.140625" customWidth="1"/>
    <col min="15363" max="15363" width="9" customWidth="1"/>
    <col min="15364" max="15364" width="5.85546875" customWidth="1"/>
    <col min="15365" max="15365" width="7.28515625" customWidth="1"/>
    <col min="15366" max="15366" width="6.140625" customWidth="1"/>
    <col min="15367" max="15368" width="6" customWidth="1"/>
    <col min="15369" max="15369" width="9.7109375" customWidth="1"/>
    <col min="15370" max="15370" width="8.42578125" customWidth="1"/>
    <col min="15371" max="15371" width="5.7109375" customWidth="1"/>
    <col min="15372" max="15372" width="7.42578125" customWidth="1"/>
    <col min="15373" max="15373" width="5.42578125" customWidth="1"/>
    <col min="15374" max="15375" width="6.140625" customWidth="1"/>
    <col min="15376" max="15376" width="9.42578125" customWidth="1"/>
    <col min="15377" max="15377" width="8.85546875" customWidth="1"/>
    <col min="15378" max="15379" width="10.5703125" customWidth="1"/>
    <col min="15380" max="15380" width="11.5703125" customWidth="1"/>
    <col min="15381" max="15381" width="10.42578125" customWidth="1"/>
    <col min="15382" max="15382" width="11.5703125" customWidth="1"/>
    <col min="15617" max="15617" width="3.5703125" customWidth="1"/>
    <col min="15618" max="15618" width="9.140625" customWidth="1"/>
    <col min="15619" max="15619" width="9" customWidth="1"/>
    <col min="15620" max="15620" width="5.85546875" customWidth="1"/>
    <col min="15621" max="15621" width="7.28515625" customWidth="1"/>
    <col min="15622" max="15622" width="6.140625" customWidth="1"/>
    <col min="15623" max="15624" width="6" customWidth="1"/>
    <col min="15625" max="15625" width="9.7109375" customWidth="1"/>
    <col min="15626" max="15626" width="8.42578125" customWidth="1"/>
    <col min="15627" max="15627" width="5.7109375" customWidth="1"/>
    <col min="15628" max="15628" width="7.42578125" customWidth="1"/>
    <col min="15629" max="15629" width="5.42578125" customWidth="1"/>
    <col min="15630" max="15631" width="6.140625" customWidth="1"/>
    <col min="15632" max="15632" width="9.42578125" customWidth="1"/>
    <col min="15633" max="15633" width="8.85546875" customWidth="1"/>
    <col min="15634" max="15635" width="10.5703125" customWidth="1"/>
    <col min="15636" max="15636" width="11.5703125" customWidth="1"/>
    <col min="15637" max="15637" width="10.42578125" customWidth="1"/>
    <col min="15638" max="15638" width="11.5703125" customWidth="1"/>
    <col min="15873" max="15873" width="3.5703125" customWidth="1"/>
    <col min="15874" max="15874" width="9.140625" customWidth="1"/>
    <col min="15875" max="15875" width="9" customWidth="1"/>
    <col min="15876" max="15876" width="5.85546875" customWidth="1"/>
    <col min="15877" max="15877" width="7.28515625" customWidth="1"/>
    <col min="15878" max="15878" width="6.140625" customWidth="1"/>
    <col min="15879" max="15880" width="6" customWidth="1"/>
    <col min="15881" max="15881" width="9.7109375" customWidth="1"/>
    <col min="15882" max="15882" width="8.42578125" customWidth="1"/>
    <col min="15883" max="15883" width="5.7109375" customWidth="1"/>
    <col min="15884" max="15884" width="7.42578125" customWidth="1"/>
    <col min="15885" max="15885" width="5.42578125" customWidth="1"/>
    <col min="15886" max="15887" width="6.140625" customWidth="1"/>
    <col min="15888" max="15888" width="9.42578125" customWidth="1"/>
    <col min="15889" max="15889" width="8.85546875" customWidth="1"/>
    <col min="15890" max="15891" width="10.5703125" customWidth="1"/>
    <col min="15892" max="15892" width="11.5703125" customWidth="1"/>
    <col min="15893" max="15893" width="10.42578125" customWidth="1"/>
    <col min="15894" max="15894" width="11.5703125" customWidth="1"/>
    <col min="16129" max="16129" width="3.5703125" customWidth="1"/>
    <col min="16130" max="16130" width="9.140625" customWidth="1"/>
    <col min="16131" max="16131" width="9" customWidth="1"/>
    <col min="16132" max="16132" width="5.85546875" customWidth="1"/>
    <col min="16133" max="16133" width="7.28515625" customWidth="1"/>
    <col min="16134" max="16134" width="6.140625" customWidth="1"/>
    <col min="16135" max="16136" width="6" customWidth="1"/>
    <col min="16137" max="16137" width="9.7109375" customWidth="1"/>
    <col min="16138" max="16138" width="8.42578125" customWidth="1"/>
    <col min="16139" max="16139" width="5.7109375" customWidth="1"/>
    <col min="16140" max="16140" width="7.42578125" customWidth="1"/>
    <col min="16141" max="16141" width="5.42578125" customWidth="1"/>
    <col min="16142" max="16143" width="6.140625" customWidth="1"/>
    <col min="16144" max="16144" width="9.42578125" customWidth="1"/>
    <col min="16145" max="16145" width="8.85546875" customWidth="1"/>
    <col min="16146" max="16147" width="10.5703125" customWidth="1"/>
    <col min="16148" max="16148" width="11.5703125" customWidth="1"/>
    <col min="16149" max="16149" width="10.42578125" customWidth="1"/>
    <col min="16150" max="16150" width="11.5703125" customWidth="1"/>
  </cols>
  <sheetData>
    <row r="1" spans="1:22" x14ac:dyDescent="0.2">
      <c r="A1" s="2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17" t="s">
        <v>103</v>
      </c>
    </row>
    <row r="2" spans="1:22" x14ac:dyDescent="0.2">
      <c r="A2" s="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1:22" x14ac:dyDescent="0.2">
      <c r="A3" s="2"/>
      <c r="B3" s="350" t="s">
        <v>81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</row>
    <row r="4" spans="1:22" x14ac:dyDescent="0.2">
      <c r="A4" s="2"/>
      <c r="B4" s="350" t="s">
        <v>82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</row>
    <row r="5" spans="1:22" x14ac:dyDescent="0.2">
      <c r="A5" s="2"/>
      <c r="B5" s="350" t="s">
        <v>122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</row>
    <row r="6" spans="1:22" ht="13.5" thickBot="1" x14ac:dyDescent="0.25">
      <c r="A6" s="2"/>
      <c r="B6" s="18"/>
      <c r="C6" s="18"/>
      <c r="D6" s="18"/>
      <c r="E6" s="18"/>
      <c r="F6" s="18"/>
      <c r="G6" s="18"/>
      <c r="H6" s="18"/>
      <c r="I6" s="18"/>
      <c r="J6" s="2"/>
      <c r="K6" s="2"/>
      <c r="L6" s="2"/>
      <c r="M6" s="2"/>
      <c r="N6" s="2"/>
      <c r="O6" s="2"/>
      <c r="P6" s="2"/>
      <c r="Q6" s="2"/>
      <c r="R6" s="2"/>
      <c r="S6" s="2" t="s">
        <v>11</v>
      </c>
    </row>
    <row r="7" spans="1:22" ht="16.5" customHeight="1" thickBot="1" x14ac:dyDescent="0.25">
      <c r="A7" s="2"/>
      <c r="B7" s="46"/>
      <c r="C7" s="414" t="s">
        <v>194</v>
      </c>
      <c r="D7" s="414"/>
      <c r="E7" s="414"/>
      <c r="F7" s="414"/>
      <c r="G7" s="414"/>
      <c r="H7" s="414"/>
      <c r="I7" s="415"/>
      <c r="J7" s="414"/>
      <c r="K7" s="414"/>
      <c r="L7" s="414"/>
      <c r="M7" s="414"/>
      <c r="N7" s="414"/>
      <c r="O7" s="414"/>
      <c r="P7" s="414"/>
      <c r="Q7" s="414"/>
      <c r="R7" s="119"/>
      <c r="S7" s="25"/>
      <c r="T7" s="25"/>
      <c r="U7" s="25"/>
      <c r="V7" s="25"/>
    </row>
    <row r="8" spans="1:22" ht="15" customHeight="1" thickBot="1" x14ac:dyDescent="0.25">
      <c r="A8" s="2"/>
      <c r="B8" s="47"/>
      <c r="C8" s="416" t="s">
        <v>83</v>
      </c>
      <c r="D8" s="417"/>
      <c r="E8" s="417"/>
      <c r="F8" s="417"/>
      <c r="G8" s="417"/>
      <c r="H8" s="417"/>
      <c r="I8" s="319" t="s">
        <v>84</v>
      </c>
      <c r="J8" s="417" t="s">
        <v>85</v>
      </c>
      <c r="K8" s="417"/>
      <c r="L8" s="417"/>
      <c r="M8" s="417"/>
      <c r="N8" s="417"/>
      <c r="O8" s="418"/>
      <c r="P8" s="122"/>
      <c r="Q8" s="121"/>
      <c r="R8" s="120" t="s">
        <v>0</v>
      </c>
      <c r="S8" s="25"/>
      <c r="T8" s="25"/>
      <c r="U8" s="25"/>
      <c r="V8" s="25"/>
    </row>
    <row r="9" spans="1:22" ht="35.25" customHeight="1" thickBot="1" x14ac:dyDescent="0.25">
      <c r="A9" s="2"/>
      <c r="B9" s="48" t="s">
        <v>70</v>
      </c>
      <c r="C9" s="155" t="s">
        <v>86</v>
      </c>
      <c r="D9" s="49" t="s">
        <v>30</v>
      </c>
      <c r="E9" s="49" t="s">
        <v>87</v>
      </c>
      <c r="F9" s="49" t="s">
        <v>29</v>
      </c>
      <c r="G9" s="113" t="s">
        <v>28</v>
      </c>
      <c r="H9" s="320" t="s">
        <v>193</v>
      </c>
      <c r="I9" s="321" t="s">
        <v>88</v>
      </c>
      <c r="J9" s="322" t="s">
        <v>89</v>
      </c>
      <c r="K9" s="49" t="s">
        <v>30</v>
      </c>
      <c r="L9" s="49" t="s">
        <v>87</v>
      </c>
      <c r="M9" s="49" t="s">
        <v>29</v>
      </c>
      <c r="N9" s="113" t="s">
        <v>28</v>
      </c>
      <c r="O9" s="323" t="s">
        <v>193</v>
      </c>
      <c r="P9" s="324" t="s">
        <v>113</v>
      </c>
      <c r="Q9" s="156" t="s">
        <v>112</v>
      </c>
      <c r="R9" s="123" t="s">
        <v>90</v>
      </c>
      <c r="S9" s="25"/>
      <c r="T9" s="25"/>
      <c r="U9" s="25"/>
      <c r="V9" s="25"/>
    </row>
    <row r="10" spans="1:22" ht="21.95" customHeight="1" thickBot="1" x14ac:dyDescent="0.25">
      <c r="A10" s="2"/>
      <c r="B10" s="281" t="s">
        <v>56</v>
      </c>
      <c r="C10" s="282">
        <v>24</v>
      </c>
      <c r="D10" s="283">
        <v>12</v>
      </c>
      <c r="E10" s="283">
        <v>22</v>
      </c>
      <c r="F10" s="283">
        <v>1</v>
      </c>
      <c r="G10" s="284">
        <v>9</v>
      </c>
      <c r="H10" s="325">
        <v>0</v>
      </c>
      <c r="I10" s="326">
        <f>SUM(D10:H10)</f>
        <v>44</v>
      </c>
      <c r="J10" s="286">
        <v>24</v>
      </c>
      <c r="K10" s="283">
        <v>7</v>
      </c>
      <c r="L10" s="283">
        <v>21</v>
      </c>
      <c r="M10" s="283">
        <v>0</v>
      </c>
      <c r="N10" s="283">
        <v>6</v>
      </c>
      <c r="O10" s="325">
        <v>0</v>
      </c>
      <c r="P10" s="285">
        <f>SUM(K10:O10)</f>
        <v>34</v>
      </c>
      <c r="Q10" s="287">
        <f t="shared" ref="Q10:Q21" si="0">+C10+J10</f>
        <v>48</v>
      </c>
      <c r="R10" s="288">
        <f t="shared" ref="R10:R21" si="1">+P10+I10</f>
        <v>78</v>
      </c>
      <c r="S10" s="50"/>
      <c r="T10" s="50"/>
      <c r="U10" s="27"/>
      <c r="V10" s="27"/>
    </row>
    <row r="11" spans="1:22" ht="21.95" customHeight="1" thickBot="1" x14ac:dyDescent="0.25">
      <c r="A11" s="2"/>
      <c r="B11" s="289" t="s">
        <v>57</v>
      </c>
      <c r="C11" s="290">
        <v>21</v>
      </c>
      <c r="D11" s="291">
        <v>13</v>
      </c>
      <c r="E11" s="291">
        <v>19</v>
      </c>
      <c r="F11" s="291">
        <v>0</v>
      </c>
      <c r="G11" s="291">
        <v>6</v>
      </c>
      <c r="H11" s="325">
        <v>1</v>
      </c>
      <c r="I11" s="326">
        <f t="shared" ref="I11:I21" si="2">SUM(D11:H11)</f>
        <v>39</v>
      </c>
      <c r="J11" s="327">
        <v>24</v>
      </c>
      <c r="K11" s="291">
        <v>8</v>
      </c>
      <c r="L11" s="291">
        <v>19</v>
      </c>
      <c r="M11" s="291">
        <v>2</v>
      </c>
      <c r="N11" s="291">
        <v>10</v>
      </c>
      <c r="O11" s="325">
        <v>0</v>
      </c>
      <c r="P11" s="285">
        <f t="shared" ref="P11:P21" si="3">SUM(K11:O11)</f>
        <v>39</v>
      </c>
      <c r="Q11" s="292">
        <f t="shared" si="0"/>
        <v>45</v>
      </c>
      <c r="R11" s="288">
        <f t="shared" si="1"/>
        <v>78</v>
      </c>
      <c r="S11" s="51"/>
      <c r="T11" s="27"/>
      <c r="U11" s="27"/>
      <c r="V11" s="27"/>
    </row>
    <row r="12" spans="1:22" ht="21.95" customHeight="1" thickBot="1" x14ac:dyDescent="0.25">
      <c r="A12" s="2"/>
      <c r="B12" s="289" t="s">
        <v>58</v>
      </c>
      <c r="C12" s="293">
        <f>'5.ESTADÍSTICAS POR REPORTE'!D25</f>
        <v>28</v>
      </c>
      <c r="D12" s="291">
        <v>16</v>
      </c>
      <c r="E12" s="291">
        <v>23</v>
      </c>
      <c r="F12" s="291">
        <v>0</v>
      </c>
      <c r="G12" s="291">
        <v>12</v>
      </c>
      <c r="H12" s="325">
        <v>1</v>
      </c>
      <c r="I12" s="326">
        <f t="shared" si="2"/>
        <v>52</v>
      </c>
      <c r="J12" s="330">
        <f>'5.ESTADÍSTICAS POR REPORTE'!E25</f>
        <v>30</v>
      </c>
      <c r="K12" s="291">
        <v>8</v>
      </c>
      <c r="L12" s="291">
        <v>28</v>
      </c>
      <c r="M12" s="291">
        <v>1</v>
      </c>
      <c r="N12" s="291">
        <v>12</v>
      </c>
      <c r="O12" s="325">
        <v>0</v>
      </c>
      <c r="P12" s="285">
        <f t="shared" si="3"/>
        <v>49</v>
      </c>
      <c r="Q12" s="292">
        <f t="shared" si="0"/>
        <v>58</v>
      </c>
      <c r="R12" s="288">
        <f t="shared" si="1"/>
        <v>101</v>
      </c>
      <c r="S12" s="51"/>
      <c r="T12" s="27"/>
      <c r="U12" s="27" t="s">
        <v>91</v>
      </c>
      <c r="V12" s="27"/>
    </row>
    <row r="13" spans="1:22" ht="21.95" customHeight="1" thickBot="1" x14ac:dyDescent="0.25">
      <c r="A13" s="2"/>
      <c r="B13" s="289" t="s">
        <v>59</v>
      </c>
      <c r="C13" s="290">
        <v>0</v>
      </c>
      <c r="D13" s="291">
        <v>0</v>
      </c>
      <c r="E13" s="291">
        <v>0</v>
      </c>
      <c r="F13" s="291">
        <v>0</v>
      </c>
      <c r="G13" s="291">
        <v>0</v>
      </c>
      <c r="H13" s="325">
        <v>0</v>
      </c>
      <c r="I13" s="326">
        <f t="shared" si="2"/>
        <v>0</v>
      </c>
      <c r="J13" s="327">
        <v>0</v>
      </c>
      <c r="K13" s="291">
        <v>0</v>
      </c>
      <c r="L13" s="291">
        <v>0</v>
      </c>
      <c r="M13" s="291">
        <v>0</v>
      </c>
      <c r="N13" s="291">
        <v>0</v>
      </c>
      <c r="O13" s="325">
        <v>0</v>
      </c>
      <c r="P13" s="285">
        <f t="shared" si="3"/>
        <v>0</v>
      </c>
      <c r="Q13" s="292">
        <f t="shared" si="0"/>
        <v>0</v>
      </c>
      <c r="R13" s="288">
        <f t="shared" si="1"/>
        <v>0</v>
      </c>
      <c r="S13" s="51"/>
      <c r="T13" s="27"/>
      <c r="U13" s="27"/>
      <c r="V13" s="27"/>
    </row>
    <row r="14" spans="1:22" ht="21.95" customHeight="1" thickBot="1" x14ac:dyDescent="0.25">
      <c r="A14" s="2"/>
      <c r="B14" s="289" t="s">
        <v>60</v>
      </c>
      <c r="C14" s="290">
        <v>0</v>
      </c>
      <c r="D14" s="291">
        <v>0</v>
      </c>
      <c r="E14" s="291">
        <v>0</v>
      </c>
      <c r="F14" s="291">
        <v>0</v>
      </c>
      <c r="G14" s="291">
        <v>0</v>
      </c>
      <c r="H14" s="325">
        <v>0</v>
      </c>
      <c r="I14" s="326">
        <f t="shared" si="2"/>
        <v>0</v>
      </c>
      <c r="J14" s="327">
        <v>0</v>
      </c>
      <c r="K14" s="291">
        <v>0</v>
      </c>
      <c r="L14" s="291">
        <v>0</v>
      </c>
      <c r="M14" s="291">
        <v>0</v>
      </c>
      <c r="N14" s="291">
        <v>0</v>
      </c>
      <c r="O14" s="325">
        <v>0</v>
      </c>
      <c r="P14" s="285">
        <f t="shared" si="3"/>
        <v>0</v>
      </c>
      <c r="Q14" s="292">
        <f t="shared" si="0"/>
        <v>0</v>
      </c>
      <c r="R14" s="294">
        <f t="shared" si="1"/>
        <v>0</v>
      </c>
      <c r="S14" s="51"/>
      <c r="T14" s="27"/>
      <c r="U14" s="27"/>
      <c r="V14" s="27"/>
    </row>
    <row r="15" spans="1:22" ht="21.95" customHeight="1" thickBot="1" x14ac:dyDescent="0.25">
      <c r="A15" s="2"/>
      <c r="B15" s="289" t="s">
        <v>61</v>
      </c>
      <c r="C15" s="290">
        <v>0</v>
      </c>
      <c r="D15" s="291">
        <v>0</v>
      </c>
      <c r="E15" s="291">
        <v>0</v>
      </c>
      <c r="F15" s="291">
        <v>0</v>
      </c>
      <c r="G15" s="291">
        <v>0</v>
      </c>
      <c r="H15" s="325">
        <v>0</v>
      </c>
      <c r="I15" s="326">
        <f t="shared" si="2"/>
        <v>0</v>
      </c>
      <c r="J15" s="327">
        <v>0</v>
      </c>
      <c r="K15" s="291">
        <v>0</v>
      </c>
      <c r="L15" s="291">
        <v>0</v>
      </c>
      <c r="M15" s="291">
        <v>0</v>
      </c>
      <c r="N15" s="291">
        <v>0</v>
      </c>
      <c r="O15" s="325">
        <v>0</v>
      </c>
      <c r="P15" s="285">
        <f t="shared" si="3"/>
        <v>0</v>
      </c>
      <c r="Q15" s="292">
        <f t="shared" si="0"/>
        <v>0</v>
      </c>
      <c r="R15" s="294">
        <f t="shared" si="1"/>
        <v>0</v>
      </c>
      <c r="S15" s="51"/>
      <c r="T15" s="27"/>
      <c r="U15" s="27"/>
      <c r="V15" s="27"/>
    </row>
    <row r="16" spans="1:22" ht="21.95" customHeight="1" thickBot="1" x14ac:dyDescent="0.25">
      <c r="A16" s="2"/>
      <c r="B16" s="289" t="s">
        <v>62</v>
      </c>
      <c r="C16" s="290">
        <v>0</v>
      </c>
      <c r="D16" s="291">
        <v>0</v>
      </c>
      <c r="E16" s="291">
        <v>0</v>
      </c>
      <c r="F16" s="291">
        <v>0</v>
      </c>
      <c r="G16" s="291">
        <v>0</v>
      </c>
      <c r="H16" s="325">
        <v>0</v>
      </c>
      <c r="I16" s="326">
        <f t="shared" si="2"/>
        <v>0</v>
      </c>
      <c r="J16" s="327">
        <v>0</v>
      </c>
      <c r="K16" s="291">
        <v>0</v>
      </c>
      <c r="L16" s="291">
        <v>0</v>
      </c>
      <c r="M16" s="291">
        <v>0</v>
      </c>
      <c r="N16" s="291">
        <v>0</v>
      </c>
      <c r="O16" s="325">
        <v>0</v>
      </c>
      <c r="P16" s="285">
        <f t="shared" si="3"/>
        <v>0</v>
      </c>
      <c r="Q16" s="292">
        <f t="shared" si="0"/>
        <v>0</v>
      </c>
      <c r="R16" s="294">
        <f t="shared" si="1"/>
        <v>0</v>
      </c>
      <c r="S16" s="52"/>
      <c r="T16" s="52"/>
      <c r="U16" s="27"/>
      <c r="V16" s="27"/>
    </row>
    <row r="17" spans="1:22" ht="21.95" customHeight="1" thickBot="1" x14ac:dyDescent="0.25">
      <c r="A17" s="2"/>
      <c r="B17" s="295" t="s">
        <v>63</v>
      </c>
      <c r="C17" s="290">
        <v>0</v>
      </c>
      <c r="D17" s="291">
        <v>0</v>
      </c>
      <c r="E17" s="291">
        <v>0</v>
      </c>
      <c r="F17" s="291">
        <v>0</v>
      </c>
      <c r="G17" s="291">
        <v>0</v>
      </c>
      <c r="H17" s="325">
        <v>0</v>
      </c>
      <c r="I17" s="326">
        <f t="shared" si="2"/>
        <v>0</v>
      </c>
      <c r="J17" s="327">
        <v>0</v>
      </c>
      <c r="K17" s="291">
        <v>0</v>
      </c>
      <c r="L17" s="291">
        <v>0</v>
      </c>
      <c r="M17" s="291">
        <v>0</v>
      </c>
      <c r="N17" s="291">
        <v>0</v>
      </c>
      <c r="O17" s="325">
        <v>0</v>
      </c>
      <c r="P17" s="285">
        <f t="shared" si="3"/>
        <v>0</v>
      </c>
      <c r="Q17" s="292">
        <f t="shared" si="0"/>
        <v>0</v>
      </c>
      <c r="R17" s="294">
        <f t="shared" si="1"/>
        <v>0</v>
      </c>
      <c r="S17" s="52"/>
      <c r="T17" s="52"/>
      <c r="U17" s="27"/>
      <c r="V17" s="27"/>
    </row>
    <row r="18" spans="1:22" ht="21.95" customHeight="1" thickBot="1" x14ac:dyDescent="0.25">
      <c r="A18" s="2"/>
      <c r="B18" s="296" t="s">
        <v>111</v>
      </c>
      <c r="C18" s="290">
        <v>0</v>
      </c>
      <c r="D18" s="291">
        <v>0</v>
      </c>
      <c r="E18" s="291">
        <v>0</v>
      </c>
      <c r="F18" s="291">
        <v>0</v>
      </c>
      <c r="G18" s="291">
        <v>0</v>
      </c>
      <c r="H18" s="325">
        <v>0</v>
      </c>
      <c r="I18" s="326">
        <f t="shared" si="2"/>
        <v>0</v>
      </c>
      <c r="J18" s="327">
        <v>0</v>
      </c>
      <c r="K18" s="291">
        <v>0</v>
      </c>
      <c r="L18" s="291">
        <v>0</v>
      </c>
      <c r="M18" s="291">
        <v>0</v>
      </c>
      <c r="N18" s="291">
        <v>0</v>
      </c>
      <c r="O18" s="325">
        <v>0</v>
      </c>
      <c r="P18" s="285">
        <f t="shared" si="3"/>
        <v>0</v>
      </c>
      <c r="Q18" s="297">
        <f t="shared" si="0"/>
        <v>0</v>
      </c>
      <c r="R18" s="298">
        <f t="shared" si="1"/>
        <v>0</v>
      </c>
      <c r="S18" s="52"/>
      <c r="T18" s="52"/>
      <c r="U18" s="27"/>
      <c r="V18" s="27"/>
    </row>
    <row r="19" spans="1:22" ht="21.95" customHeight="1" thickBot="1" x14ac:dyDescent="0.25">
      <c r="A19" s="2"/>
      <c r="B19" s="299" t="s">
        <v>64</v>
      </c>
      <c r="C19" s="290">
        <v>0</v>
      </c>
      <c r="D19" s="291">
        <v>0</v>
      </c>
      <c r="E19" s="291">
        <v>0</v>
      </c>
      <c r="F19" s="291">
        <v>0</v>
      </c>
      <c r="G19" s="291">
        <v>0</v>
      </c>
      <c r="H19" s="325">
        <v>0</v>
      </c>
      <c r="I19" s="326">
        <f t="shared" si="2"/>
        <v>0</v>
      </c>
      <c r="J19" s="327">
        <v>0</v>
      </c>
      <c r="K19" s="291">
        <v>0</v>
      </c>
      <c r="L19" s="291">
        <v>0</v>
      </c>
      <c r="M19" s="291">
        <v>0</v>
      </c>
      <c r="N19" s="291">
        <v>0</v>
      </c>
      <c r="O19" s="325">
        <v>0</v>
      </c>
      <c r="P19" s="285">
        <f t="shared" si="3"/>
        <v>0</v>
      </c>
      <c r="Q19" s="297">
        <f t="shared" si="0"/>
        <v>0</v>
      </c>
      <c r="R19" s="298">
        <f t="shared" si="1"/>
        <v>0</v>
      </c>
      <c r="S19" s="52"/>
      <c r="T19" s="52"/>
      <c r="U19" s="27"/>
      <c r="V19" s="27"/>
    </row>
    <row r="20" spans="1:22" ht="21.95" customHeight="1" thickBot="1" x14ac:dyDescent="0.25">
      <c r="A20" s="2"/>
      <c r="B20" s="139" t="s">
        <v>65</v>
      </c>
      <c r="C20" s="290">
        <v>0</v>
      </c>
      <c r="D20" s="291">
        <v>0</v>
      </c>
      <c r="E20" s="291">
        <v>0</v>
      </c>
      <c r="F20" s="291">
        <v>0</v>
      </c>
      <c r="G20" s="291">
        <v>0</v>
      </c>
      <c r="H20" s="325">
        <v>0</v>
      </c>
      <c r="I20" s="326">
        <f t="shared" si="2"/>
        <v>0</v>
      </c>
      <c r="J20" s="327">
        <v>0</v>
      </c>
      <c r="K20" s="291">
        <v>0</v>
      </c>
      <c r="L20" s="291">
        <v>0</v>
      </c>
      <c r="M20" s="291">
        <v>0</v>
      </c>
      <c r="N20" s="291">
        <v>0</v>
      </c>
      <c r="O20" s="325">
        <v>0</v>
      </c>
      <c r="P20" s="285">
        <f t="shared" si="3"/>
        <v>0</v>
      </c>
      <c r="Q20" s="157">
        <f t="shared" si="0"/>
        <v>0</v>
      </c>
      <c r="R20" s="138">
        <f t="shared" si="1"/>
        <v>0</v>
      </c>
      <c r="S20" s="52"/>
      <c r="T20" s="52"/>
      <c r="U20" s="27"/>
      <c r="V20" s="27"/>
    </row>
    <row r="21" spans="1:22" ht="21.95" customHeight="1" thickBot="1" x14ac:dyDescent="0.25">
      <c r="A21" s="2"/>
      <c r="B21" s="140" t="s">
        <v>66</v>
      </c>
      <c r="C21" s="290">
        <v>0</v>
      </c>
      <c r="D21" s="291">
        <v>0</v>
      </c>
      <c r="E21" s="291">
        <v>0</v>
      </c>
      <c r="F21" s="291">
        <v>0</v>
      </c>
      <c r="G21" s="291">
        <v>0</v>
      </c>
      <c r="H21" s="325">
        <v>0</v>
      </c>
      <c r="I21" s="326">
        <f t="shared" si="2"/>
        <v>0</v>
      </c>
      <c r="J21" s="327">
        <v>0</v>
      </c>
      <c r="K21" s="291">
        <v>0</v>
      </c>
      <c r="L21" s="291">
        <v>0</v>
      </c>
      <c r="M21" s="291">
        <v>0</v>
      </c>
      <c r="N21" s="291">
        <v>0</v>
      </c>
      <c r="O21" s="328">
        <v>0</v>
      </c>
      <c r="P21" s="285">
        <f t="shared" si="3"/>
        <v>0</v>
      </c>
      <c r="Q21" s="158">
        <f t="shared" si="0"/>
        <v>0</v>
      </c>
      <c r="R21" s="141">
        <f t="shared" si="1"/>
        <v>0</v>
      </c>
      <c r="S21" s="52"/>
      <c r="T21" s="52"/>
      <c r="U21" s="27"/>
      <c r="V21" s="27"/>
    </row>
    <row r="22" spans="1:22" ht="17.25" customHeight="1" thickBot="1" x14ac:dyDescent="0.25">
      <c r="A22" s="2"/>
      <c r="B22" s="142" t="s">
        <v>92</v>
      </c>
      <c r="C22" s="143">
        <f>SUM(C10:C21)</f>
        <v>73</v>
      </c>
      <c r="D22" s="143">
        <f t="shared" ref="D22:R22" si="4">SUM(D10:D21)</f>
        <v>41</v>
      </c>
      <c r="E22" s="143">
        <f t="shared" si="4"/>
        <v>64</v>
      </c>
      <c r="F22" s="143">
        <f t="shared" si="4"/>
        <v>1</v>
      </c>
      <c r="G22" s="144">
        <f t="shared" si="4"/>
        <v>27</v>
      </c>
      <c r="H22" s="144">
        <f t="shared" si="4"/>
        <v>2</v>
      </c>
      <c r="I22" s="329">
        <f t="shared" si="4"/>
        <v>135</v>
      </c>
      <c r="J22" s="146">
        <f t="shared" si="4"/>
        <v>78</v>
      </c>
      <c r="K22" s="147">
        <f t="shared" si="4"/>
        <v>23</v>
      </c>
      <c r="L22" s="147">
        <f t="shared" si="4"/>
        <v>68</v>
      </c>
      <c r="M22" s="147">
        <f t="shared" si="4"/>
        <v>3</v>
      </c>
      <c r="N22" s="147">
        <f t="shared" si="4"/>
        <v>28</v>
      </c>
      <c r="O22" s="147">
        <f t="shared" si="4"/>
        <v>0</v>
      </c>
      <c r="P22" s="145">
        <f t="shared" si="4"/>
        <v>122</v>
      </c>
      <c r="Q22" s="148">
        <f t="shared" si="4"/>
        <v>151</v>
      </c>
      <c r="R22" s="145">
        <f t="shared" si="4"/>
        <v>257</v>
      </c>
      <c r="S22" s="52"/>
      <c r="T22" s="52"/>
      <c r="U22" s="27"/>
      <c r="V22" s="27"/>
    </row>
    <row r="23" spans="1:22" ht="14.25" customHeight="1" x14ac:dyDescent="0.2">
      <c r="A23" s="2"/>
      <c r="B23" s="127" t="s">
        <v>133</v>
      </c>
      <c r="C23" s="2"/>
      <c r="D23" s="2"/>
      <c r="E23" s="2"/>
      <c r="F23" s="2"/>
      <c r="G23" s="2"/>
      <c r="H23" s="2"/>
      <c r="I23" s="2"/>
      <c r="J23" s="36"/>
      <c r="K23" s="36"/>
      <c r="L23" s="36"/>
      <c r="M23" s="36"/>
      <c r="N23" s="36"/>
      <c r="O23" s="36"/>
      <c r="P23" s="36"/>
      <c r="Q23" s="2"/>
      <c r="R23" s="129" t="s">
        <v>197</v>
      </c>
    </row>
    <row r="24" spans="1:22" x14ac:dyDescent="0.2">
      <c r="A24" s="2"/>
      <c r="B24" s="53" t="s">
        <v>93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2" x14ac:dyDescent="0.2">
      <c r="A25" s="2"/>
      <c r="B25" s="5"/>
      <c r="C25" s="3"/>
      <c r="D25" s="3"/>
      <c r="E25" s="3"/>
      <c r="F25" s="3"/>
      <c r="G25" s="3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  <c r="S25" s="1"/>
    </row>
    <row r="26" spans="1:22" x14ac:dyDescent="0.2">
      <c r="A26" s="2"/>
      <c r="B26" s="5"/>
      <c r="C26" s="3"/>
      <c r="D26" s="3"/>
      <c r="E26" s="3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1"/>
    </row>
    <row r="27" spans="1:22" x14ac:dyDescent="0.2">
      <c r="A27" s="2"/>
      <c r="B27" s="2"/>
      <c r="C27" s="4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 t="s">
        <v>16</v>
      </c>
      <c r="Q27" s="2"/>
      <c r="R27" s="2"/>
      <c r="S27" s="1"/>
    </row>
    <row r="28" spans="1:22" x14ac:dyDescent="0.2">
      <c r="A28" s="2"/>
      <c r="B28" s="2"/>
      <c r="C28" s="4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49" t="s">
        <v>200</v>
      </c>
      <c r="Q28" s="2"/>
      <c r="R28" s="2"/>
      <c r="S28" s="2"/>
    </row>
    <row r="29" spans="1:22" x14ac:dyDescent="0.2">
      <c r="A29" s="2"/>
      <c r="B29" s="54"/>
      <c r="C29" s="55"/>
      <c r="D29" s="55"/>
      <c r="E29" s="2"/>
      <c r="F29" s="2"/>
      <c r="G29" s="2"/>
      <c r="H29" s="2"/>
      <c r="I29" s="5"/>
      <c r="J29" s="5"/>
      <c r="K29" s="5"/>
      <c r="L29" s="5"/>
      <c r="M29" s="5"/>
      <c r="N29" s="2"/>
      <c r="O29" s="2"/>
      <c r="P29" s="349" t="s">
        <v>201</v>
      </c>
      <c r="Q29" s="5"/>
      <c r="R29" s="5"/>
      <c r="S29" s="5"/>
    </row>
    <row r="30" spans="1:22" x14ac:dyDescent="0.2">
      <c r="C30" s="4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R30" s="43"/>
      <c r="S30" s="1"/>
    </row>
    <row r="31" spans="1:22" x14ac:dyDescent="0.2">
      <c r="C31" s="4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R31" s="43"/>
      <c r="S31" s="1"/>
    </row>
    <row r="32" spans="1:22" ht="15.95" customHeight="1" x14ac:dyDescent="0.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S32" s="1"/>
    </row>
    <row r="33" spans="1:19" ht="15.95" customHeight="1" x14ac:dyDescent="0.2"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1"/>
    </row>
    <row r="34" spans="1:19" ht="15.95" customHeight="1" x14ac:dyDescent="0.2"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1"/>
    </row>
    <row r="35" spans="1:19" ht="15.95" customHeight="1" x14ac:dyDescent="0.2"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</row>
    <row r="36" spans="1:19" ht="15.95" customHeight="1" x14ac:dyDescent="0.2">
      <c r="B36" s="18"/>
      <c r="C36" s="18"/>
      <c r="D36" s="18"/>
      <c r="E36" s="18"/>
      <c r="F36" s="18"/>
      <c r="G36" s="18"/>
      <c r="H36" s="18"/>
      <c r="I36" s="18"/>
      <c r="J36" s="2"/>
      <c r="K36" s="2"/>
      <c r="L36" s="2"/>
      <c r="M36" s="2"/>
      <c r="N36" s="2"/>
      <c r="O36" s="2"/>
      <c r="P36" s="2"/>
      <c r="Q36" s="2"/>
      <c r="R36" s="2"/>
    </row>
    <row r="37" spans="1:19" ht="21.95" customHeight="1" x14ac:dyDescent="0.2">
      <c r="B37" s="317"/>
      <c r="C37" s="413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318"/>
    </row>
    <row r="38" spans="1:19" ht="21.95" customHeight="1" x14ac:dyDescent="0.2">
      <c r="B38" s="317"/>
      <c r="C38" s="412"/>
      <c r="D38" s="412"/>
      <c r="E38" s="412"/>
      <c r="F38" s="412"/>
      <c r="G38" s="412"/>
      <c r="H38" s="318"/>
      <c r="I38" s="56"/>
      <c r="J38" s="412"/>
      <c r="K38" s="412"/>
      <c r="L38" s="412"/>
      <c r="M38" s="412"/>
      <c r="N38" s="412"/>
      <c r="O38" s="318"/>
      <c r="P38" s="56"/>
      <c r="Q38" s="57"/>
      <c r="R38" s="57"/>
    </row>
    <row r="39" spans="1:19" ht="34.5" customHeight="1" x14ac:dyDescent="0.2">
      <c r="B39" s="317"/>
      <c r="C39" s="25"/>
      <c r="D39" s="316"/>
      <c r="E39" s="316"/>
      <c r="F39" s="316"/>
      <c r="G39" s="316"/>
      <c r="H39" s="316"/>
      <c r="I39" s="25"/>
      <c r="J39" s="58"/>
      <c r="K39" s="316"/>
      <c r="L39" s="316"/>
      <c r="M39" s="316"/>
      <c r="N39" s="316"/>
      <c r="O39" s="316"/>
      <c r="P39" s="25"/>
      <c r="Q39" s="59"/>
      <c r="R39" s="57"/>
    </row>
    <row r="40" spans="1:19" ht="21.95" customHeight="1" x14ac:dyDescent="0.2">
      <c r="B40" s="60"/>
      <c r="C40" s="61"/>
      <c r="D40" s="62"/>
      <c r="E40" s="62"/>
      <c r="F40" s="62"/>
      <c r="G40" s="62"/>
      <c r="H40" s="62"/>
      <c r="I40" s="62"/>
      <c r="J40" s="61"/>
      <c r="K40" s="62"/>
      <c r="L40" s="62"/>
      <c r="M40" s="62"/>
      <c r="N40" s="62"/>
      <c r="O40" s="62"/>
      <c r="P40" s="62"/>
      <c r="Q40" s="61"/>
      <c r="R40" s="63"/>
    </row>
    <row r="41" spans="1:19" ht="21.95" customHeight="1" x14ac:dyDescent="0.2">
      <c r="B41" s="60"/>
      <c r="C41" s="61"/>
      <c r="D41" s="62"/>
      <c r="E41" s="62"/>
      <c r="F41" s="62"/>
      <c r="G41" s="62"/>
      <c r="H41" s="62"/>
      <c r="I41" s="62"/>
      <c r="J41" s="61"/>
      <c r="K41" s="62"/>
      <c r="L41" s="62"/>
      <c r="M41" s="62"/>
      <c r="N41" s="62"/>
      <c r="O41" s="62"/>
      <c r="P41" s="62"/>
      <c r="Q41" s="61"/>
      <c r="R41" s="63"/>
    </row>
    <row r="42" spans="1:19" ht="21.95" customHeight="1" x14ac:dyDescent="0.2">
      <c r="B42" s="60"/>
      <c r="C42" s="61"/>
      <c r="D42" s="62"/>
      <c r="E42" s="62"/>
      <c r="F42" s="62"/>
      <c r="G42" s="62"/>
      <c r="H42" s="62"/>
      <c r="I42" s="62"/>
      <c r="J42" s="61"/>
      <c r="K42" s="62"/>
      <c r="L42" s="62"/>
      <c r="M42" s="62"/>
      <c r="N42" s="62"/>
      <c r="O42" s="62"/>
      <c r="P42" s="62"/>
      <c r="Q42" s="61"/>
      <c r="R42" s="63"/>
    </row>
    <row r="43" spans="1:19" ht="21.95" customHeight="1" x14ac:dyDescent="0.2">
      <c r="B43" s="60"/>
      <c r="C43" s="64"/>
      <c r="D43" s="65"/>
      <c r="E43" s="65"/>
      <c r="F43" s="65"/>
      <c r="G43" s="65"/>
      <c r="H43" s="65"/>
      <c r="I43" s="62"/>
      <c r="J43" s="64"/>
      <c r="K43" s="65"/>
      <c r="L43" s="65"/>
      <c r="M43" s="65"/>
      <c r="N43" s="65"/>
      <c r="O43" s="65"/>
      <c r="P43" s="62"/>
      <c r="Q43" s="64"/>
      <c r="R43" s="63"/>
    </row>
    <row r="44" spans="1:19" ht="21.95" customHeight="1" x14ac:dyDescent="0.2">
      <c r="B44" s="60"/>
      <c r="C44" s="64"/>
      <c r="D44" s="65"/>
      <c r="E44" s="65"/>
      <c r="F44" s="65"/>
      <c r="G44" s="65"/>
      <c r="H44" s="65"/>
      <c r="I44" s="62"/>
      <c r="J44" s="64"/>
      <c r="K44" s="65"/>
      <c r="L44" s="65"/>
      <c r="M44" s="65"/>
      <c r="N44" s="65"/>
      <c r="O44" s="65"/>
      <c r="P44" s="62"/>
      <c r="Q44" s="64"/>
      <c r="R44" s="63"/>
    </row>
    <row r="45" spans="1:19" ht="21.95" customHeight="1" x14ac:dyDescent="0.2">
      <c r="B45" s="60"/>
      <c r="C45" s="61"/>
      <c r="D45" s="62"/>
      <c r="E45" s="62"/>
      <c r="F45" s="62"/>
      <c r="G45" s="62"/>
      <c r="H45" s="62"/>
      <c r="I45" s="62"/>
      <c r="J45" s="61"/>
      <c r="K45" s="62"/>
      <c r="L45" s="62"/>
      <c r="M45" s="62"/>
      <c r="N45" s="62"/>
      <c r="O45" s="62"/>
      <c r="P45" s="62"/>
      <c r="Q45" s="64"/>
      <c r="R45" s="63"/>
    </row>
    <row r="46" spans="1:19" ht="21.95" customHeight="1" x14ac:dyDescent="0.2">
      <c r="A46" t="s">
        <v>91</v>
      </c>
      <c r="B46" s="60"/>
      <c r="C46" s="61"/>
      <c r="D46" s="62"/>
      <c r="E46" s="62"/>
      <c r="F46" s="62"/>
      <c r="G46" s="62"/>
      <c r="H46" s="62"/>
      <c r="I46" s="62"/>
      <c r="J46" s="61"/>
      <c r="K46" s="62"/>
      <c r="L46" s="62"/>
      <c r="M46" s="62"/>
      <c r="N46" s="62"/>
      <c r="O46" s="62"/>
      <c r="P46" s="62"/>
      <c r="Q46" s="61"/>
      <c r="R46" s="63"/>
    </row>
    <row r="47" spans="1:19" ht="21.95" customHeight="1" x14ac:dyDescent="0.2">
      <c r="B47" s="60"/>
      <c r="C47" s="61"/>
      <c r="D47" s="62"/>
      <c r="E47" s="62"/>
      <c r="F47" s="62"/>
      <c r="G47" s="62"/>
      <c r="H47" s="62"/>
      <c r="I47" s="62"/>
      <c r="J47" s="61"/>
      <c r="K47" s="62"/>
      <c r="L47" s="62"/>
      <c r="M47" s="62"/>
      <c r="N47" s="62"/>
      <c r="O47" s="62"/>
      <c r="P47" s="62"/>
      <c r="Q47" s="61"/>
      <c r="R47" s="63"/>
    </row>
    <row r="48" spans="1:19" ht="21.95" customHeight="1" x14ac:dyDescent="0.2">
      <c r="B48" s="60"/>
      <c r="C48" s="61"/>
      <c r="D48" s="62"/>
      <c r="E48" s="62"/>
      <c r="F48" s="62"/>
      <c r="G48" s="62"/>
      <c r="H48" s="62"/>
      <c r="I48" s="62"/>
      <c r="J48" s="61"/>
      <c r="K48" s="62"/>
      <c r="L48" s="62"/>
      <c r="M48" s="62"/>
      <c r="N48" s="62"/>
      <c r="O48" s="62"/>
      <c r="P48" s="62"/>
      <c r="Q48" s="61"/>
      <c r="R48" s="62"/>
    </row>
    <row r="49" spans="2:18" ht="21.95" customHeight="1" x14ac:dyDescent="0.2">
      <c r="B49" s="60"/>
      <c r="C49" s="61"/>
      <c r="D49" s="62"/>
      <c r="E49" s="62"/>
      <c r="F49" s="62"/>
      <c r="G49" s="62"/>
      <c r="H49" s="62"/>
      <c r="I49" s="62"/>
      <c r="J49" s="61"/>
      <c r="K49" s="62"/>
      <c r="L49" s="62"/>
      <c r="M49" s="62"/>
      <c r="N49" s="62"/>
      <c r="O49" s="62"/>
      <c r="P49" s="62"/>
      <c r="Q49" s="61"/>
      <c r="R49" s="62"/>
    </row>
    <row r="50" spans="2:18" ht="21.95" customHeight="1" x14ac:dyDescent="0.2">
      <c r="B50" s="60"/>
      <c r="C50" s="61"/>
      <c r="D50" s="62"/>
      <c r="E50" s="62"/>
      <c r="F50" s="62"/>
      <c r="G50" s="62"/>
      <c r="H50" s="62"/>
      <c r="I50" s="62"/>
      <c r="J50" s="61"/>
      <c r="K50" s="62"/>
      <c r="L50" s="62"/>
      <c r="M50" s="62"/>
      <c r="N50" s="62"/>
      <c r="O50" s="62"/>
      <c r="P50" s="62"/>
      <c r="Q50" s="61"/>
      <c r="R50" s="62"/>
    </row>
    <row r="51" spans="2:18" ht="21.95" customHeight="1" x14ac:dyDescent="0.2">
      <c r="B51" s="60"/>
      <c r="C51" s="61"/>
      <c r="D51" s="62"/>
      <c r="E51" s="62"/>
      <c r="F51" s="62"/>
      <c r="G51" s="62"/>
      <c r="H51" s="62"/>
      <c r="I51" s="65"/>
      <c r="J51" s="61"/>
      <c r="K51" s="62"/>
      <c r="L51" s="62"/>
      <c r="M51" s="62"/>
      <c r="N51" s="62"/>
      <c r="O51" s="62"/>
      <c r="P51" s="65"/>
      <c r="Q51" s="61"/>
      <c r="R51" s="62"/>
    </row>
    <row r="52" spans="2:18" ht="21.95" customHeight="1" x14ac:dyDescent="0.25">
      <c r="B52" s="66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7"/>
      <c r="R52" s="67"/>
    </row>
    <row r="53" spans="2:18" x14ac:dyDescent="0.2">
      <c r="B53" s="68"/>
      <c r="C53" s="18"/>
      <c r="D53" s="18"/>
      <c r="E53" s="18"/>
      <c r="F53" s="18"/>
      <c r="G53" s="18"/>
      <c r="H53" s="18"/>
      <c r="I53" s="18"/>
      <c r="J53" s="69"/>
      <c r="K53" s="69"/>
      <c r="L53" s="69"/>
      <c r="M53" s="69"/>
      <c r="N53" s="69"/>
      <c r="O53" s="69"/>
      <c r="P53" s="69"/>
      <c r="Q53" s="10"/>
      <c r="R53" s="70"/>
    </row>
    <row r="54" spans="2:18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2:18" x14ac:dyDescent="0.2">
      <c r="B55" s="5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">
      <c r="B56" s="2"/>
      <c r="C56" s="4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">
      <c r="B57" s="2"/>
      <c r="C57" s="4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">
      <c r="B58" s="55"/>
      <c r="C58" s="55"/>
      <c r="D58" s="5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3"/>
      <c r="R58" s="2"/>
    </row>
    <row r="59" spans="2:18" x14ac:dyDescent="0.2">
      <c r="C59" s="4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R59" s="43"/>
    </row>
    <row r="60" spans="2:18" x14ac:dyDescent="0.2">
      <c r="C60" s="4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43"/>
    </row>
    <row r="61" spans="2:18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</sheetData>
  <mergeCells count="12">
    <mergeCell ref="B3:R3"/>
    <mergeCell ref="B4:R4"/>
    <mergeCell ref="B5:R5"/>
    <mergeCell ref="C7:Q7"/>
    <mergeCell ref="C8:H8"/>
    <mergeCell ref="J8:O8"/>
    <mergeCell ref="C38:G38"/>
    <mergeCell ref="B33:R33"/>
    <mergeCell ref="B34:R34"/>
    <mergeCell ref="B35:R35"/>
    <mergeCell ref="C37:Q37"/>
    <mergeCell ref="J38:N3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RESUMEN DE PAGADOS </vt:lpstr>
      <vt:lpstr>2. COMPR DEV 30%</vt:lpstr>
      <vt:lpstr>3. COMP VR</vt:lpstr>
      <vt:lpstr>4. COMP VP</vt:lpstr>
      <vt:lpstr>5.ESTADÍSTICAS POR REPORTE</vt:lpstr>
      <vt:lpstr>6. REPORTADOS F+ DETALLE-SEG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2021-05-24T16:01:38Z</cp:lastPrinted>
  <dcterms:created xsi:type="dcterms:W3CDTF">2002-04-29T19:59:45Z</dcterms:created>
  <dcterms:modified xsi:type="dcterms:W3CDTF">2021-06-01T20:07:13Z</dcterms:modified>
</cp:coreProperties>
</file>