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SEGUROS AÑO 2019\"/>
    </mc:Choice>
  </mc:AlternateContent>
  <bookViews>
    <workbookView xWindow="0" yWindow="0" windowWidth="19200" windowHeight="11595" tabRatio="601" activeTab="1"/>
  </bookViews>
  <sheets>
    <sheet name="1. RESUMEN DE PAGADOS " sheetId="4" r:id="rId1"/>
    <sheet name="2. RESUMEN PAG VRS APORTES" sheetId="5" r:id="rId2"/>
    <sheet name="3. ESTADÍSTICAS" sheetId="6" state="hidden" r:id="rId3"/>
    <sheet name="8. REPORTADOS F+ DETALLE-SEG" sheetId="11" r:id="rId4"/>
    <sheet name="9. FALLECIDOS PR SEXO " sheetId="12" r:id="rId5"/>
    <sheet name="10. FALLECIDOS POR DEPAR -SEXO" sheetId="13" r:id="rId6"/>
    <sheet name="11.COMP PAGOS DE SEGUROS 18-19" sheetId="14" state="hidden" r:id="rId7"/>
    <sheet name="12.EST COMPARATIVA 18-19" sheetId="15" state="hidden" r:id="rId8"/>
    <sheet name="TOTAL APORTES" sheetId="19" state="hidden" r:id="rId9"/>
    <sheet name="4. RESUMEN DEV 30%" sheetId="7" r:id="rId10"/>
    <sheet name="5. RESUMEN VR" sheetId="8" r:id="rId11"/>
    <sheet name="6. RESUMEN VP" sheetId="9" r:id="rId12"/>
  </sheets>
  <externalReferences>
    <externalReference r:id="rId13"/>
  </externalReferences>
  <calcPr calcId="152511"/>
</workbook>
</file>

<file path=xl/calcChain.xml><?xml version="1.0" encoding="utf-8"?>
<calcChain xmlns="http://schemas.openxmlformats.org/spreadsheetml/2006/main">
  <c r="I32" i="15" l="1"/>
  <c r="U35" i="15"/>
  <c r="O8" i="15" l="1"/>
  <c r="O7" i="15"/>
  <c r="O6" i="15"/>
  <c r="V29" i="15" l="1"/>
  <c r="I37" i="15"/>
  <c r="I36" i="15"/>
  <c r="Q29" i="15"/>
  <c r="O15" i="15"/>
  <c r="O10" i="15"/>
  <c r="I28" i="15"/>
  <c r="I19" i="15"/>
  <c r="I24" i="15"/>
  <c r="I17" i="15"/>
  <c r="I14" i="15"/>
  <c r="I23" i="15"/>
  <c r="I11" i="15"/>
  <c r="F10" i="15"/>
  <c r="F9" i="15"/>
  <c r="F8" i="15"/>
  <c r="F6" i="15"/>
  <c r="C21" i="15"/>
  <c r="C19" i="15"/>
  <c r="C17" i="15"/>
  <c r="C13" i="15"/>
  <c r="C11" i="15"/>
  <c r="C10" i="15"/>
  <c r="C6" i="15"/>
  <c r="U42" i="15"/>
  <c r="U40" i="15"/>
  <c r="U34" i="15"/>
  <c r="T11" i="15"/>
  <c r="T10" i="15"/>
  <c r="T6" i="15"/>
  <c r="O19" i="15"/>
  <c r="O14" i="15"/>
  <c r="O13" i="15"/>
  <c r="L10" i="15"/>
  <c r="L9" i="15"/>
  <c r="L8" i="15"/>
  <c r="L7" i="15"/>
  <c r="L6" i="15"/>
  <c r="I13" i="15" l="1"/>
  <c r="I16" i="15"/>
  <c r="I18" i="15"/>
  <c r="I22" i="15"/>
  <c r="I26" i="15"/>
  <c r="I6" i="15"/>
  <c r="I21" i="15"/>
  <c r="I15" i="15"/>
  <c r="I12" i="15"/>
  <c r="I8" i="15"/>
  <c r="F13" i="15"/>
  <c r="F7" i="15"/>
  <c r="C16" i="15"/>
  <c r="C14" i="15"/>
  <c r="C12" i="15"/>
  <c r="C9" i="15"/>
  <c r="C8" i="15"/>
  <c r="C7" i="15"/>
  <c r="C20" i="13"/>
  <c r="D26" i="13"/>
  <c r="C26" i="13"/>
  <c r="D20" i="13" l="1"/>
  <c r="C19" i="13"/>
  <c r="D19" i="13"/>
  <c r="C17" i="13"/>
  <c r="D16" i="13"/>
  <c r="D22" i="13"/>
  <c r="D25" i="13"/>
  <c r="D21" i="13"/>
  <c r="C18" i="13"/>
  <c r="C16" i="13"/>
  <c r="D18" i="13"/>
  <c r="C15" i="13"/>
  <c r="D23" i="13"/>
  <c r="D29" i="13"/>
  <c r="P18" i="14"/>
  <c r="Z18" i="14"/>
  <c r="V18" i="14"/>
  <c r="T18" i="14"/>
  <c r="R18" i="14"/>
  <c r="N18" i="14"/>
  <c r="F18" i="14"/>
  <c r="H18" i="14"/>
  <c r="J18" i="14"/>
  <c r="J17" i="14"/>
  <c r="L18" i="14"/>
  <c r="D18" i="14"/>
  <c r="B18" i="14"/>
  <c r="E24" i="12"/>
  <c r="E25" i="12"/>
  <c r="E26" i="12"/>
  <c r="E23" i="12"/>
  <c r="D23" i="12"/>
  <c r="C23" i="12"/>
  <c r="I18" i="11"/>
  <c r="C18" i="11"/>
  <c r="G18" i="6"/>
  <c r="G10" i="6"/>
  <c r="G8" i="6"/>
  <c r="G16" i="6"/>
  <c r="G19" i="6"/>
  <c r="G21" i="6"/>
  <c r="G14" i="6"/>
  <c r="G11" i="6"/>
  <c r="G7" i="6"/>
  <c r="G17" i="6"/>
  <c r="R21" i="5" l="1"/>
  <c r="G22" i="9" l="1"/>
  <c r="G20" i="8"/>
  <c r="G22" i="7"/>
  <c r="H36" i="4" l="1"/>
  <c r="G36" i="4"/>
  <c r="H18" i="4" l="1"/>
  <c r="M18" i="4"/>
  <c r="L18" i="4" l="1"/>
  <c r="F20" i="8" l="1"/>
  <c r="E20" i="8"/>
  <c r="D20" i="8"/>
  <c r="C20" i="8"/>
  <c r="F22" i="9"/>
  <c r="E22" i="9"/>
  <c r="D22" i="9"/>
  <c r="C22" i="9"/>
  <c r="F22" i="7"/>
  <c r="E22" i="7"/>
  <c r="D22" i="7"/>
  <c r="C22" i="7"/>
  <c r="N17" i="5" l="1"/>
  <c r="D8" i="19"/>
  <c r="D9" i="19"/>
  <c r="D10" i="19"/>
  <c r="D11" i="19"/>
  <c r="D12" i="19"/>
  <c r="D13" i="19"/>
  <c r="M17" i="5"/>
  <c r="O17" i="5" s="1"/>
  <c r="F35" i="19" l="1"/>
  <c r="F34" i="19"/>
  <c r="F33" i="19"/>
  <c r="F32" i="19"/>
  <c r="F31" i="19"/>
  <c r="F30" i="19"/>
  <c r="F29" i="19"/>
  <c r="F28" i="19"/>
  <c r="H29" i="19"/>
  <c r="H30" i="19"/>
  <c r="H31" i="19"/>
  <c r="H32" i="19"/>
  <c r="H33" i="19"/>
  <c r="H28" i="19"/>
  <c r="F17" i="5"/>
  <c r="E17" i="5"/>
  <c r="D17" i="5"/>
  <c r="C17" i="5"/>
  <c r="G18" i="4"/>
  <c r="F18" i="4"/>
  <c r="E18" i="4"/>
  <c r="D18" i="4"/>
  <c r="C18" i="4"/>
  <c r="B18" i="4"/>
  <c r="G17" i="5" l="1"/>
  <c r="C21" i="19"/>
  <c r="A21" i="19"/>
  <c r="F27" i="19"/>
  <c r="F26" i="19"/>
  <c r="H26" i="19" s="1"/>
  <c r="F25" i="19"/>
  <c r="H25" i="19"/>
  <c r="H27" i="19"/>
  <c r="H34" i="19"/>
  <c r="H35" i="19"/>
  <c r="H36" i="19"/>
  <c r="H37" i="19"/>
  <c r="H38" i="19"/>
  <c r="H39" i="19"/>
  <c r="H24" i="19"/>
  <c r="F24" i="19"/>
  <c r="H23" i="19"/>
  <c r="F23" i="19"/>
  <c r="H22" i="19"/>
  <c r="F22" i="19"/>
  <c r="H21" i="19"/>
  <c r="F21" i="19"/>
  <c r="H20" i="19"/>
  <c r="F20" i="19"/>
  <c r="H19" i="19"/>
  <c r="F19" i="19"/>
  <c r="H18" i="19"/>
  <c r="F18" i="19"/>
  <c r="B17" i="5"/>
  <c r="J18" i="4"/>
  <c r="J17" i="5" s="1"/>
  <c r="C20" i="19" l="1"/>
  <c r="A20" i="19"/>
  <c r="H17" i="19"/>
  <c r="F17" i="19"/>
  <c r="H16" i="19"/>
  <c r="F16" i="19"/>
  <c r="H15" i="19"/>
  <c r="F15" i="19"/>
  <c r="H14" i="19"/>
  <c r="F14" i="19"/>
  <c r="H13" i="19"/>
  <c r="F13" i="19"/>
  <c r="H12" i="19"/>
  <c r="F12" i="19"/>
  <c r="F11" i="19"/>
  <c r="F10" i="19"/>
  <c r="H9" i="19"/>
  <c r="H10" i="19"/>
  <c r="H11" i="19"/>
  <c r="F9" i="19"/>
  <c r="C22" i="19"/>
  <c r="K18" i="4" s="1"/>
  <c r="K17" i="5" s="1"/>
  <c r="L17" i="5" s="1"/>
  <c r="A19" i="19"/>
  <c r="C19" i="19" s="1"/>
  <c r="F8" i="19"/>
  <c r="F7" i="19"/>
  <c r="F6" i="19"/>
  <c r="F5" i="19"/>
  <c r="F4" i="19"/>
  <c r="F3" i="19"/>
  <c r="S18" i="4"/>
  <c r="U18" i="4" s="1"/>
  <c r="AC18" i="14" l="1"/>
  <c r="AC19" i="14"/>
  <c r="AC20" i="14"/>
  <c r="AC21" i="14"/>
  <c r="AB18" i="14"/>
  <c r="AB19" i="14"/>
  <c r="AB20" i="14"/>
  <c r="AB21" i="14"/>
  <c r="AC17" i="14"/>
  <c r="Z17" i="14"/>
  <c r="Z22" i="14" s="1"/>
  <c r="AA22" i="14"/>
  <c r="L17" i="4" l="1"/>
  <c r="H17" i="4" l="1"/>
  <c r="F21" i="9"/>
  <c r="E29" i="13" l="1"/>
  <c r="D30" i="13"/>
  <c r="C30" i="13"/>
  <c r="E22" i="12"/>
  <c r="F21" i="7" l="1"/>
  <c r="E21" i="7"/>
  <c r="D21" i="7"/>
  <c r="C21" i="7"/>
  <c r="E21" i="9"/>
  <c r="D21" i="9"/>
  <c r="C21" i="9"/>
  <c r="F19" i="8"/>
  <c r="E19" i="8"/>
  <c r="D19" i="8"/>
  <c r="C19" i="8"/>
  <c r="M17" i="4" l="1"/>
  <c r="C17" i="4" l="1"/>
  <c r="Q21" i="5"/>
  <c r="L15" i="5"/>
  <c r="P21" i="5"/>
  <c r="E16" i="5"/>
  <c r="R22" i="4"/>
  <c r="S17" i="4"/>
  <c r="Q22" i="4"/>
  <c r="V17" i="14" l="1"/>
  <c r="T17" i="14"/>
  <c r="N17" i="14"/>
  <c r="L17" i="14"/>
  <c r="H17" i="14"/>
  <c r="F17" i="14"/>
  <c r="D17" i="14"/>
  <c r="B17" i="14"/>
  <c r="F16" i="5"/>
  <c r="D16" i="5"/>
  <c r="C16" i="5"/>
  <c r="B16" i="5"/>
  <c r="H3" i="19"/>
  <c r="H8" i="19"/>
  <c r="H7" i="19"/>
  <c r="H6" i="19"/>
  <c r="H5" i="19"/>
  <c r="H4" i="19"/>
  <c r="G16" i="5" l="1"/>
  <c r="H40" i="19"/>
  <c r="T17" i="4" l="1"/>
  <c r="I18" i="4"/>
  <c r="H16" i="5"/>
  <c r="I16" i="5" s="1"/>
  <c r="G17" i="4"/>
  <c r="D17" i="4"/>
  <c r="T18" i="4" l="1"/>
  <c r="H17" i="5"/>
  <c r="I17" i="5" s="1"/>
  <c r="M16" i="5"/>
  <c r="D3" i="19"/>
  <c r="D4" i="19"/>
  <c r="D5" i="19"/>
  <c r="D6" i="19"/>
  <c r="D7" i="19"/>
  <c r="D14" i="19" l="1"/>
  <c r="O16" i="5"/>
  <c r="R17" i="14"/>
  <c r="AB17" i="14" s="1"/>
  <c r="N15" i="5"/>
  <c r="O15" i="5" s="1"/>
  <c r="T16" i="4"/>
  <c r="I16" i="4"/>
  <c r="K16" i="4"/>
  <c r="K22" i="4" s="1"/>
  <c r="N16" i="11"/>
  <c r="H16" i="11"/>
  <c r="P16" i="11" s="1"/>
  <c r="I38" i="15"/>
  <c r="U29" i="15"/>
  <c r="T29" i="15"/>
  <c r="T7" i="15"/>
  <c r="O16" i="15"/>
  <c r="O12" i="15"/>
  <c r="O29" i="15" s="1"/>
  <c r="L29" i="15"/>
  <c r="I20" i="15"/>
  <c r="C29" i="15"/>
  <c r="AC16" i="14"/>
  <c r="T16" i="14"/>
  <c r="T22" i="14" s="1"/>
  <c r="R16" i="14"/>
  <c r="P16" i="14"/>
  <c r="P22" i="14" s="1"/>
  <c r="N16" i="14"/>
  <c r="N22" i="14" s="1"/>
  <c r="L16" i="14"/>
  <c r="M16" i="4"/>
  <c r="L16" i="4"/>
  <c r="S16" i="4" s="1"/>
  <c r="H16" i="4"/>
  <c r="G16" i="4"/>
  <c r="F16" i="4"/>
  <c r="E16" i="4"/>
  <c r="D16" i="4"/>
  <c r="C16" i="4"/>
  <c r="B16" i="4"/>
  <c r="G15" i="5"/>
  <c r="I15" i="5" s="1"/>
  <c r="E15" i="5"/>
  <c r="E14" i="5"/>
  <c r="G14" i="5" s="1"/>
  <c r="I14" i="5" s="1"/>
  <c r="E13" i="5"/>
  <c r="N36" i="6"/>
  <c r="K36" i="6"/>
  <c r="C36" i="6"/>
  <c r="G31" i="6"/>
  <c r="G26" i="6"/>
  <c r="N22" i="6"/>
  <c r="K22" i="6"/>
  <c r="I22" i="6"/>
  <c r="G22" i="6"/>
  <c r="E22" i="6"/>
  <c r="C22" i="6"/>
  <c r="E28" i="13"/>
  <c r="E27" i="13"/>
  <c r="E26" i="13"/>
  <c r="E25" i="13"/>
  <c r="E24" i="13"/>
  <c r="E23" i="13"/>
  <c r="E22" i="13"/>
  <c r="E21" i="13"/>
  <c r="E20" i="13"/>
  <c r="E19" i="13"/>
  <c r="E18" i="13"/>
  <c r="E17" i="13"/>
  <c r="E15" i="13"/>
  <c r="C27" i="12"/>
  <c r="E21" i="12"/>
  <c r="F20" i="9"/>
  <c r="E20" i="9"/>
  <c r="D20" i="9"/>
  <c r="F18" i="8"/>
  <c r="E18" i="8"/>
  <c r="D18" i="8"/>
  <c r="F20" i="7"/>
  <c r="E20" i="7"/>
  <c r="D20" i="7"/>
  <c r="F29" i="15"/>
  <c r="AB15" i="14"/>
  <c r="N14" i="5"/>
  <c r="O14" i="5" s="1"/>
  <c r="T15" i="4"/>
  <c r="I15" i="4"/>
  <c r="C22" i="11"/>
  <c r="C26" i="9"/>
  <c r="F19" i="9"/>
  <c r="E19" i="9"/>
  <c r="D19" i="9"/>
  <c r="F18" i="9"/>
  <c r="E18" i="9"/>
  <c r="D18" i="9"/>
  <c r="F17" i="9"/>
  <c r="E17" i="9"/>
  <c r="D17" i="9"/>
  <c r="F16" i="9"/>
  <c r="F26" i="9" s="1"/>
  <c r="E16" i="9"/>
  <c r="E26" i="9" s="1"/>
  <c r="D16" i="9"/>
  <c r="D26" i="9"/>
  <c r="C10" i="4"/>
  <c r="D10" i="4"/>
  <c r="E10" i="4"/>
  <c r="G10" i="4"/>
  <c r="G22" i="4" s="1"/>
  <c r="H10" i="4"/>
  <c r="L10" i="4"/>
  <c r="M10" i="4"/>
  <c r="S10" i="4" s="1"/>
  <c r="T10" i="4"/>
  <c r="H11" i="4"/>
  <c r="I11" i="4"/>
  <c r="I22" i="4" s="1"/>
  <c r="L11" i="4"/>
  <c r="M11" i="4"/>
  <c r="S11" i="4" s="1"/>
  <c r="T11" i="4"/>
  <c r="G12" i="4"/>
  <c r="H12" i="4"/>
  <c r="I12" i="4"/>
  <c r="L12" i="4"/>
  <c r="L22" i="4" s="1"/>
  <c r="M12" i="4"/>
  <c r="S12" i="4"/>
  <c r="T12" i="4"/>
  <c r="B13" i="4"/>
  <c r="B22" i="4" s="1"/>
  <c r="C13" i="4"/>
  <c r="D13" i="4"/>
  <c r="G13" i="4"/>
  <c r="H13" i="4"/>
  <c r="I13" i="4"/>
  <c r="L13" i="4"/>
  <c r="M13" i="4"/>
  <c r="S13" i="4" s="1"/>
  <c r="T13" i="4"/>
  <c r="B14" i="4"/>
  <c r="C14" i="4"/>
  <c r="C22" i="4" s="1"/>
  <c r="D14" i="4"/>
  <c r="E14" i="4"/>
  <c r="E22" i="4" s="1"/>
  <c r="G14" i="4"/>
  <c r="H14" i="4"/>
  <c r="I14" i="4"/>
  <c r="L14" i="4"/>
  <c r="M14" i="4"/>
  <c r="S14" i="4" s="1"/>
  <c r="T14" i="4"/>
  <c r="B15" i="4"/>
  <c r="C15" i="4"/>
  <c r="D15" i="4"/>
  <c r="E15" i="4"/>
  <c r="F15" i="4"/>
  <c r="G15" i="4"/>
  <c r="H15" i="4"/>
  <c r="L15" i="4"/>
  <c r="M15" i="4"/>
  <c r="S15" i="4"/>
  <c r="D22" i="4"/>
  <c r="F22" i="4"/>
  <c r="H22" i="4"/>
  <c r="J22" i="4"/>
  <c r="N22" i="4"/>
  <c r="O22" i="4"/>
  <c r="P22" i="4"/>
  <c r="F17" i="8"/>
  <c r="E17" i="8"/>
  <c r="D17" i="8"/>
  <c r="F16" i="8"/>
  <c r="E16" i="8"/>
  <c r="D16" i="8"/>
  <c r="F15" i="8"/>
  <c r="E15" i="8"/>
  <c r="D15" i="8"/>
  <c r="F14" i="8"/>
  <c r="E14" i="8"/>
  <c r="D14" i="8"/>
  <c r="F12" i="8"/>
  <c r="F24" i="8"/>
  <c r="E12" i="8"/>
  <c r="E24" i="8"/>
  <c r="D12" i="8"/>
  <c r="D24" i="8"/>
  <c r="C12" i="8"/>
  <c r="C24" i="8"/>
  <c r="F19" i="7"/>
  <c r="E19" i="7"/>
  <c r="D19" i="7"/>
  <c r="F18" i="7"/>
  <c r="E18" i="7"/>
  <c r="D18" i="7"/>
  <c r="F17" i="7"/>
  <c r="E17" i="7"/>
  <c r="D17" i="7"/>
  <c r="F16" i="7"/>
  <c r="E16" i="7"/>
  <c r="D16" i="7"/>
  <c r="F14" i="7"/>
  <c r="F26" i="7"/>
  <c r="E14" i="7"/>
  <c r="E26" i="7"/>
  <c r="D14" i="7"/>
  <c r="D26" i="7"/>
  <c r="C14" i="7"/>
  <c r="C26" i="7"/>
  <c r="E20" i="12"/>
  <c r="AB14" i="14"/>
  <c r="D27" i="12"/>
  <c r="E19" i="12"/>
  <c r="E18" i="12"/>
  <c r="E17" i="12"/>
  <c r="E16" i="12"/>
  <c r="E27" i="12"/>
  <c r="E15" i="12"/>
  <c r="D14" i="11"/>
  <c r="J14" i="11"/>
  <c r="E14" i="11"/>
  <c r="H13" i="5"/>
  <c r="H12" i="5"/>
  <c r="N13" i="5"/>
  <c r="O13" i="5" s="1"/>
  <c r="G13" i="5"/>
  <c r="O12" i="5"/>
  <c r="N12" i="5"/>
  <c r="E12" i="5"/>
  <c r="G12" i="5" s="1"/>
  <c r="I12" i="5" s="1"/>
  <c r="AB13" i="14"/>
  <c r="K13" i="11"/>
  <c r="J13" i="11"/>
  <c r="G13" i="11"/>
  <c r="E13" i="11"/>
  <c r="E22" i="11" s="1"/>
  <c r="D13" i="11"/>
  <c r="E11" i="5"/>
  <c r="G11" i="5" s="1"/>
  <c r="E10" i="5"/>
  <c r="E9" i="5"/>
  <c r="H12" i="11"/>
  <c r="I9" i="15"/>
  <c r="I29" i="15" s="1"/>
  <c r="AB12" i="14"/>
  <c r="AB11" i="14"/>
  <c r="O11" i="5"/>
  <c r="O10" i="5"/>
  <c r="G10" i="5"/>
  <c r="I10" i="5" s="1"/>
  <c r="G9" i="5"/>
  <c r="K11" i="11"/>
  <c r="K22" i="11"/>
  <c r="M11" i="11"/>
  <c r="J11" i="11"/>
  <c r="N11" i="11" s="1"/>
  <c r="D11" i="11"/>
  <c r="H11" i="11" s="1"/>
  <c r="E11" i="11"/>
  <c r="G11" i="11"/>
  <c r="G22" i="11" s="1"/>
  <c r="Q44" i="15"/>
  <c r="O44" i="15"/>
  <c r="D44" i="15"/>
  <c r="C44" i="15"/>
  <c r="J38" i="15"/>
  <c r="P29" i="15"/>
  <c r="J29" i="15"/>
  <c r="G29" i="15"/>
  <c r="D29" i="15"/>
  <c r="M9" i="15"/>
  <c r="M8" i="15"/>
  <c r="M7" i="15"/>
  <c r="M29" i="15"/>
  <c r="Y22" i="14"/>
  <c r="X22" i="14"/>
  <c r="W22" i="14"/>
  <c r="V22" i="14"/>
  <c r="U22" i="14"/>
  <c r="S22" i="14"/>
  <c r="Q22" i="14"/>
  <c r="O22" i="14"/>
  <c r="M22" i="14"/>
  <c r="K22" i="14"/>
  <c r="J22" i="14"/>
  <c r="I22" i="14"/>
  <c r="H22" i="14"/>
  <c r="G22" i="14"/>
  <c r="F22" i="14"/>
  <c r="E22" i="14"/>
  <c r="D22" i="14"/>
  <c r="C22" i="14"/>
  <c r="B22" i="14"/>
  <c r="AC15" i="14"/>
  <c r="AC14" i="14"/>
  <c r="AC13" i="14"/>
  <c r="AC12" i="14"/>
  <c r="AC11" i="14"/>
  <c r="AC10" i="14"/>
  <c r="AC22" i="14" s="1"/>
  <c r="AB10" i="14"/>
  <c r="M22" i="11"/>
  <c r="L22" i="11"/>
  <c r="I22" i="11"/>
  <c r="F22" i="11"/>
  <c r="O21" i="11"/>
  <c r="N21" i="11"/>
  <c r="H21" i="11"/>
  <c r="O20" i="11"/>
  <c r="N20" i="11"/>
  <c r="P20" i="11" s="1"/>
  <c r="H20" i="11"/>
  <c r="O19" i="11"/>
  <c r="N19" i="11"/>
  <c r="H19" i="11"/>
  <c r="P19" i="11"/>
  <c r="O18" i="11"/>
  <c r="N18" i="11"/>
  <c r="H18" i="11"/>
  <c r="O17" i="11"/>
  <c r="N17" i="11"/>
  <c r="H17" i="11"/>
  <c r="O16" i="11"/>
  <c r="O15" i="11"/>
  <c r="N15" i="11"/>
  <c r="P15" i="11" s="1"/>
  <c r="H15" i="11"/>
  <c r="O14" i="11"/>
  <c r="N14" i="11"/>
  <c r="O13" i="11"/>
  <c r="N13" i="11"/>
  <c r="P13" i="11" s="1"/>
  <c r="O12" i="11"/>
  <c r="N12" i="11"/>
  <c r="P12" i="11" s="1"/>
  <c r="O11" i="11"/>
  <c r="O10" i="11"/>
  <c r="N10" i="11"/>
  <c r="H10" i="11"/>
  <c r="P10" i="11" s="1"/>
  <c r="P21" i="11"/>
  <c r="M21" i="5"/>
  <c r="K21" i="5"/>
  <c r="J21" i="5"/>
  <c r="F21" i="5"/>
  <c r="D21" i="5"/>
  <c r="C21" i="5"/>
  <c r="B21" i="5"/>
  <c r="O9" i="5"/>
  <c r="I9" i="5"/>
  <c r="H13" i="11"/>
  <c r="H14" i="11"/>
  <c r="P14" i="11"/>
  <c r="P18" i="11" l="1"/>
  <c r="O22" i="11"/>
  <c r="L21" i="5"/>
  <c r="R22" i="14"/>
  <c r="AB16" i="14"/>
  <c r="AB22" i="14" s="1"/>
  <c r="P17" i="11"/>
  <c r="S22" i="4"/>
  <c r="E21" i="5"/>
  <c r="N21" i="5"/>
  <c r="O21" i="5" s="1"/>
  <c r="I13" i="5"/>
  <c r="T22" i="4"/>
  <c r="L22" i="14"/>
  <c r="H21" i="5"/>
  <c r="N22" i="11"/>
  <c r="P11" i="11"/>
  <c r="P22" i="11" s="1"/>
  <c r="I11" i="5"/>
  <c r="G21" i="5"/>
  <c r="D22" i="11"/>
  <c r="J22" i="11"/>
  <c r="H22" i="11"/>
  <c r="M22" i="4"/>
  <c r="E16" i="13"/>
  <c r="E30" i="13" s="1"/>
  <c r="I21" i="5" l="1"/>
</calcChain>
</file>

<file path=xl/sharedStrings.xml><?xml version="1.0" encoding="utf-8"?>
<sst xmlns="http://schemas.openxmlformats.org/spreadsheetml/2006/main" count="590" uniqueCount="330">
  <si>
    <t>TOTAL</t>
  </si>
  <si>
    <t>TOTAL GENERAL PAGADO EN SEGUROS</t>
  </si>
  <si>
    <t>PAGADO EN                       SEGURO DE VIDA OPCIONAL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</si>
  <si>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</si>
  <si>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</si>
  <si>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</si>
  <si>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</si>
  <si>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</si>
  <si>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</si>
  <si>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</si>
  <si>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</si>
  <si>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</si>
  <si>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>Nº DE BENEF. A LOS QUE SE LES HA PAGADO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</si>
  <si>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</si>
  <si>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</si>
  <si>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</si>
  <si>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</si>
  <si>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</si>
  <si>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</si>
  <si>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</si>
  <si>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</si>
  <si>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BENEFICIO DEL PAGO DEL 100% DEL SEGURO DE VIDA OPCIONAL AL ASEGURADO (EN VIDA) POR INCAPACIDAD TOTAL Y PERMANENTE</t>
  </si>
  <si>
    <t xml:space="preserve">         Dina Lariza Rivera Menjívar</t>
  </si>
  <si>
    <t xml:space="preserve">            Jefa Unidad de Seguros</t>
  </si>
  <si>
    <t>CUADRO RESUMEN DE SEGUROS DE VIDA OPCIONAL Y DOTAL, PAGADOS A BENEFICIARIOS Y COTIZACIONES REALIZADAS POR LOS ASEGURADOS</t>
  </si>
  <si>
    <t>ASEGURADOS FALLECIDOS DEL AÑO 2019 DE QUIENES HAN RECLAMADO PAGOS</t>
  </si>
  <si>
    <t>CASOS DE SEGUROS PEND.DE PAGO DE OTROS AÑOS, PAGADOS EN EL 2019</t>
  </si>
  <si>
    <t>No. 1</t>
  </si>
  <si>
    <t>DEVOLUCIÓN DEL 30% DE LAS CUOTAS APORTADAS POR HABER CUMPLIDO 70 AÑOS</t>
  </si>
  <si>
    <t>DOBLE PAGO POR MUERTE ACCIDENTAL O TRIPLE PAGO POR ACCIDENTE ESPECIAL</t>
  </si>
  <si>
    <t>TOTAL PAGADO POR LA CAJA</t>
  </si>
  <si>
    <t>PORCENTAJE DE LO APORTADO POR EL ASEGURADO CONTRA LO PAGADO POR LA CAJA</t>
  </si>
  <si>
    <t>SEGURO DE VIDA DOTAL</t>
  </si>
  <si>
    <t xml:space="preserve">ESTADÍSTICA  GENERAL SOBRE ASEGURADOS FALLECIDOS POR DEPARTAMENTO, RÉGIMEN, CAUSA DE SINIESTRO, EDAD,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</si>
  <si>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</si>
  <si>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</si>
  <si>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</si>
  <si>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</si>
  <si>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</si>
  <si>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</si>
  <si>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</si>
  <si>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</si>
  <si>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</si>
  <si>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</si>
  <si>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</si>
  <si>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</si>
  <si>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</si>
  <si>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</si>
  <si>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>29 a 49  AÑOS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</si>
  <si>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</si>
  <si>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</si>
  <si>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</si>
  <si>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</si>
  <si>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</si>
  <si>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</si>
  <si>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</si>
  <si>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</si>
  <si>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</si>
  <si>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</si>
  <si>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</si>
  <si>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</si>
  <si>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</si>
  <si>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</si>
  <si>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</si>
  <si>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</si>
  <si>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</si>
  <si>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</si>
  <si>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</si>
  <si>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</si>
  <si>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</si>
  <si>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</si>
  <si>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</si>
  <si>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OTROS</t>
  </si>
  <si>
    <t>REPORTADOS FALLECIDOS :</t>
  </si>
  <si>
    <t>BÁSICOS RECLAMADOS CON OTRO</t>
  </si>
  <si>
    <t xml:space="preserve">ENERO         </t>
  </si>
  <si>
    <t>TIPO DE SEGUROS :</t>
  </si>
  <si>
    <t>ENERO</t>
  </si>
  <si>
    <t xml:space="preserve">FEBRERO     </t>
  </si>
  <si>
    <t>FEBRERO</t>
  </si>
  <si>
    <t xml:space="preserve">MARZO        </t>
  </si>
  <si>
    <t xml:space="preserve">    FALLECIDOS POR GÉNERO</t>
  </si>
  <si>
    <t>MARZO</t>
  </si>
  <si>
    <t xml:space="preserve">ABRIL         </t>
  </si>
  <si>
    <t>HOMBRES</t>
  </si>
  <si>
    <t>ABRIL</t>
  </si>
  <si>
    <t xml:space="preserve">MAYO         </t>
  </si>
  <si>
    <t>MUJERES</t>
  </si>
  <si>
    <t>MAYO</t>
  </si>
  <si>
    <t xml:space="preserve">JUNIO         </t>
  </si>
  <si>
    <t>TOTAL FALLECIDOS</t>
  </si>
  <si>
    <t>JUNIO</t>
  </si>
  <si>
    <t xml:space="preserve">JULIO          </t>
  </si>
  <si>
    <t>JULIO</t>
  </si>
  <si>
    <t>SOLO SEPELIOS</t>
  </si>
  <si>
    <t xml:space="preserve">AGOSTO    </t>
  </si>
  <si>
    <t>AGOSTO</t>
  </si>
  <si>
    <t xml:space="preserve">SEPTIEMBRE  </t>
  </si>
  <si>
    <t xml:space="preserve">SEPTIEMBRE </t>
  </si>
  <si>
    <t xml:space="preserve">OCTUBRE     </t>
  </si>
  <si>
    <t>OCTUBRE</t>
  </si>
  <si>
    <t xml:space="preserve">NOVIEMBRE </t>
  </si>
  <si>
    <t>NOVIEMBRE</t>
  </si>
  <si>
    <t xml:space="preserve">DICIEMBRE   </t>
  </si>
  <si>
    <t>Jefa Unidad de Seguros</t>
  </si>
  <si>
    <t>DICIEMBRE</t>
  </si>
  <si>
    <t xml:space="preserve">TOTAL            </t>
  </si>
  <si>
    <t>RESUMEN SOBRE VALORES PAGADOS EN DEVOLUCION DEL 30%</t>
  </si>
  <si>
    <t xml:space="preserve"> DE LOS APORTES PAGADOS EN EL SEGURO DE VIDA OPCIONAL A LOS  </t>
  </si>
  <si>
    <t>ASEGURADOS QUE CUMPLIERON 70 AÑOS DE EDAD DURANTE EL AÑO 2019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</si>
  <si>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</si>
  <si>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</si>
  <si>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</si>
  <si>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</si>
  <si>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</si>
  <si>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</si>
  <si>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        Dina Lariza Rivera Menjívar</t>
  </si>
  <si>
    <t xml:space="preserve">       Jefa Unidad de Seguros</t>
  </si>
  <si>
    <t xml:space="preserve">RESUMEN SOBRE VALORES DE RESCATE </t>
  </si>
  <si>
    <t>DE SEGURO DE VIDA DOTAL PAGADOS AÑO 2019</t>
  </si>
  <si>
    <t xml:space="preserve">RESUMEN MENSUAL SOBRE PAGO DE SEGURO  </t>
  </si>
  <si>
    <t>DE VIDA DOTAL POR VENCIMIENTO DE PÓLIZA  AÑO 2019</t>
  </si>
  <si>
    <t>NÚMERO DE SEGUROS RECLAMADOS</t>
  </si>
  <si>
    <t>VALORES PAGADOS POR EL ASEGURADO</t>
  </si>
  <si>
    <t>CANTIDAD LÍQUIDA PAGADA</t>
  </si>
  <si>
    <t xml:space="preserve">JULIO  </t>
  </si>
  <si>
    <t xml:space="preserve">            Vo.Bo.</t>
  </si>
  <si>
    <t>Dina Lariza Rivera Menjívar</t>
  </si>
  <si>
    <t>SAN SALVADOR</t>
  </si>
  <si>
    <t>SANTA ANA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</si>
  <si>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</si>
  <si>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</si>
  <si>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</si>
  <si>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TOTAL </t>
  </si>
  <si>
    <t xml:space="preserve">         TIPOS DE SEGUROS RECLAMADOS</t>
  </si>
  <si>
    <t>HOMBRES FALLECIDOS</t>
  </si>
  <si>
    <t>OPCIONAL</t>
  </si>
  <si>
    <t>SEGUROS RECLAMADOS HOMBRES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</si>
  <si>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</si>
  <si>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</si>
  <si>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</si>
  <si>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</si>
  <si>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</si>
  <si>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ASEGURADOS REPORTADOS FALLECIDOS EN SEGURO</t>
  </si>
  <si>
    <t>DE VIDA BÁSICO, OPCIONAL, DOTAL Y SEGURO POR SEPELIO</t>
  </si>
  <si>
    <t xml:space="preserve">           Vo.Bo.</t>
  </si>
  <si>
    <t xml:space="preserve">                      Dina Lariza Rivera Menjívar</t>
  </si>
  <si>
    <t xml:space="preserve">                      Jefa Unidad de Seguros</t>
  </si>
  <si>
    <t>No.9</t>
  </si>
  <si>
    <t>DEPARTAMENTO DE FALLECIMIENTO</t>
  </si>
  <si>
    <t>LA LIBERTAD</t>
  </si>
  <si>
    <t>CUSCATLÁN</t>
  </si>
  <si>
    <t xml:space="preserve">                  Vo.Bo.:</t>
  </si>
  <si>
    <t xml:space="preserve">                               Dina Lariza Rivera Menjívar</t>
  </si>
  <si>
    <t xml:space="preserve">                               Jefa Unidad de Seguros</t>
  </si>
  <si>
    <t>RESUMEN SEGUROS DE VIDA APROBADOS POR EL CONSEJO DIRECTIVO</t>
  </si>
  <si>
    <t>PAGADOS POR FALLECIMIENTOS, PRESTACIONES Y BENEFICIOS, COMPARANDO AÑO 2018 Y 2019</t>
  </si>
  <si>
    <t>CASOS DE SEGUROS PEND.DE PAGO DE OTROS AÑOS, PAGADOS EN EL 2018</t>
  </si>
  <si>
    <t>PAGADO EN                      SEGURO  DE  VIDA BASICO AÑO 2019</t>
  </si>
  <si>
    <t>PAGADO EN                      SEGURO  DE  VIDA BASICO AÑO 2018</t>
  </si>
  <si>
    <t>PAGADO EN                       SEGURO DE VIDA OPCIONAL AÑO 2019</t>
  </si>
  <si>
    <t>PAGADO EN                       SEGURO DE VIDA OPCIONAL AÑO 2018</t>
  </si>
  <si>
    <t>PAGADO EN                       SEGURO DE VIDA DOTAL AÑO 2019</t>
  </si>
  <si>
    <t>PAGADO EN                       SEGURO DE VIDA DOTAL AÑO 2018</t>
  </si>
  <si>
    <t>PAGADO EN                    SEGURO   POR   SEPELIO AÑO 2018</t>
  </si>
  <si>
    <t>PAGO DEL 10% DE GASTOS FUNERARIOS  AÑO 2019</t>
  </si>
  <si>
    <t>PAGO DEL 10% DE GASTOS FUNERARIOS  AÑO 2018</t>
  </si>
  <si>
    <t>DOBLE PAGO POR MUERTE ACCIDENTAL AÑO 2019</t>
  </si>
  <si>
    <t>DOBLE PAGO POR MUERTE ACCIDENTAL AÑO 2018</t>
  </si>
  <si>
    <t xml:space="preserve">NOTA: </t>
  </si>
  <si>
    <t>Vo.Bo.:</t>
  </si>
  <si>
    <t xml:space="preserve"> Dina Lariza Rivera Menjívar</t>
  </si>
  <si>
    <t xml:space="preserve"> Jefa Unidad de Seguros</t>
  </si>
  <si>
    <t>D.A.</t>
  </si>
  <si>
    <t>ASFIXIA POR ESTRANGULACIÓN,AHORCA-MIENTO O SUMERSION</t>
  </si>
  <si>
    <t>A.A.</t>
  </si>
  <si>
    <t>CANCER DE MAMA</t>
  </si>
  <si>
    <t>D.P.</t>
  </si>
  <si>
    <t>CANCER DE COLON</t>
  </si>
  <si>
    <t>ADM .P.</t>
  </si>
  <si>
    <t>Cot. Vol</t>
  </si>
  <si>
    <t>CANCER DE PROSTATA</t>
  </si>
  <si>
    <t>CANCER DE OTRO TIPO</t>
  </si>
  <si>
    <t>HIPERTENSION ARTERIAL</t>
  </si>
  <si>
    <t>GUATEMALA</t>
  </si>
  <si>
    <t>U.S.A.</t>
  </si>
  <si>
    <t>DETALLE DE SEGUROS INDIVIDUALES</t>
  </si>
  <si>
    <t>AÑOS</t>
  </si>
  <si>
    <t xml:space="preserve">AÑOS </t>
  </si>
  <si>
    <t>SEPTIEMB</t>
  </si>
  <si>
    <t>No. 12</t>
  </si>
  <si>
    <t>SEGURO POR SEPELIO</t>
  </si>
  <si>
    <t>No. 5</t>
  </si>
  <si>
    <t>No. 6</t>
  </si>
  <si>
    <t>No. 10</t>
  </si>
  <si>
    <t>Nº DE DEVOLUCIONES DEL 30% RECLAMADAS</t>
  </si>
  <si>
    <t>No. 2</t>
  </si>
  <si>
    <t xml:space="preserve">CUADRO RESUMEN DE PAGOS DE SEGUROS DE VIDA A BENEFICIARIOS, DETALLANDO LOS APORTES RECIBIDOS DE LOS ASEGURADOS, </t>
  </si>
  <si>
    <t xml:space="preserve">EN CADA SEGURO; SEGURO DE VIDA OPCIONAL, SEGURO DE VIDA DOTAL Y SEGURO POR SEPELIO, DURANTE EL PERÍODO </t>
  </si>
  <si>
    <t>D.P.Inval</t>
  </si>
  <si>
    <t>SOLO SVB</t>
  </si>
  <si>
    <t>SOLO SVO</t>
  </si>
  <si>
    <t>SOLO SVD</t>
  </si>
  <si>
    <t>SOLO SxS</t>
  </si>
  <si>
    <t>SVO con otro Seguro</t>
  </si>
  <si>
    <t xml:space="preserve">           </t>
  </si>
  <si>
    <t>SVD con otro Seguro</t>
  </si>
  <si>
    <r>
      <rPr>
        <b/>
        <sz val="8"/>
        <rFont val="Arial"/>
        <family val="2"/>
      </rPr>
      <t>Doc Sub=</t>
    </r>
    <r>
      <rPr>
        <sz val="8"/>
        <rFont val="Arial"/>
        <family val="2"/>
      </rPr>
      <t xml:space="preserve">DOCENTE SUBSIDIADO, </t>
    </r>
    <r>
      <rPr>
        <b/>
        <sz val="8"/>
        <rFont val="Arial"/>
        <family val="2"/>
      </rPr>
      <t>DP INVAL</t>
    </r>
    <r>
      <rPr>
        <sz val="8"/>
        <rFont val="Arial"/>
        <family val="2"/>
      </rPr>
      <t xml:space="preserve">=DOCENTE PENSIONADO CON INVALIDEZ, </t>
    </r>
    <r>
      <rPr>
        <b/>
        <sz val="8"/>
        <rFont val="Arial"/>
        <family val="2"/>
      </rPr>
      <t>DOC INAC</t>
    </r>
    <r>
      <rPr>
        <sz val="8"/>
        <rFont val="Arial"/>
        <family val="2"/>
      </rPr>
      <t xml:space="preserve">= DOCENTE INACTIVO </t>
    </r>
  </si>
  <si>
    <t xml:space="preserve">ABREVIADURAS: </t>
  </si>
  <si>
    <r>
      <rPr>
        <b/>
        <sz val="8"/>
        <rFont val="Arial"/>
        <family val="2"/>
      </rPr>
      <t>DA</t>
    </r>
    <r>
      <rPr>
        <sz val="8"/>
        <rFont val="Arial"/>
        <family val="2"/>
      </rPr>
      <t xml:space="preserve">=DOCENTE ACTIVO;  </t>
    </r>
    <r>
      <rPr>
        <b/>
        <sz val="8"/>
        <rFont val="Arial"/>
        <family val="2"/>
      </rPr>
      <t>AA</t>
    </r>
    <r>
      <rPr>
        <sz val="8"/>
        <rFont val="Arial"/>
        <family val="2"/>
      </rPr>
      <t xml:space="preserve">=ADMINISTRATIVO ACTIVO; </t>
    </r>
    <r>
      <rPr>
        <b/>
        <sz val="8"/>
        <rFont val="Arial"/>
        <family val="2"/>
      </rPr>
      <t>DP</t>
    </r>
    <r>
      <rPr>
        <sz val="8"/>
        <rFont val="Arial"/>
        <family val="2"/>
      </rPr>
      <t xml:space="preserve">= DOCENTE PENSIONADO; </t>
    </r>
    <r>
      <rPr>
        <b/>
        <sz val="8"/>
        <rFont val="Arial"/>
        <family val="2"/>
      </rPr>
      <t>AP</t>
    </r>
    <r>
      <rPr>
        <sz val="8"/>
        <rFont val="Arial"/>
        <family val="2"/>
      </rPr>
      <t xml:space="preserve">= ADMINISTRATIVO PENSIONADO; </t>
    </r>
    <r>
      <rPr>
        <b/>
        <sz val="8"/>
        <rFont val="Arial"/>
        <family val="2"/>
      </rPr>
      <t>CV</t>
    </r>
    <r>
      <rPr>
        <sz val="8"/>
        <rFont val="Arial"/>
        <family val="2"/>
      </rPr>
      <t xml:space="preserve">=COTIZANTE VOLUNTARIO; </t>
    </r>
  </si>
  <si>
    <t>No. 3</t>
  </si>
  <si>
    <t>SEGUROS DE VIDA BÁSICOS RECLAMADOS POR MES:</t>
  </si>
  <si>
    <t>FALLECIDOS POR GÉNERO</t>
  </si>
  <si>
    <t>SHOCK HIPOVOLÉMICO</t>
  </si>
  <si>
    <r>
      <rPr>
        <b/>
        <sz val="8"/>
        <rFont val="Arial"/>
        <family val="2"/>
      </rPr>
      <t xml:space="preserve">SVB= </t>
    </r>
    <r>
      <rPr>
        <sz val="8"/>
        <rFont val="Arial"/>
        <family val="2"/>
      </rPr>
      <t xml:space="preserve">Seguro de Vida básico; </t>
    </r>
    <r>
      <rPr>
        <b/>
        <sz val="8"/>
        <rFont val="Arial"/>
        <family val="2"/>
      </rPr>
      <t>SVO</t>
    </r>
    <r>
      <rPr>
        <sz val="8"/>
        <rFont val="Arial"/>
        <family val="2"/>
      </rPr>
      <t xml:space="preserve">= Seguro de Vida Opcional; </t>
    </r>
    <r>
      <rPr>
        <b/>
        <sz val="8"/>
        <rFont val="Arial"/>
        <family val="2"/>
      </rPr>
      <t>SVD</t>
    </r>
    <r>
      <rPr>
        <sz val="8"/>
        <rFont val="Arial"/>
        <family val="2"/>
      </rPr>
      <t xml:space="preserve">= Seguro de Vida Dotal; </t>
    </r>
    <r>
      <rPr>
        <b/>
        <sz val="8"/>
        <rFont val="Arial"/>
        <family val="2"/>
      </rPr>
      <t>SxS</t>
    </r>
    <r>
      <rPr>
        <sz val="8"/>
        <rFont val="Arial"/>
        <family val="2"/>
      </rPr>
      <t>= Seguro por Sepelio.</t>
    </r>
  </si>
  <si>
    <t xml:space="preserve">ASEGURADOS REPORTADOS FALLECIDOS POR SEXO Y DEPARTAMENTO </t>
  </si>
  <si>
    <t>EN SEGUROS DE VIDA BÁSICO, OPCIONAL, DOTAL Y SEGURO POR SEPELIO</t>
  </si>
  <si>
    <t>SEPTIEM.</t>
  </si>
  <si>
    <t>TOTAL GENERAL FALLECIDOS</t>
  </si>
  <si>
    <t>TOTAL SEGUROS RECLAMADOS MUJERES</t>
  </si>
  <si>
    <t>TRAUMATISMOS O POLITRAUMATISMO HECHO DE TRANSITO U OTRO</t>
  </si>
  <si>
    <t xml:space="preserve">INFARTO AL MIOCARDIO </t>
  </si>
  <si>
    <t>PARO CARDIACO O ENFERMEDADES CARDIACAS</t>
  </si>
  <si>
    <t>D.P.INVAL TEMP</t>
  </si>
  <si>
    <t>D. INCAP. POR INV T y P</t>
  </si>
  <si>
    <r>
      <rPr>
        <b/>
        <sz val="8"/>
        <rFont val="Arial"/>
        <family val="2"/>
      </rPr>
      <t>Doc Sub=</t>
    </r>
    <r>
      <rPr>
        <sz val="8"/>
        <rFont val="Arial"/>
        <family val="2"/>
      </rPr>
      <t xml:space="preserve">DOCENTE SUBSIDIADO, </t>
    </r>
    <r>
      <rPr>
        <b/>
        <sz val="8"/>
        <rFont val="Arial"/>
        <family val="2"/>
      </rPr>
      <t>DP INVAL</t>
    </r>
    <r>
      <rPr>
        <sz val="8"/>
        <rFont val="Arial"/>
        <family val="2"/>
      </rPr>
      <t xml:space="preserve">=DOCENTE PENSIONADO POR INVALIDEZ, </t>
    </r>
    <r>
      <rPr>
        <b/>
        <sz val="8"/>
        <rFont val="Arial"/>
        <family val="2"/>
      </rPr>
      <t>D. INCAP. POR INV T y P</t>
    </r>
    <r>
      <rPr>
        <sz val="8"/>
        <rFont val="Arial"/>
        <family val="2"/>
      </rPr>
      <t xml:space="preserve">= DOCENTE INCAPACITADO POR INVALIDEZ TOTAL Y PERMANETE </t>
    </r>
  </si>
  <si>
    <t>TOTAL GENERAL PAGADO EN SEGUROS AÑO 2019</t>
  </si>
  <si>
    <t>TOTAL GENERAL PAGADO EN SEGUROS AÑO 2018</t>
  </si>
  <si>
    <t>PAGADO EN SEGURO   POR   SEPELIO AÑO 2019</t>
  </si>
  <si>
    <t>Beneficio del pago del 100% del seguro de vida opcional al asegurado (en vida) por incapacidad total y permanente año 2018</t>
  </si>
  <si>
    <t>Beneficio del pago del 100% del seguro de vida opcional al asegurado (en vida) por incapacidad total y permanente año 2019</t>
  </si>
  <si>
    <t>Marzo</t>
  </si>
  <si>
    <t>Oct.</t>
  </si>
  <si>
    <t>Nov.</t>
  </si>
  <si>
    <t>Dic.</t>
  </si>
  <si>
    <t>APORTES DE LOS ASEGURA-DOS PAGADOS A TRAVÉS DE CUOTAS EN EL SVO</t>
  </si>
  <si>
    <t>APORTES DE LOS ASEGURADOS PAGADOS A TRAVÉS DE CUOTAS EN EL SVD</t>
  </si>
  <si>
    <t>APORTES DE LOS ASEGURADOS PAGADOS A TRAVÉS DE CUOTAS EN EL SxS</t>
  </si>
  <si>
    <t>Vo. Bo.</t>
  </si>
  <si>
    <t>No. 9</t>
  </si>
  <si>
    <t>No. 11</t>
  </si>
  <si>
    <t>FALLECIDOS MUJERES RECLAMADOS EN 2019</t>
  </si>
  <si>
    <t>FALLECIDOS MUJERES RECLAMADOS EN 2018</t>
  </si>
  <si>
    <t>FALLECIDOS HOMBRES RECLAMADOS EN 2019</t>
  </si>
  <si>
    <t>FALLECIDOS HOMBRES RECLAMADOS EN 2018</t>
  </si>
  <si>
    <t>No. 4</t>
  </si>
  <si>
    <t>NEUMONÍA Y BRONCONEUMONÍA</t>
  </si>
  <si>
    <t>EE UU</t>
  </si>
  <si>
    <t>*Maricel</t>
  </si>
  <si>
    <t>NOTA:  Donde aparece "0" es porque no hubo reclamo; también donde aparece "-" es cantidad cero pero excel por estar trabajando con valores solo pone guion</t>
  </si>
  <si>
    <t>Donde aparece "0" es porque no hubo reclamo, también donde aparece"-" es cantidad cero pero excel por estar trabajando con valores solo pone guion</t>
  </si>
  <si>
    <t>ASEGURADOS FALLECIDOS DEL AÑO 2019 QUE HAN RECLAMADO Y PAGADOS</t>
  </si>
  <si>
    <t>FALLECIDOS HOMBRES</t>
  </si>
  <si>
    <t>NEUMONIA O BRONCONEUMONÍAS</t>
  </si>
  <si>
    <t>MUERTES POR ARMAS DE FUEGO, CORTOPUNZANTES U OTROS</t>
  </si>
  <si>
    <t xml:space="preserve">AL PAGAR INCAPACIDAD TOTAL Y PERMANENTE, APORTACIONES REALIZADAS POR LOS ASEGURADOS A TRAVÉS DE LAS CUOTAS MENSUALES EN  EL SVO </t>
  </si>
  <si>
    <t xml:space="preserve">APORTACIONES REALIZADAS POR LOS ASEGURADOS A TRAVÉS DE LAS CUOTAS MENSUALES EN EL SEGURO </t>
  </si>
  <si>
    <t>APORTACIONES REALIZADAS POR LOS ASEGURADOS A TRAVÉS DE LAS CUOTAS MENSUALES EN LOS DIFERENTES MONTOS DEL SVO</t>
  </si>
  <si>
    <t>CASOS DE SEGUROS PEND. DE PAGO DE OTROS AÑOS, PAGADOS EN EL 2019</t>
  </si>
  <si>
    <t>FALLECIDAS MUJERES</t>
  </si>
  <si>
    <t>SÍNDROMES</t>
  </si>
  <si>
    <t>ENFERMEDAD O EDEMAS PULMONARES</t>
  </si>
  <si>
    <t>EVENTO CEREBRO VASCULAR</t>
  </si>
  <si>
    <t xml:space="preserve">ENFERMEDAD Y FALLAS HEPÁTICAS O CIRROSIS </t>
  </si>
  <si>
    <t>HIPERTENSIÓN ARTERIAL</t>
  </si>
  <si>
    <t>ENFERMEDADES O INSUFICIENCIAS RENALES</t>
  </si>
  <si>
    <t>SHOCK SÉPTICOS</t>
  </si>
  <si>
    <t>VIRUS DE INMUNODEFICIENCIA HUMANA (VIH)</t>
  </si>
  <si>
    <t>TOTAL DE APORTES DE CUOTAS EN SVO Y SVD</t>
  </si>
  <si>
    <t>Nº DE BENEF. QUE SE LES HA PAGADO EN 2018</t>
  </si>
  <si>
    <t>Nº DE BENEF. QUE SE LES HA PAGADO EN 2019</t>
  </si>
  <si>
    <t>ENFERMEDADES O INSUFICIENC. RENALES</t>
  </si>
  <si>
    <t>ENFERMEDADES O EDEMAS PULMONARES</t>
  </si>
  <si>
    <t>*maricel</t>
  </si>
  <si>
    <t xml:space="preserve">  Jefa Unidad de Seguros</t>
  </si>
  <si>
    <t>TOTAL SEGUROS DE VIDA BÁSICOS RECLAMADOS POR MES</t>
  </si>
  <si>
    <t>TAMBIÉN RECLAMOS POR TIPO DE SEGURO</t>
  </si>
  <si>
    <t>70 a 99 AÑOS</t>
  </si>
  <si>
    <t>100 y más AÑOS</t>
  </si>
  <si>
    <t>*maricel.</t>
  </si>
  <si>
    <t>PAGADO EN SEGURO DE VIDA BÁSICO</t>
  </si>
  <si>
    <t>PAGADO EN SEGURO DE VIDA DOTAL</t>
  </si>
  <si>
    <t>PAGADO EN SEGURO POR SEPELIO</t>
  </si>
  <si>
    <t>ENFERMEDADES CARDIACAS; PAROS CARDIORESPIRATORIOS O RESPIRATORIOS; INFARTOS</t>
  </si>
  <si>
    <t>ASEGURADOS FALLECIDOS DEL AÑO 2018, QUIENES RECLAMARON PAGOS (PAGADOS)</t>
  </si>
  <si>
    <t>TUMOR CEREBRAL O ACCIDENTES CEREBRO VASCULARES</t>
  </si>
  <si>
    <t xml:space="preserve">ENFERMEDADES O FALLAS HEPATICAS; CIRROSIS </t>
  </si>
  <si>
    <t>SHOCK SÉPTICOS; SÉPSIS O SEPTICEMIAS</t>
  </si>
  <si>
    <t>100 o más años</t>
  </si>
  <si>
    <t>29 a 49  años</t>
  </si>
  <si>
    <t>50 a 59  años</t>
  </si>
  <si>
    <t>60 a 69  años</t>
  </si>
  <si>
    <t>70 A 99  años</t>
  </si>
  <si>
    <t>SVO con</t>
  </si>
  <si>
    <t>otro seguro</t>
  </si>
  <si>
    <t>SVD con</t>
  </si>
  <si>
    <t xml:space="preserve">Dina Lariza Rivera Menjívar </t>
  </si>
  <si>
    <t>ESTADOS UNIDOS</t>
  </si>
  <si>
    <r>
      <rPr>
        <b/>
        <sz val="9"/>
        <rFont val="Arial"/>
        <family val="2"/>
      </rPr>
      <t xml:space="preserve">NOTA: </t>
    </r>
    <r>
      <rPr>
        <sz val="9"/>
        <rFont val="Arial"/>
        <family val="2"/>
      </rPr>
      <t xml:space="preserve">Los asegurados reportados fallecidos de San Salvador, son 19, pero se agregaron </t>
    </r>
  </si>
  <si>
    <t xml:space="preserve">            2 reportes del sexo femenino, que fallecieron en EE UU, (las partidas de defunción </t>
  </si>
  <si>
    <t xml:space="preserve">            por Ley son asentadas en San Salvador).</t>
  </si>
  <si>
    <t>CÁNCER o TUMOR DE PÁNCREAS</t>
  </si>
  <si>
    <t>CÁNCER DE COLON</t>
  </si>
  <si>
    <t>CÁNCER DE OTRO TIPO</t>
  </si>
  <si>
    <t>TRAUMATISMOS O POLITRAUMATISMO EN HECHO DE TRANSITO U OTRO</t>
  </si>
  <si>
    <t xml:space="preserve">MUERTE NATURAL </t>
  </si>
  <si>
    <t xml:space="preserve">No. DE ASEGURADOS FALLECIDOS PAGADOS EN EL AÑO 2019 </t>
  </si>
  <si>
    <t>No. 8</t>
  </si>
  <si>
    <t>CANCER UTERINO o DE OVARIO</t>
  </si>
  <si>
    <t>PRIMA ANUAL</t>
  </si>
  <si>
    <t>AÑOS COT</t>
  </si>
  <si>
    <t>SPS</t>
  </si>
  <si>
    <t>svo</t>
  </si>
  <si>
    <t>cuota</t>
  </si>
  <si>
    <t>PAGADO EN SEGURO DECRECIENTE DE DEUDA</t>
  </si>
  <si>
    <t xml:space="preserve">SEGURO DECRECIENTE DE DEUDA </t>
  </si>
  <si>
    <t>APORTES DE LOS ASEGURADOS PAGADOS A TRAVÉS DE CUOTAS EN ELSDD</t>
  </si>
  <si>
    <t xml:space="preserve"> PAGO POR SEGURO DECRECIENTE DE DEUDA AÑO 2019</t>
  </si>
  <si>
    <t xml:space="preserve"> PAGO POR SEGURO DECRECIENTE DE DEUDA AÑO 2018</t>
  </si>
  <si>
    <t>SVD</t>
  </si>
  <si>
    <t>CORRESPONDIENTE AL PERIODO DEL DEL 01 DE ENERO AL 30 DE SEPTIEMBRE AÑO 2019</t>
  </si>
  <si>
    <t>San Salvador, 09 de octubre de 2019</t>
  </si>
  <si>
    <t>*Lr</t>
  </si>
  <si>
    <t>DEL 01 DE ENERO AL 30 DE SEPTIEMBRE AÑO 2019</t>
  </si>
  <si>
    <t>*LR</t>
  </si>
  <si>
    <t>*lr</t>
  </si>
  <si>
    <t>Y POR TIPOS DE SEGUROS DEL 01 DE ENERO AL 30 DE SEPTIEMBRE AÑO 2019</t>
  </si>
  <si>
    <t>DEL 01 DE ENERO AL 30 DE SEPTIEMBRE  AÑO 2019</t>
  </si>
  <si>
    <t>DEL 01 AL 30 DE SEPTIEMBRE AÑO 2019</t>
  </si>
  <si>
    <t>Y POR TIPOS DE SEGUROS COMPARANDO  ENERO A DICIEMBRE DEL AÑO 2018, CON EL AÑO COMPRENDIDO DEL 01 DE ENERO AL 30 DE SEPTIEMBRE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</si>
</sst>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_-&quot;$&quot;* #,##0.00_-;\-&quot;$&quot;* #,##0.00_-;_-&quot;$&quot;* &quot;-&quot;??_-;_-@_-"/>
  </numFmts>
  <fonts count="73" x14ac:knownFonts="1">
    <font>
      <sz val="10"/>
      <name val="Arial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9"/>
      <color indexed="63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7"/>
      <color indexed="63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sz val="9"/>
      <color indexed="8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indexed="8"/>
      <name val="Tahoma"/>
      <family val="2"/>
    </font>
    <font>
      <sz val="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Tahoma"/>
      <family val="2"/>
    </font>
    <font>
      <sz val="12"/>
      <color indexed="8"/>
      <name val="Arial"/>
      <family val="2"/>
    </font>
    <font>
      <b/>
      <sz val="12"/>
      <color indexed="8"/>
      <name val="Tahoma"/>
      <family val="2"/>
    </font>
    <font>
      <b/>
      <sz val="11"/>
      <name val="Arial"/>
      <family val="2"/>
    </font>
    <font>
      <b/>
      <sz val="6"/>
      <color indexed="10"/>
      <name val="Arial"/>
      <family val="2"/>
    </font>
    <font>
      <b/>
      <sz val="6"/>
      <color indexed="8"/>
      <name val="Arial"/>
      <family val="2"/>
    </font>
    <font>
      <sz val="6"/>
      <color indexed="63"/>
      <name val="Arial"/>
      <family val="2"/>
    </font>
    <font>
      <sz val="6"/>
      <color indexed="13"/>
      <name val="Arial"/>
      <family val="2"/>
    </font>
    <font>
      <sz val="6"/>
      <color indexed="8"/>
      <name val="Arial"/>
      <family val="2"/>
    </font>
    <font>
      <sz val="10"/>
      <color indexed="13"/>
      <name val="Arial"/>
      <family val="2"/>
    </font>
    <font>
      <b/>
      <sz val="7"/>
      <color indexed="8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8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Tahoma"/>
      <family val="2"/>
    </font>
    <font>
      <sz val="11"/>
      <name val="Museo Sans 300"/>
      <family val="3"/>
    </font>
    <font>
      <b/>
      <sz val="4.5"/>
      <name val="Arial"/>
      <family val="2"/>
    </font>
    <font>
      <sz val="7.5"/>
      <name val="Arial"/>
      <family val="2"/>
    </font>
    <font>
      <b/>
      <sz val="7.5"/>
      <color indexed="8"/>
      <name val="Arial"/>
      <family val="2"/>
    </font>
    <font>
      <b/>
      <sz val="7.5"/>
      <name val="Arial"/>
      <family val="2"/>
    </font>
    <font>
      <sz val="10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</fonts>
  <fills count="2">
    <fill>
      <patternFill patternType="none"/>
    </fill>
    <fill>
      <patternFill patternType="gray125"/>
    </fill>
  </fills>
  <borders count="129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3"/>
      </bottom>
      <diagonal/>
    </border>
    <border>
      <left style="thin">
        <color indexed="8"/>
      </left>
      <right/>
      <top style="medium">
        <color indexed="63"/>
      </top>
      <bottom style="thin">
        <color indexed="8"/>
      </bottom>
      <diagonal/>
    </border>
    <border>
      <left/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3"/>
      </bottom>
      <diagonal/>
    </border>
    <border>
      <left style="medium">
        <color indexed="8"/>
      </left>
      <right/>
      <top style="medium">
        <color indexed="64"/>
      </top>
      <bottom style="medium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3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3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6" fontId="16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53" fillId="0" borderId="0" applyFont="0" applyFill="0" applyBorder="0" applyAlignment="0" applyProtection="0"/>
    <xf numFmtId="0" fontId="53" fillId="0" borderId="0"/>
    <xf numFmtId="0" fontId="3" fillId="0" borderId="0"/>
    <xf numFmtId="9" fontId="15" fillId="0" borderId="0" applyFont="0" applyFill="0" applyBorder="0" applyAlignment="0" applyProtection="0"/>
  </cellStyleXfs>
  <cellXfs count="742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/>
    <xf numFmtId="0" fontId="3" fillId="0" borderId="0" xfId="0" applyFont="1"/>
    <xf numFmtId="0" fontId="1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8" fillId="0" borderId="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0" fillId="0" borderId="0" xfId="0" applyBorder="1"/>
    <xf numFmtId="9" fontId="0" fillId="0" borderId="0" xfId="6" applyFont="1"/>
    <xf numFmtId="9" fontId="8" fillId="0" borderId="0" xfId="6" applyFont="1"/>
    <xf numFmtId="0" fontId="11" fillId="0" borderId="0" xfId="0" applyFont="1"/>
    <xf numFmtId="9" fontId="5" fillId="0" borderId="0" xfId="6" applyFont="1"/>
    <xf numFmtId="164" fontId="0" fillId="0" borderId="0" xfId="0" applyNumberFormat="1"/>
    <xf numFmtId="0" fontId="2" fillId="0" borderId="9" xfId="0" applyFont="1" applyBorder="1" applyAlignment="1">
      <alignment horizontal="center" wrapText="1" shrinkToFit="1"/>
    </xf>
    <xf numFmtId="164" fontId="8" fillId="0" borderId="0" xfId="6" applyNumberFormat="1" applyFont="1"/>
    <xf numFmtId="166" fontId="12" fillId="0" borderId="0" xfId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0" fontId="13" fillId="0" borderId="0" xfId="0" applyFont="1" applyBorder="1"/>
    <xf numFmtId="0" fontId="8" fillId="0" borderId="0" xfId="0" applyFont="1" applyBorder="1"/>
    <xf numFmtId="0" fontId="11" fillId="0" borderId="11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19" fillId="0" borderId="0" xfId="0" applyFont="1"/>
    <xf numFmtId="0" fontId="20" fillId="0" borderId="0" xfId="0" applyFont="1" applyAlignment="1">
      <alignment horizontal="center"/>
    </xf>
    <xf numFmtId="0" fontId="1" fillId="0" borderId="0" xfId="0" applyFont="1" applyBorder="1" applyAlignment="1"/>
    <xf numFmtId="0" fontId="3" fillId="0" borderId="34" xfId="0" applyFont="1" applyBorder="1"/>
    <xf numFmtId="0" fontId="22" fillId="0" borderId="3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" fontId="24" fillId="0" borderId="11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center"/>
    </xf>
    <xf numFmtId="167" fontId="3" fillId="0" borderId="0" xfId="0" applyNumberFormat="1" applyFont="1" applyBorder="1" applyAlignment="1">
      <alignment horizontal="right"/>
    </xf>
    <xf numFmtId="167" fontId="0" fillId="0" borderId="0" xfId="0" applyNumberFormat="1" applyBorder="1" applyAlignment="1">
      <alignment horizontal="center"/>
    </xf>
    <xf numFmtId="166" fontId="6" fillId="0" borderId="0" xfId="1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0" fontId="1" fillId="0" borderId="11" xfId="0" applyFont="1" applyBorder="1"/>
    <xf numFmtId="164" fontId="1" fillId="0" borderId="0" xfId="0" applyNumberFormat="1" applyFont="1" applyBorder="1" applyAlignment="1">
      <alignment horizontal="center"/>
    </xf>
    <xf numFmtId="0" fontId="20" fillId="0" borderId="0" xfId="0" applyFont="1"/>
    <xf numFmtId="0" fontId="1" fillId="0" borderId="11" xfId="0" applyFont="1" applyBorder="1" applyAlignment="1">
      <alignment horizontal="center"/>
    </xf>
    <xf numFmtId="0" fontId="5" fillId="0" borderId="0" xfId="0" applyFont="1" applyProtection="1">
      <protection locked="0"/>
    </xf>
    <xf numFmtId="0" fontId="6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Protection="1">
      <protection locked="0"/>
    </xf>
    <xf numFmtId="0" fontId="26" fillId="0" borderId="0" xfId="0" applyFont="1" applyProtection="1">
      <protection locked="0"/>
    </xf>
    <xf numFmtId="164" fontId="26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166" fontId="0" fillId="0" borderId="11" xfId="2" applyFont="1" applyBorder="1"/>
    <xf numFmtId="167" fontId="0" fillId="0" borderId="11" xfId="0" applyNumberFormat="1" applyBorder="1" applyAlignment="1">
      <alignment horizontal="center"/>
    </xf>
    <xf numFmtId="0" fontId="5" fillId="0" borderId="0" xfId="0" applyFont="1" applyAlignment="1">
      <alignment wrapText="1"/>
    </xf>
    <xf numFmtId="0" fontId="23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167" fontId="0" fillId="0" borderId="11" xfId="0" applyNumberFormat="1" applyFont="1" applyBorder="1" applyAlignment="1">
      <alignment horizontal="center"/>
    </xf>
    <xf numFmtId="166" fontId="3" fillId="0" borderId="11" xfId="2" applyFont="1" applyBorder="1" applyAlignment="1">
      <alignment horizontal="center"/>
    </xf>
    <xf numFmtId="0" fontId="0" fillId="0" borderId="11" xfId="0" applyBorder="1" applyAlignment="1">
      <alignment horizontal="center"/>
    </xf>
    <xf numFmtId="167" fontId="0" fillId="0" borderId="0" xfId="0" applyNumberFormat="1"/>
    <xf numFmtId="0" fontId="21" fillId="0" borderId="0" xfId="0" applyFont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wrapText="1"/>
    </xf>
    <xf numFmtId="0" fontId="1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right"/>
    </xf>
    <xf numFmtId="0" fontId="30" fillId="0" borderId="0" xfId="0" applyFont="1" applyBorder="1" applyAlignment="1">
      <alignment horizontal="center"/>
    </xf>
    <xf numFmtId="0" fontId="34" fillId="0" borderId="0" xfId="0" applyFont="1"/>
    <xf numFmtId="0" fontId="3" fillId="0" borderId="0" xfId="0" applyFont="1" applyAlignment="1"/>
    <xf numFmtId="0" fontId="5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17" fontId="28" fillId="0" borderId="0" xfId="0" applyNumberFormat="1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31" fillId="0" borderId="0" xfId="0" applyNumberFormat="1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33" fillId="0" borderId="0" xfId="0" applyFont="1"/>
    <xf numFmtId="0" fontId="1" fillId="0" borderId="43" xfId="0" applyFont="1" applyBorder="1" applyAlignment="1">
      <alignment horizontal="center" vertical="center" wrapText="1"/>
    </xf>
    <xf numFmtId="17" fontId="28" fillId="0" borderId="45" xfId="0" applyNumberFormat="1" applyFont="1" applyBorder="1" applyAlignment="1">
      <alignment horizontal="left"/>
    </xf>
    <xf numFmtId="17" fontId="28" fillId="0" borderId="47" xfId="0" applyNumberFormat="1" applyFont="1" applyBorder="1" applyAlignment="1">
      <alignment horizontal="left"/>
    </xf>
    <xf numFmtId="17" fontId="36" fillId="0" borderId="48" xfId="0" applyNumberFormat="1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8" fillId="0" borderId="5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" fontId="28" fillId="0" borderId="51" xfId="0" applyNumberFormat="1" applyFont="1" applyBorder="1" applyAlignment="1">
      <alignment horizontal="left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4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7" fontId="36" fillId="0" borderId="0" xfId="0" applyNumberFormat="1" applyFont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1" fontId="13" fillId="0" borderId="11" xfId="0" applyNumberFormat="1" applyFont="1" applyFill="1" applyBorder="1" applyAlignment="1">
      <alignment horizontal="left"/>
    </xf>
    <xf numFmtId="0" fontId="5" fillId="0" borderId="5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16" fontId="3" fillId="0" borderId="0" xfId="0" applyNumberFormat="1" applyFont="1"/>
    <xf numFmtId="166" fontId="0" fillId="0" borderId="0" xfId="2" applyFont="1"/>
    <xf numFmtId="0" fontId="5" fillId="0" borderId="0" xfId="0" applyFont="1" applyFill="1" applyAlignment="1">
      <alignment horizontal="center"/>
    </xf>
    <xf numFmtId="0" fontId="5" fillId="0" borderId="54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7" fillId="0" borderId="42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38" fillId="0" borderId="0" xfId="0" applyFont="1"/>
    <xf numFmtId="0" fontId="38" fillId="0" borderId="0" xfId="0" applyFont="1" applyAlignment="1">
      <alignment horizontal="center"/>
    </xf>
    <xf numFmtId="0" fontId="39" fillId="0" borderId="0" xfId="0" applyFont="1" applyBorder="1" applyAlignment="1">
      <alignment horizontal="center" vertical="center" wrapText="1"/>
    </xf>
    <xf numFmtId="164" fontId="38" fillId="0" borderId="0" xfId="0" applyNumberFormat="1" applyFont="1" applyBorder="1" applyAlignment="1">
      <alignment horizontal="center"/>
    </xf>
    <xf numFmtId="17" fontId="40" fillId="0" borderId="45" xfId="0" applyNumberFormat="1" applyFont="1" applyBorder="1" applyAlignment="1">
      <alignment horizontal="left"/>
    </xf>
    <xf numFmtId="0" fontId="41" fillId="0" borderId="46" xfId="0" applyFont="1" applyBorder="1" applyAlignment="1">
      <alignment horizontal="center"/>
    </xf>
    <xf numFmtId="0" fontId="38" fillId="0" borderId="61" xfId="0" applyFont="1" applyBorder="1" applyAlignment="1">
      <alignment horizontal="center"/>
    </xf>
    <xf numFmtId="17" fontId="40" fillId="0" borderId="47" xfId="0" applyNumberFormat="1" applyFont="1" applyBorder="1" applyAlignment="1">
      <alignment horizontal="left"/>
    </xf>
    <xf numFmtId="0" fontId="41" fillId="0" borderId="2" xfId="0" applyFont="1" applyBorder="1" applyAlignment="1">
      <alignment horizontal="center"/>
    </xf>
    <xf numFmtId="0" fontId="41" fillId="0" borderId="29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17" fontId="40" fillId="0" borderId="51" xfId="0" applyNumberFormat="1" applyFont="1" applyBorder="1" applyAlignment="1">
      <alignment horizontal="left"/>
    </xf>
    <xf numFmtId="17" fontId="42" fillId="0" borderId="48" xfId="0" applyNumberFormat="1" applyFont="1" applyBorder="1" applyAlignment="1">
      <alignment horizontal="center"/>
    </xf>
    <xf numFmtId="0" fontId="32" fillId="0" borderId="50" xfId="0" applyFont="1" applyBorder="1" applyAlignment="1">
      <alignment horizontal="center"/>
    </xf>
    <xf numFmtId="0" fontId="39" fillId="0" borderId="0" xfId="0" applyFont="1"/>
    <xf numFmtId="0" fontId="43" fillId="0" borderId="39" xfId="0" applyFont="1" applyBorder="1" applyAlignment="1">
      <alignment horizontal="center" vertical="center" wrapText="1"/>
    </xf>
    <xf numFmtId="0" fontId="43" fillId="0" borderId="42" xfId="0" applyFont="1" applyBorder="1" applyAlignment="1">
      <alignment horizontal="center" vertical="center" wrapText="1"/>
    </xf>
    <xf numFmtId="0" fontId="43" fillId="0" borderId="43" xfId="0" applyFont="1" applyBorder="1" applyAlignment="1">
      <alignment horizontal="center" vertical="center" wrapText="1"/>
    </xf>
    <xf numFmtId="0" fontId="43" fillId="0" borderId="9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7" fillId="0" borderId="0" xfId="0" applyFont="1"/>
    <xf numFmtId="0" fontId="37" fillId="0" borderId="1" xfId="0" applyFont="1" applyBorder="1" applyAlignment="1">
      <alignment horizontal="center"/>
    </xf>
    <xf numFmtId="0" fontId="37" fillId="0" borderId="11" xfId="0" applyFont="1" applyBorder="1" applyAlignment="1">
      <alignment horizontal="center"/>
    </xf>
    <xf numFmtId="167" fontId="37" fillId="0" borderId="11" xfId="0" applyNumberFormat="1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44" fillId="0" borderId="0" xfId="0" applyFont="1"/>
    <xf numFmtId="0" fontId="37" fillId="0" borderId="29" xfId="0" applyFont="1" applyBorder="1" applyAlignment="1">
      <alignment horizontal="center"/>
    </xf>
    <xf numFmtId="0" fontId="37" fillId="0" borderId="31" xfId="0" applyFont="1" applyBorder="1" applyAlignment="1">
      <alignment horizontal="center"/>
    </xf>
    <xf numFmtId="0" fontId="37" fillId="0" borderId="5" xfId="0" applyFont="1" applyBorder="1" applyAlignment="1">
      <alignment horizontal="center"/>
    </xf>
    <xf numFmtId="164" fontId="37" fillId="0" borderId="0" xfId="0" applyNumberFormat="1" applyFont="1"/>
    <xf numFmtId="0" fontId="3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46" fillId="0" borderId="0" xfId="0" applyFont="1"/>
    <xf numFmtId="0" fontId="2" fillId="0" borderId="0" xfId="0" applyFont="1"/>
    <xf numFmtId="9" fontId="37" fillId="0" borderId="0" xfId="6" applyFont="1"/>
    <xf numFmtId="0" fontId="37" fillId="0" borderId="0" xfId="0" applyFont="1" applyBorder="1"/>
    <xf numFmtId="0" fontId="37" fillId="0" borderId="11" xfId="0" applyFont="1" applyFill="1" applyBorder="1" applyAlignment="1">
      <alignment horizontal="left"/>
    </xf>
    <xf numFmtId="1" fontId="37" fillId="0" borderId="11" xfId="0" applyNumberFormat="1" applyFont="1" applyFill="1" applyBorder="1" applyAlignment="1">
      <alignment horizontal="center"/>
    </xf>
    <xf numFmtId="1" fontId="37" fillId="0" borderId="11" xfId="0" applyNumberFormat="1" applyFont="1" applyFill="1" applyBorder="1" applyAlignment="1">
      <alignment horizontal="left"/>
    </xf>
    <xf numFmtId="37" fontId="37" fillId="0" borderId="11" xfId="0" applyNumberFormat="1" applyFont="1" applyFill="1" applyBorder="1" applyAlignment="1">
      <alignment horizontal="center"/>
    </xf>
    <xf numFmtId="0" fontId="37" fillId="0" borderId="11" xfId="0" applyFont="1" applyFill="1" applyBorder="1" applyAlignment="1">
      <alignment horizontal="center"/>
    </xf>
    <xf numFmtId="0" fontId="37" fillId="0" borderId="54" xfId="0" applyFont="1" applyFill="1" applyBorder="1" applyAlignment="1">
      <alignment horizontal="center"/>
    </xf>
    <xf numFmtId="37" fontId="37" fillId="0" borderId="11" xfId="0" applyNumberFormat="1" applyFont="1" applyBorder="1" applyAlignment="1">
      <alignment horizontal="center"/>
    </xf>
    <xf numFmtId="0" fontId="37" fillId="0" borderId="11" xfId="0" applyFont="1" applyBorder="1"/>
    <xf numFmtId="0" fontId="37" fillId="0" borderId="11" xfId="0" applyFont="1" applyFill="1" applyBorder="1"/>
    <xf numFmtId="1" fontId="37" fillId="0" borderId="54" xfId="0" applyNumberFormat="1" applyFont="1" applyFill="1" applyBorder="1" applyAlignment="1">
      <alignment horizontal="center"/>
    </xf>
    <xf numFmtId="1" fontId="37" fillId="0" borderId="11" xfId="0" applyNumberFormat="1" applyFont="1" applyFill="1" applyBorder="1" applyAlignment="1">
      <alignment horizontal="right"/>
    </xf>
    <xf numFmtId="0" fontId="37" fillId="0" borderId="54" xfId="0" applyFont="1" applyFill="1" applyBorder="1" applyAlignment="1">
      <alignment horizontal="left"/>
    </xf>
    <xf numFmtId="1" fontId="37" fillId="0" borderId="54" xfId="0" applyNumberFormat="1" applyFont="1" applyBorder="1" applyAlignment="1">
      <alignment horizontal="center"/>
    </xf>
    <xf numFmtId="0" fontId="37" fillId="0" borderId="11" xfId="0" applyFont="1" applyBorder="1" applyAlignment="1">
      <alignment horizontal="left"/>
    </xf>
    <xf numFmtId="1" fontId="37" fillId="0" borderId="53" xfId="0" applyNumberFormat="1" applyFont="1" applyFill="1" applyBorder="1" applyAlignment="1">
      <alignment horizontal="center"/>
    </xf>
    <xf numFmtId="167" fontId="37" fillId="0" borderId="11" xfId="0" applyNumberFormat="1" applyFont="1" applyFill="1" applyBorder="1" applyAlignment="1">
      <alignment horizontal="center"/>
    </xf>
    <xf numFmtId="1" fontId="37" fillId="0" borderId="54" xfId="0" applyNumberFormat="1" applyFont="1" applyFill="1" applyBorder="1" applyAlignment="1">
      <alignment horizontal="left"/>
    </xf>
    <xf numFmtId="37" fontId="37" fillId="0" borderId="54" xfId="0" applyNumberFormat="1" applyFont="1" applyFill="1" applyBorder="1" applyAlignment="1">
      <alignment horizontal="center"/>
    </xf>
    <xf numFmtId="168" fontId="37" fillId="0" borderId="11" xfId="1" applyNumberFormat="1" applyFont="1" applyBorder="1"/>
    <xf numFmtId="168" fontId="37" fillId="0" borderId="0" xfId="1" applyNumberFormat="1" applyFont="1"/>
    <xf numFmtId="166" fontId="37" fillId="0" borderId="11" xfId="1" applyNumberFormat="1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166" fontId="37" fillId="0" borderId="11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left"/>
    </xf>
    <xf numFmtId="1" fontId="2" fillId="0" borderId="11" xfId="0" applyNumberFormat="1" applyFont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1" fontId="37" fillId="0" borderId="92" xfId="0" applyNumberFormat="1" applyFont="1" applyFill="1" applyBorder="1" applyAlignment="1">
      <alignment horizontal="center"/>
    </xf>
    <xf numFmtId="0" fontId="37" fillId="0" borderId="54" xfId="0" applyFont="1" applyFill="1" applyBorder="1" applyAlignment="1">
      <alignment wrapText="1"/>
    </xf>
    <xf numFmtId="0" fontId="37" fillId="0" borderId="93" xfId="0" applyFont="1" applyFill="1" applyBorder="1" applyAlignment="1">
      <alignment wrapText="1"/>
    </xf>
    <xf numFmtId="0" fontId="2" fillId="0" borderId="8" xfId="0" applyFont="1" applyBorder="1"/>
    <xf numFmtId="0" fontId="2" fillId="0" borderId="93" xfId="0" applyFont="1" applyBorder="1"/>
    <xf numFmtId="0" fontId="37" fillId="0" borderId="6" xfId="0" applyFont="1" applyBorder="1"/>
    <xf numFmtId="0" fontId="37" fillId="0" borderId="93" xfId="0" applyFont="1" applyBorder="1"/>
    <xf numFmtId="0" fontId="2" fillId="0" borderId="7" xfId="0" applyFont="1" applyBorder="1"/>
    <xf numFmtId="0" fontId="2" fillId="0" borderId="92" xfId="0" applyFont="1" applyBorder="1"/>
    <xf numFmtId="0" fontId="2" fillId="0" borderId="92" xfId="0" applyFont="1" applyBorder="1" applyAlignment="1">
      <alignment horizontal="center"/>
    </xf>
    <xf numFmtId="0" fontId="2" fillId="0" borderId="54" xfId="0" applyFont="1" applyFill="1" applyBorder="1"/>
    <xf numFmtId="0" fontId="2" fillId="0" borderId="0" xfId="0" applyFont="1" applyFill="1" applyBorder="1"/>
    <xf numFmtId="0" fontId="2" fillId="0" borderId="7" xfId="0" applyFont="1" applyBorder="1" applyAlignment="1">
      <alignment horizontal="left"/>
    </xf>
    <xf numFmtId="0" fontId="2" fillId="0" borderId="92" xfId="0" applyFont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1" fontId="2" fillId="0" borderId="93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37" fillId="0" borderId="8" xfId="0" applyFont="1" applyFill="1" applyBorder="1" applyAlignment="1">
      <alignment horizontal="left"/>
    </xf>
    <xf numFmtId="1" fontId="37" fillId="0" borderId="5" xfId="0" applyNumberFormat="1" applyFont="1" applyFill="1" applyBorder="1" applyAlignment="1">
      <alignment horizontal="center"/>
    </xf>
    <xf numFmtId="1" fontId="37" fillId="0" borderId="93" xfId="0" applyNumberFormat="1" applyFont="1" applyFill="1" applyBorder="1" applyAlignment="1">
      <alignment horizontal="center"/>
    </xf>
    <xf numFmtId="0" fontId="37" fillId="0" borderId="93" xfId="0" applyFont="1" applyBorder="1" applyAlignment="1">
      <alignment horizontal="center"/>
    </xf>
    <xf numFmtId="0" fontId="37" fillId="0" borderId="94" xfId="0" applyFont="1" applyFill="1" applyBorder="1" applyAlignment="1">
      <alignment horizontal="left"/>
    </xf>
    <xf numFmtId="1" fontId="37" fillId="0" borderId="52" xfId="0" applyNumberFormat="1" applyFont="1" applyFill="1" applyBorder="1" applyAlignment="1">
      <alignment horizontal="center"/>
    </xf>
    <xf numFmtId="1" fontId="37" fillId="0" borderId="0" xfId="0" applyNumberFormat="1" applyFont="1" applyFill="1" applyBorder="1" applyAlignment="1">
      <alignment horizontal="center"/>
    </xf>
    <xf numFmtId="0" fontId="45" fillId="0" borderId="92" xfId="0" applyFont="1" applyFill="1" applyBorder="1" applyAlignment="1">
      <alignment horizontal="center"/>
    </xf>
    <xf numFmtId="0" fontId="45" fillId="0" borderId="11" xfId="0" applyFont="1" applyFill="1" applyBorder="1" applyAlignment="1">
      <alignment horizontal="center"/>
    </xf>
    <xf numFmtId="0" fontId="37" fillId="0" borderId="52" xfId="0" applyFont="1" applyBorder="1" applyAlignment="1">
      <alignment horizontal="center"/>
    </xf>
    <xf numFmtId="0" fontId="37" fillId="0" borderId="52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1" fontId="2" fillId="0" borderId="5" xfId="0" applyNumberFormat="1" applyFont="1" applyFill="1" applyBorder="1" applyAlignment="1">
      <alignment horizontal="center"/>
    </xf>
    <xf numFmtId="1" fontId="2" fillId="0" borderId="52" xfId="0" applyNumberFormat="1" applyFont="1" applyFill="1" applyBorder="1" applyAlignment="1">
      <alignment horizontal="center"/>
    </xf>
    <xf numFmtId="1" fontId="48" fillId="0" borderId="52" xfId="0" applyNumberFormat="1" applyFont="1" applyFill="1" applyBorder="1" applyAlignment="1">
      <alignment horizontal="center"/>
    </xf>
    <xf numFmtId="1" fontId="48" fillId="0" borderId="0" xfId="0" applyNumberFormat="1" applyFont="1" applyFill="1" applyBorder="1" applyAlignment="1">
      <alignment horizontal="center"/>
    </xf>
    <xf numFmtId="0" fontId="2" fillId="0" borderId="94" xfId="0" applyFont="1" applyFill="1" applyBorder="1" applyAlignment="1">
      <alignment horizontal="left"/>
    </xf>
    <xf numFmtId="17" fontId="37" fillId="0" borderId="0" xfId="0" applyNumberFormat="1" applyFont="1" applyAlignment="1">
      <alignment horizontal="left"/>
    </xf>
    <xf numFmtId="1" fontId="2" fillId="0" borderId="53" xfId="0" applyNumberFormat="1" applyFont="1" applyBorder="1" applyAlignment="1">
      <alignment horizontal="center"/>
    </xf>
    <xf numFmtId="0" fontId="37" fillId="0" borderId="94" xfId="0" applyFont="1" applyBorder="1" applyAlignment="1">
      <alignment horizontal="left"/>
    </xf>
    <xf numFmtId="0" fontId="48" fillId="0" borderId="6" xfId="0" applyFont="1" applyFill="1" applyBorder="1" applyAlignment="1">
      <alignment horizontal="center"/>
    </xf>
    <xf numFmtId="0" fontId="2" fillId="0" borderId="52" xfId="0" applyNumberFormat="1" applyFont="1" applyFill="1" applyBorder="1" applyAlignment="1">
      <alignment horizontal="center"/>
    </xf>
    <xf numFmtId="0" fontId="2" fillId="0" borderId="94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2" fillId="0" borderId="53" xfId="0" applyNumberFormat="1" applyFont="1" applyFill="1" applyBorder="1" applyAlignment="1">
      <alignment horizontal="center"/>
    </xf>
    <xf numFmtId="0" fontId="37" fillId="0" borderId="53" xfId="0" applyFont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2" fillId="0" borderId="95" xfId="0" applyFont="1" applyBorder="1" applyAlignment="1">
      <alignment horizontal="left"/>
    </xf>
    <xf numFmtId="0" fontId="2" fillId="0" borderId="52" xfId="0" applyNumberFormat="1" applyFont="1" applyBorder="1" applyAlignment="1">
      <alignment horizontal="center"/>
    </xf>
    <xf numFmtId="0" fontId="37" fillId="0" borderId="52" xfId="0" applyNumberFormat="1" applyFont="1" applyBorder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2" fillId="0" borderId="96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95" xfId="0" applyFont="1" applyFill="1" applyBorder="1" applyAlignment="1">
      <alignment horizontal="left"/>
    </xf>
    <xf numFmtId="1" fontId="2" fillId="0" borderId="54" xfId="0" applyNumberFormat="1" applyFont="1" applyBorder="1" applyAlignment="1">
      <alignment horizontal="center"/>
    </xf>
    <xf numFmtId="1" fontId="2" fillId="0" borderId="92" xfId="0" applyNumberFormat="1" applyFont="1" applyBorder="1" applyAlignment="1">
      <alignment horizontal="center"/>
    </xf>
    <xf numFmtId="0" fontId="2" fillId="0" borderId="96" xfId="0" applyFont="1" applyBorder="1" applyAlignment="1">
      <alignment horizontal="center"/>
    </xf>
    <xf numFmtId="0" fontId="2" fillId="0" borderId="97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13" fillId="0" borderId="11" xfId="0" applyNumberFormat="1" applyFont="1" applyFill="1" applyBorder="1" applyAlignment="1">
      <alignment horizontal="left" wrapText="1"/>
    </xf>
    <xf numFmtId="0" fontId="55" fillId="0" borderId="0" xfId="0" applyFont="1" applyAlignment="1">
      <alignment horizontal="right"/>
    </xf>
    <xf numFmtId="0" fontId="56" fillId="0" borderId="0" xfId="0" applyFont="1"/>
    <xf numFmtId="0" fontId="0" fillId="0" borderId="0" xfId="0" applyAlignment="1">
      <alignment horizontal="center"/>
    </xf>
    <xf numFmtId="0" fontId="11" fillId="0" borderId="54" xfId="0" applyFont="1" applyFill="1" applyBorder="1" applyAlignment="1">
      <alignment horizontal="center"/>
    </xf>
    <xf numFmtId="0" fontId="2" fillId="0" borderId="98" xfId="0" applyFont="1" applyBorder="1" applyAlignment="1">
      <alignment horizontal="center" wrapText="1" shrinkToFit="1"/>
    </xf>
    <xf numFmtId="37" fontId="8" fillId="0" borderId="11" xfId="0" applyNumberFormat="1" applyFont="1" applyFill="1" applyBorder="1" applyAlignment="1">
      <alignment horizontal="center"/>
    </xf>
    <xf numFmtId="0" fontId="57" fillId="0" borderId="11" xfId="0" applyFont="1" applyFill="1" applyBorder="1" applyAlignment="1">
      <alignment horizontal="center"/>
    </xf>
    <xf numFmtId="1" fontId="13" fillId="0" borderId="53" xfId="0" applyNumberFormat="1" applyFont="1" applyFill="1" applyBorder="1" applyAlignment="1">
      <alignment horizontal="left"/>
    </xf>
    <xf numFmtId="37" fontId="8" fillId="0" borderId="54" xfId="0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1" fontId="11" fillId="0" borderId="11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5" fontId="11" fillId="0" borderId="11" xfId="0" applyNumberFormat="1" applyFont="1" applyBorder="1" applyAlignment="1">
      <alignment horizontal="center"/>
    </xf>
    <xf numFmtId="0" fontId="58" fillId="0" borderId="7" xfId="0" applyFont="1" applyFill="1" applyBorder="1" applyAlignment="1">
      <alignment horizontal="center"/>
    </xf>
    <xf numFmtId="0" fontId="27" fillId="0" borderId="8" xfId="0" applyFont="1" applyBorder="1"/>
    <xf numFmtId="0" fontId="27" fillId="0" borderId="92" xfId="0" applyFont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0" fontId="3" fillId="0" borderId="5" xfId="0" applyFont="1" applyFill="1" applyBorder="1"/>
    <xf numFmtId="17" fontId="3" fillId="0" borderId="0" xfId="0" applyNumberFormat="1" applyFont="1"/>
    <xf numFmtId="0" fontId="49" fillId="0" borderId="52" xfId="0" applyFont="1" applyFill="1" applyBorder="1"/>
    <xf numFmtId="0" fontId="3" fillId="0" borderId="5" xfId="0" applyFont="1" applyBorder="1" applyAlignment="1">
      <alignment horizontal="center"/>
    </xf>
    <xf numFmtId="0" fontId="3" fillId="0" borderId="94" xfId="0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center"/>
    </xf>
    <xf numFmtId="0" fontId="3" fillId="0" borderId="52" xfId="0" applyFont="1" applyFill="1" applyBorder="1"/>
    <xf numFmtId="0" fontId="17" fillId="0" borderId="0" xfId="0" applyFont="1" applyFill="1"/>
    <xf numFmtId="0" fontId="17" fillId="0" borderId="0" xfId="0" applyFont="1" applyFill="1" applyBorder="1"/>
    <xf numFmtId="0" fontId="1" fillId="0" borderId="94" xfId="0" applyFont="1" applyFill="1" applyBorder="1" applyAlignment="1">
      <alignment horizontal="left"/>
    </xf>
    <xf numFmtId="0" fontId="3" fillId="0" borderId="52" xfId="0" applyFont="1" applyBorder="1" applyAlignment="1">
      <alignment horizontal="center"/>
    </xf>
    <xf numFmtId="1" fontId="17" fillId="0" borderId="0" xfId="0" applyNumberFormat="1" applyFont="1" applyFill="1" applyBorder="1" applyAlignment="1">
      <alignment horizontal="center"/>
    </xf>
    <xf numFmtId="0" fontId="17" fillId="0" borderId="52" xfId="0" applyFont="1" applyFill="1" applyBorder="1"/>
    <xf numFmtId="0" fontId="18" fillId="0" borderId="7" xfId="0" applyFont="1" applyFill="1" applyBorder="1"/>
    <xf numFmtId="0" fontId="17" fillId="0" borderId="54" xfId="0" applyFont="1" applyFill="1" applyBorder="1"/>
    <xf numFmtId="0" fontId="3" fillId="0" borderId="52" xfId="0" applyFont="1" applyBorder="1"/>
    <xf numFmtId="0" fontId="3" fillId="0" borderId="94" xfId="0" applyFont="1" applyBorder="1" applyAlignment="1">
      <alignment horizontal="left"/>
    </xf>
    <xf numFmtId="17" fontId="3" fillId="0" borderId="0" xfId="0" applyNumberFormat="1" applyFont="1" applyAlignment="1">
      <alignment horizontal="left"/>
    </xf>
    <xf numFmtId="0" fontId="25" fillId="0" borderId="71" xfId="0" applyFont="1" applyBorder="1" applyAlignment="1">
      <alignment horizontal="center"/>
    </xf>
    <xf numFmtId="0" fontId="3" fillId="0" borderId="94" xfId="0" applyFont="1" applyBorder="1"/>
    <xf numFmtId="0" fontId="9" fillId="0" borderId="52" xfId="0" applyFont="1" applyFill="1" applyBorder="1"/>
    <xf numFmtId="0" fontId="1" fillId="0" borderId="95" xfId="0" applyFont="1" applyBorder="1" applyAlignment="1">
      <alignment horizontal="left"/>
    </xf>
    <xf numFmtId="0" fontId="9" fillId="0" borderId="52" xfId="0" applyFont="1" applyBorder="1"/>
    <xf numFmtId="1" fontId="3" fillId="0" borderId="52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" fillId="0" borderId="94" xfId="0" applyFont="1" applyBorder="1" applyAlignment="1">
      <alignment horizontal="left" wrapText="1"/>
    </xf>
    <xf numFmtId="0" fontId="1" fillId="0" borderId="94" xfId="0" applyFont="1" applyFill="1" applyBorder="1" applyAlignment="1">
      <alignment horizontal="left" wrapText="1"/>
    </xf>
    <xf numFmtId="0" fontId="1" fillId="0" borderId="95" xfId="0" applyFont="1" applyFill="1" applyBorder="1" applyAlignment="1">
      <alignment horizontal="left"/>
    </xf>
    <xf numFmtId="1" fontId="1" fillId="0" borderId="92" xfId="0" applyNumberFormat="1" applyFont="1" applyBorder="1" applyAlignment="1">
      <alignment horizontal="center"/>
    </xf>
    <xf numFmtId="0" fontId="3" fillId="0" borderId="97" xfId="0" applyFont="1" applyBorder="1"/>
    <xf numFmtId="0" fontId="3" fillId="0" borderId="95" xfId="0" applyFont="1" applyBorder="1"/>
    <xf numFmtId="0" fontId="1" fillId="0" borderId="96" xfId="0" applyFont="1" applyBorder="1" applyAlignment="1">
      <alignment horizontal="center"/>
    </xf>
    <xf numFmtId="0" fontId="3" fillId="0" borderId="96" xfId="0" applyFont="1" applyBorder="1"/>
    <xf numFmtId="0" fontId="1" fillId="0" borderId="92" xfId="0" applyFont="1" applyBorder="1" applyAlignment="1">
      <alignment horizontal="center"/>
    </xf>
    <xf numFmtId="0" fontId="27" fillId="0" borderId="0" xfId="0" applyFont="1"/>
    <xf numFmtId="1" fontId="13" fillId="0" borderId="92" xfId="0" applyNumberFormat="1" applyFont="1" applyFill="1" applyBorder="1" applyAlignment="1">
      <alignment horizontal="center"/>
    </xf>
    <xf numFmtId="0" fontId="13" fillId="0" borderId="54" xfId="0" applyFont="1" applyFill="1" applyBorder="1" applyAlignment="1">
      <alignment wrapText="1"/>
    </xf>
    <xf numFmtId="0" fontId="13" fillId="0" borderId="5" xfId="0" applyFont="1" applyBorder="1"/>
    <xf numFmtId="0" fontId="27" fillId="0" borderId="92" xfId="0" applyFont="1" applyBorder="1"/>
    <xf numFmtId="0" fontId="27" fillId="0" borderId="54" xfId="0" applyFont="1" applyFill="1" applyBorder="1"/>
    <xf numFmtId="0" fontId="27" fillId="0" borderId="54" xfId="0" applyFont="1" applyBorder="1"/>
    <xf numFmtId="37" fontId="11" fillId="0" borderId="11" xfId="0" applyNumberFormat="1" applyFont="1" applyFill="1" applyBorder="1" applyAlignment="1">
      <alignment horizontal="center"/>
    </xf>
    <xf numFmtId="1" fontId="11" fillId="0" borderId="11" xfId="0" applyNumberFormat="1" applyFont="1" applyFill="1" applyBorder="1" applyAlignment="1">
      <alignment horizontal="center"/>
    </xf>
    <xf numFmtId="0" fontId="7" fillId="0" borderId="92" xfId="0" applyFont="1" applyBorder="1" applyAlignment="1">
      <alignment horizontal="left"/>
    </xf>
    <xf numFmtId="1" fontId="13" fillId="0" borderId="11" xfId="0" applyNumberFormat="1" applyFont="1" applyFill="1" applyBorder="1" applyAlignment="1">
      <alignment horizontal="center"/>
    </xf>
    <xf numFmtId="1" fontId="8" fillId="0" borderId="11" xfId="0" applyNumberFormat="1" applyFont="1" applyFill="1" applyBorder="1" applyAlignment="1">
      <alignment horizontal="right"/>
    </xf>
    <xf numFmtId="0" fontId="8" fillId="0" borderId="11" xfId="0" applyFont="1" applyFill="1" applyBorder="1" applyAlignment="1">
      <alignment horizontal="center"/>
    </xf>
    <xf numFmtId="1" fontId="11" fillId="0" borderId="11" xfId="0" applyNumberFormat="1" applyFont="1" applyBorder="1" applyAlignment="1">
      <alignment horizontal="right"/>
    </xf>
    <xf numFmtId="167" fontId="5" fillId="0" borderId="11" xfId="0" applyNumberFormat="1" applyFont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0" fontId="5" fillId="0" borderId="11" xfId="0" applyFont="1" applyBorder="1"/>
    <xf numFmtId="167" fontId="5" fillId="0" borderId="0" xfId="0" applyNumberFormat="1" applyFont="1" applyBorder="1" applyAlignment="1">
      <alignment horizontal="center"/>
    </xf>
    <xf numFmtId="37" fontId="11" fillId="0" borderId="11" xfId="0" applyNumberFormat="1" applyFont="1" applyBorder="1" applyAlignment="1">
      <alignment horizontal="center"/>
    </xf>
    <xf numFmtId="0" fontId="5" fillId="0" borderId="11" xfId="0" applyFont="1" applyFill="1" applyBorder="1"/>
    <xf numFmtId="0" fontId="8" fillId="0" borderId="54" xfId="0" applyFont="1" applyFill="1" applyBorder="1" applyAlignment="1">
      <alignment horizontal="center"/>
    </xf>
    <xf numFmtId="0" fontId="8" fillId="0" borderId="11" xfId="0" applyFont="1" applyBorder="1"/>
    <xf numFmtId="167" fontId="8" fillId="0" borderId="11" xfId="0" applyNumberFormat="1" applyFont="1" applyBorder="1" applyAlignment="1">
      <alignment horizontal="center"/>
    </xf>
    <xf numFmtId="0" fontId="8" fillId="0" borderId="11" xfId="0" applyFont="1" applyFill="1" applyBorder="1"/>
    <xf numFmtId="1" fontId="1" fillId="0" borderId="0" xfId="0" applyNumberFormat="1" applyFont="1" applyFill="1" applyBorder="1" applyAlignment="1">
      <alignment horizontal="center"/>
    </xf>
    <xf numFmtId="0" fontId="6" fillId="0" borderId="93" xfId="0" applyFont="1" applyBorder="1" applyAlignment="1">
      <alignment horizontal="center" wrapText="1"/>
    </xf>
    <xf numFmtId="1" fontId="3" fillId="0" borderId="0" xfId="0" applyNumberFormat="1" applyFont="1" applyFill="1" applyBorder="1"/>
    <xf numFmtId="1" fontId="3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0" fontId="5" fillId="0" borderId="93" xfId="0" applyFont="1" applyBorder="1"/>
    <xf numFmtId="0" fontId="3" fillId="0" borderId="52" xfId="0" applyFont="1" applyFill="1" applyBorder="1" applyAlignment="1">
      <alignment horizontal="center" wrapText="1"/>
    </xf>
    <xf numFmtId="0" fontId="5" fillId="0" borderId="97" xfId="0" applyFont="1" applyBorder="1"/>
    <xf numFmtId="0" fontId="27" fillId="0" borderId="0" xfId="0" applyFont="1" applyFill="1" applyBorder="1" applyAlignment="1"/>
    <xf numFmtId="0" fontId="17" fillId="0" borderId="95" xfId="0" applyFont="1" applyFill="1" applyBorder="1"/>
    <xf numFmtId="0" fontId="5" fillId="0" borderId="96" xfId="0" applyFont="1" applyBorder="1"/>
    <xf numFmtId="0" fontId="1" fillId="0" borderId="101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7" fillId="0" borderId="23" xfId="0" applyFont="1" applyBorder="1" applyAlignment="1">
      <alignment horizontal="center" wrapText="1" shrinkToFit="1"/>
    </xf>
    <xf numFmtId="0" fontId="11" fillId="0" borderId="103" xfId="0" applyFont="1" applyBorder="1" applyAlignment="1">
      <alignment horizontal="center" vertical="center" wrapText="1"/>
    </xf>
    <xf numFmtId="0" fontId="27" fillId="0" borderId="104" xfId="0" applyFont="1" applyBorder="1" applyAlignment="1">
      <alignment horizontal="center" vertical="center" wrapText="1"/>
    </xf>
    <xf numFmtId="0" fontId="27" fillId="0" borderId="105" xfId="0" applyFont="1" applyBorder="1" applyAlignment="1">
      <alignment horizontal="center" vertical="center" wrapText="1"/>
    </xf>
    <xf numFmtId="0" fontId="2" fillId="0" borderId="90" xfId="0" applyFont="1" applyBorder="1" applyAlignment="1">
      <alignment horizontal="center" wrapText="1"/>
    </xf>
    <xf numFmtId="0" fontId="7" fillId="0" borderId="107" xfId="0" applyFont="1" applyBorder="1" applyAlignment="1">
      <alignment horizontal="center" vertical="center" wrapText="1"/>
    </xf>
    <xf numFmtId="0" fontId="2" fillId="0" borderId="108" xfId="0" applyFont="1" applyBorder="1" applyAlignment="1">
      <alignment horizontal="center" vertical="center" wrapText="1"/>
    </xf>
    <xf numFmtId="0" fontId="59" fillId="0" borderId="0" xfId="0" applyFont="1"/>
    <xf numFmtId="0" fontId="6" fillId="0" borderId="5" xfId="0" applyFont="1" applyBorder="1" applyAlignment="1">
      <alignment horizontal="center" wrapText="1"/>
    </xf>
    <xf numFmtId="0" fontId="6" fillId="0" borderId="97" xfId="0" applyFont="1" applyBorder="1" applyAlignment="1">
      <alignment horizontal="center" wrapText="1"/>
    </xf>
    <xf numFmtId="1" fontId="2" fillId="0" borderId="54" xfId="0" applyNumberFormat="1" applyFont="1" applyFill="1" applyBorder="1" applyAlignment="1">
      <alignment horizontal="center"/>
    </xf>
    <xf numFmtId="1" fontId="6" fillId="0" borderId="11" xfId="0" applyNumberFormat="1" applyFont="1" applyFill="1" applyBorder="1" applyAlignment="1">
      <alignment horizontal="center"/>
    </xf>
    <xf numFmtId="1" fontId="6" fillId="0" borderId="54" xfId="0" applyNumberFormat="1" applyFont="1" applyFill="1" applyBorder="1" applyAlignment="1">
      <alignment horizontal="center"/>
    </xf>
    <xf numFmtId="1" fontId="37" fillId="0" borderId="10" xfId="0" applyNumberFormat="1" applyFont="1" applyFill="1" applyBorder="1" applyAlignment="1">
      <alignment horizontal="center"/>
    </xf>
    <xf numFmtId="1" fontId="37" fillId="0" borderId="11" xfId="0" applyNumberFormat="1" applyFont="1" applyFill="1" applyBorder="1" applyAlignment="1">
      <alignment horizontal="left" vertical="center" wrapText="1"/>
    </xf>
    <xf numFmtId="0" fontId="37" fillId="0" borderId="54" xfId="0" applyFont="1" applyFill="1" applyBorder="1" applyAlignment="1">
      <alignment horizontal="left" wrapText="1"/>
    </xf>
    <xf numFmtId="1" fontId="5" fillId="0" borderId="11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left"/>
    </xf>
    <xf numFmtId="1" fontId="5" fillId="0" borderId="54" xfId="0" applyNumberFormat="1" applyFont="1" applyFill="1" applyBorder="1" applyAlignment="1">
      <alignment horizontal="left"/>
    </xf>
    <xf numFmtId="1" fontId="5" fillId="0" borderId="54" xfId="0" applyNumberFormat="1" applyFont="1" applyFill="1" applyBorder="1" applyAlignment="1">
      <alignment horizontal="center"/>
    </xf>
    <xf numFmtId="0" fontId="2" fillId="0" borderId="9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" fontId="37" fillId="0" borderId="52" xfId="0" applyNumberFormat="1" applyFont="1" applyBorder="1" applyAlignment="1">
      <alignment horizontal="center"/>
    </xf>
    <xf numFmtId="0" fontId="37" fillId="0" borderId="97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94" xfId="0" applyFont="1" applyBorder="1" applyAlignment="1"/>
    <xf numFmtId="0" fontId="2" fillId="0" borderId="5" xfId="0" applyFont="1" applyFill="1" applyBorder="1" applyAlignment="1"/>
    <xf numFmtId="0" fontId="37" fillId="0" borderId="0" xfId="0" applyFont="1" applyFill="1" applyBorder="1" applyAlignment="1"/>
    <xf numFmtId="0" fontId="2" fillId="0" borderId="0" xfId="0" applyFont="1" applyBorder="1" applyAlignment="1"/>
    <xf numFmtId="0" fontId="2" fillId="0" borderId="10" xfId="0" applyFont="1" applyBorder="1" applyAlignment="1"/>
    <xf numFmtId="0" fontId="37" fillId="0" borderId="0" xfId="0" applyFont="1" applyBorder="1" applyAlignment="1"/>
    <xf numFmtId="0" fontId="2" fillId="0" borderId="8" xfId="0" applyFont="1" applyBorder="1" applyAlignment="1"/>
    <xf numFmtId="0" fontId="2" fillId="0" borderId="5" xfId="0" applyFont="1" applyBorder="1" applyAlignment="1"/>
    <xf numFmtId="0" fontId="2" fillId="0" borderId="0" xfId="0" applyFont="1" applyFill="1" applyBorder="1" applyAlignment="1"/>
    <xf numFmtId="0" fontId="2" fillId="0" borderId="92" xfId="0" applyFont="1" applyBorder="1" applyAlignment="1"/>
    <xf numFmtId="0" fontId="2" fillId="0" borderId="54" xfId="0" applyFont="1" applyBorder="1" applyAlignment="1"/>
    <xf numFmtId="0" fontId="37" fillId="0" borderId="0" xfId="0" applyFont="1" applyAlignment="1"/>
    <xf numFmtId="0" fontId="37" fillId="0" borderId="5" xfId="0" applyFont="1" applyFill="1" applyBorder="1" applyAlignment="1"/>
    <xf numFmtId="0" fontId="2" fillId="0" borderId="11" xfId="0" applyFont="1" applyFill="1" applyBorder="1" applyAlignment="1"/>
    <xf numFmtId="0" fontId="2" fillId="0" borderId="92" xfId="0" applyFont="1" applyFill="1" applyBorder="1" applyAlignment="1"/>
    <xf numFmtId="0" fontId="37" fillId="0" borderId="94" xfId="0" applyFont="1" applyBorder="1" applyAlignment="1"/>
    <xf numFmtId="0" fontId="37" fillId="0" borderId="93" xfId="0" applyFont="1" applyBorder="1" applyAlignment="1"/>
    <xf numFmtId="17" fontId="37" fillId="0" borderId="93" xfId="0" applyNumberFormat="1" applyFont="1" applyBorder="1" applyAlignment="1"/>
    <xf numFmtId="0" fontId="47" fillId="0" borderId="0" xfId="0" applyFont="1" applyFill="1" applyBorder="1" applyAlignment="1"/>
    <xf numFmtId="0" fontId="37" fillId="0" borderId="52" xfId="0" applyFont="1" applyFill="1" applyBorder="1" applyAlignment="1"/>
    <xf numFmtId="0" fontId="45" fillId="0" borderId="11" xfId="0" applyFont="1" applyFill="1" applyBorder="1" applyAlignment="1"/>
    <xf numFmtId="0" fontId="48" fillId="0" borderId="6" xfId="0" applyFont="1" applyFill="1" applyBorder="1" applyAlignment="1"/>
    <xf numFmtId="0" fontId="48" fillId="0" borderId="94" xfId="0" applyFont="1" applyFill="1" applyBorder="1" applyAlignment="1"/>
    <xf numFmtId="17" fontId="37" fillId="0" borderId="0" xfId="0" applyNumberFormat="1" applyFont="1" applyAlignment="1"/>
    <xf numFmtId="0" fontId="48" fillId="0" borderId="52" xfId="0" applyFont="1" applyFill="1" applyBorder="1" applyAlignment="1"/>
    <xf numFmtId="0" fontId="48" fillId="0" borderId="0" xfId="0" applyFont="1" applyFill="1" applyBorder="1" applyAlignment="1"/>
    <xf numFmtId="0" fontId="48" fillId="0" borderId="0" xfId="0" applyFont="1" applyFill="1" applyAlignment="1"/>
    <xf numFmtId="0" fontId="45" fillId="0" borderId="95" xfId="0" applyFont="1" applyFill="1" applyBorder="1" applyAlignment="1"/>
    <xf numFmtId="0" fontId="48" fillId="0" borderId="96" xfId="0" applyFont="1" applyFill="1" applyBorder="1" applyAlignment="1"/>
    <xf numFmtId="0" fontId="48" fillId="0" borderId="54" xfId="0" applyFont="1" applyFill="1" applyBorder="1" applyAlignment="1"/>
    <xf numFmtId="1" fontId="2" fillId="0" borderId="0" xfId="0" applyNumberFormat="1" applyFont="1" applyFill="1" applyBorder="1" applyAlignment="1"/>
    <xf numFmtId="0" fontId="37" fillId="0" borderId="52" xfId="0" applyFont="1" applyBorder="1" applyAlignment="1"/>
    <xf numFmtId="1" fontId="2" fillId="0" borderId="0" xfId="0" applyNumberFormat="1" applyFont="1" applyBorder="1" applyAlignment="1"/>
    <xf numFmtId="0" fontId="44" fillId="0" borderId="0" xfId="0" applyFont="1" applyFill="1" applyBorder="1" applyAlignment="1"/>
    <xf numFmtId="0" fontId="2" fillId="0" borderId="94" xfId="0" applyFont="1" applyFill="1" applyBorder="1" applyAlignment="1"/>
    <xf numFmtId="0" fontId="44" fillId="0" borderId="0" xfId="0" applyFont="1" applyBorder="1" applyAlignment="1"/>
    <xf numFmtId="0" fontId="2" fillId="0" borderId="0" xfId="0" applyFont="1" applyFill="1" applyAlignment="1"/>
    <xf numFmtId="0" fontId="37" fillId="0" borderId="97" xfId="0" applyFont="1" applyBorder="1" applyAlignment="1"/>
    <xf numFmtId="0" fontId="37" fillId="0" borderId="95" xfId="0" applyFont="1" applyBorder="1" applyAlignment="1"/>
    <xf numFmtId="0" fontId="37" fillId="0" borderId="96" xfId="0" applyFont="1" applyBorder="1" applyAlignment="1"/>
    <xf numFmtId="1" fontId="37" fillId="0" borderId="11" xfId="0" applyNumberFormat="1" applyFont="1" applyFill="1" applyBorder="1" applyAlignment="1">
      <alignment horizontal="left" wrapText="1"/>
    </xf>
    <xf numFmtId="1" fontId="37" fillId="0" borderId="53" xfId="0" applyNumberFormat="1" applyFont="1" applyFill="1" applyBorder="1" applyAlignment="1">
      <alignment horizontal="left"/>
    </xf>
    <xf numFmtId="0" fontId="27" fillId="0" borderId="95" xfId="0" applyFont="1" applyBorder="1" applyAlignment="1">
      <alignment horizontal="center" wrapText="1"/>
    </xf>
    <xf numFmtId="0" fontId="27" fillId="0" borderId="11" xfId="0" applyFont="1" applyBorder="1" applyAlignment="1">
      <alignment horizontal="center" textRotation="90" wrapText="1"/>
    </xf>
    <xf numFmtId="0" fontId="27" fillId="0" borderId="96" xfId="0" applyFont="1" applyBorder="1" applyAlignment="1">
      <alignment horizontal="center" textRotation="90" wrapText="1"/>
    </xf>
    <xf numFmtId="0" fontId="27" fillId="0" borderId="95" xfId="0" applyFont="1" applyBorder="1" applyAlignment="1">
      <alignment horizontal="center" textRotation="90" wrapText="1"/>
    </xf>
    <xf numFmtId="0" fontId="27" fillId="0" borderId="11" xfId="0" applyNumberFormat="1" applyFont="1" applyBorder="1" applyAlignment="1">
      <alignment horizontal="center" textRotation="90" wrapText="1"/>
    </xf>
    <xf numFmtId="0" fontId="27" fillId="0" borderId="97" xfId="0" applyFont="1" applyBorder="1" applyAlignment="1">
      <alignment horizontal="center" textRotation="90" wrapText="1"/>
    </xf>
    <xf numFmtId="0" fontId="27" fillId="0" borderId="10" xfId="0" applyFont="1" applyBorder="1" applyAlignment="1">
      <alignment horizontal="center" wrapText="1"/>
    </xf>
    <xf numFmtId="0" fontId="27" fillId="0" borderId="11" xfId="0" applyFont="1" applyFill="1" applyBorder="1" applyAlignment="1">
      <alignment horizontal="center"/>
    </xf>
    <xf numFmtId="0" fontId="50" fillId="0" borderId="11" xfId="0" applyFont="1" applyFill="1" applyBorder="1" applyAlignment="1">
      <alignment horizontal="center"/>
    </xf>
    <xf numFmtId="0" fontId="5" fillId="0" borderId="54" xfId="0" applyFont="1" applyBorder="1"/>
    <xf numFmtId="0" fontId="6" fillId="0" borderId="10" xfId="0" applyFont="1" applyFill="1" applyBorder="1" applyAlignment="1">
      <alignment horizontal="center"/>
    </xf>
    <xf numFmtId="17" fontId="37" fillId="0" borderId="109" xfId="0" applyNumberFormat="1" applyFont="1" applyBorder="1" applyAlignment="1">
      <alignment horizontal="left"/>
    </xf>
    <xf numFmtId="17" fontId="37" fillId="0" borderId="47" xfId="0" applyNumberFormat="1" applyFont="1" applyBorder="1" applyAlignment="1">
      <alignment horizontal="left"/>
    </xf>
    <xf numFmtId="0" fontId="2" fillId="0" borderId="91" xfId="0" applyFont="1" applyBorder="1" applyAlignment="1">
      <alignment horizontal="center"/>
    </xf>
    <xf numFmtId="0" fontId="2" fillId="0" borderId="110" xfId="0" applyFont="1" applyBorder="1" applyAlignment="1">
      <alignment horizontal="center" wrapText="1" shrinkToFit="1"/>
    </xf>
    <xf numFmtId="0" fontId="37" fillId="0" borderId="33" xfId="0" applyFont="1" applyBorder="1" applyAlignment="1">
      <alignment horizontal="center"/>
    </xf>
    <xf numFmtId="166" fontId="37" fillId="0" borderId="33" xfId="1" applyFont="1" applyBorder="1" applyAlignment="1">
      <alignment vertical="center"/>
    </xf>
    <xf numFmtId="17" fontId="37" fillId="0" borderId="51" xfId="0" applyNumberFormat="1" applyFont="1" applyBorder="1" applyAlignment="1">
      <alignment horizontal="left"/>
    </xf>
    <xf numFmtId="17" fontId="37" fillId="0" borderId="64" xfId="0" applyNumberFormat="1" applyFont="1" applyBorder="1" applyAlignment="1">
      <alignment horizontal="left"/>
    </xf>
    <xf numFmtId="0" fontId="37" fillId="0" borderId="74" xfId="0" applyFont="1" applyBorder="1" applyAlignment="1">
      <alignment horizontal="center"/>
    </xf>
    <xf numFmtId="17" fontId="37" fillId="0" borderId="73" xfId="0" applyNumberFormat="1" applyFont="1" applyBorder="1" applyAlignment="1">
      <alignment horizontal="left"/>
    </xf>
    <xf numFmtId="17" fontId="37" fillId="0" borderId="114" xfId="0" applyNumberFormat="1" applyFont="1" applyBorder="1" applyAlignment="1">
      <alignment horizontal="left"/>
    </xf>
    <xf numFmtId="0" fontId="37" fillId="0" borderId="115" xfId="0" applyFont="1" applyBorder="1" applyAlignment="1">
      <alignment horizontal="center"/>
    </xf>
    <xf numFmtId="166" fontId="37" fillId="0" borderId="115" xfId="1" applyFont="1" applyBorder="1" applyAlignment="1">
      <alignment vertical="center"/>
    </xf>
    <xf numFmtId="166" fontId="2" fillId="0" borderId="91" xfId="1" applyFont="1" applyBorder="1" applyAlignment="1"/>
    <xf numFmtId="1" fontId="1" fillId="0" borderId="0" xfId="0" applyNumberFormat="1" applyFont="1" applyBorder="1" applyAlignment="1">
      <alignment horizontal="center"/>
    </xf>
    <xf numFmtId="49" fontId="1" fillId="0" borderId="0" xfId="0" applyNumberFormat="1" applyFont="1" applyFill="1" applyBorder="1"/>
    <xf numFmtId="0" fontId="11" fillId="0" borderId="93" xfId="0" applyFont="1" applyBorder="1" applyAlignment="1">
      <alignment horizontal="center" wrapText="1"/>
    </xf>
    <xf numFmtId="168" fontId="5" fillId="0" borderId="0" xfId="2" applyNumberFormat="1" applyFont="1"/>
    <xf numFmtId="168" fontId="5" fillId="0" borderId="11" xfId="2" applyNumberFormat="1" applyFont="1" applyBorder="1"/>
    <xf numFmtId="168" fontId="5" fillId="0" borderId="11" xfId="2" applyNumberFormat="1" applyFont="1" applyBorder="1" applyAlignment="1">
      <alignment horizontal="center"/>
    </xf>
    <xf numFmtId="168" fontId="5" fillId="0" borderId="11" xfId="2" applyNumberFormat="1" applyFont="1" applyFill="1" applyBorder="1" applyAlignment="1">
      <alignment horizontal="center"/>
    </xf>
    <xf numFmtId="0" fontId="27" fillId="0" borderId="93" xfId="0" applyFont="1" applyBorder="1"/>
    <xf numFmtId="1" fontId="3" fillId="0" borderId="93" xfId="0" applyNumberFormat="1" applyFont="1" applyFill="1" applyBorder="1" applyAlignment="1">
      <alignment horizontal="center"/>
    </xf>
    <xf numFmtId="0" fontId="11" fillId="0" borderId="97" xfId="0" applyFont="1" applyBorder="1" applyAlignment="1">
      <alignment horizontal="center"/>
    </xf>
    <xf numFmtId="0" fontId="5" fillId="0" borderId="94" xfId="0" applyFont="1" applyBorder="1"/>
    <xf numFmtId="0" fontId="3" fillId="0" borderId="11" xfId="5" applyFont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51" fillId="0" borderId="0" xfId="0" applyFont="1" applyFill="1" applyBorder="1" applyAlignment="1">
      <alignment horizontal="left" vertical="top"/>
    </xf>
    <xf numFmtId="0" fontId="3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32" fillId="0" borderId="49" xfId="0" applyFont="1" applyBorder="1" applyAlignment="1">
      <alignment horizontal="center"/>
    </xf>
    <xf numFmtId="0" fontId="8" fillId="0" borderId="0" xfId="0" applyFont="1" applyAlignment="1">
      <alignment horizontal="right"/>
    </xf>
    <xf numFmtId="167" fontId="3" fillId="0" borderId="11" xfId="5" applyNumberFormat="1" applyFont="1" applyBorder="1" applyAlignment="1">
      <alignment horizontal="center"/>
    </xf>
    <xf numFmtId="1" fontId="6" fillId="0" borderId="54" xfId="0" applyNumberFormat="1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20" fillId="0" borderId="0" xfId="0" applyFont="1" applyAlignment="1">
      <alignment vertical="top"/>
    </xf>
    <xf numFmtId="0" fontId="7" fillId="0" borderId="99" xfId="0" applyFont="1" applyBorder="1" applyAlignment="1">
      <alignment horizontal="center" wrapText="1" shrinkToFit="1"/>
    </xf>
    <xf numFmtId="0" fontId="2" fillId="0" borderId="11" xfId="0" applyFont="1" applyBorder="1"/>
    <xf numFmtId="0" fontId="37" fillId="0" borderId="102" xfId="0" applyFont="1" applyBorder="1" applyAlignment="1">
      <alignment horizontal="center"/>
    </xf>
    <xf numFmtId="0" fontId="7" fillId="0" borderId="98" xfId="0" applyFont="1" applyBorder="1" applyAlignment="1">
      <alignment horizontal="center" wrapText="1" shrinkToFit="1"/>
    </xf>
    <xf numFmtId="0" fontId="7" fillId="0" borderId="118" xfId="0" applyFont="1" applyBorder="1" applyAlignment="1">
      <alignment horizontal="center" wrapText="1" shrinkToFit="1"/>
    </xf>
    <xf numFmtId="0" fontId="7" fillId="0" borderId="100" xfId="0" applyFont="1" applyBorder="1" applyAlignment="1">
      <alignment horizontal="center" wrapText="1" shrinkToFit="1"/>
    </xf>
    <xf numFmtId="0" fontId="7" fillId="0" borderId="9" xfId="0" applyFont="1" applyBorder="1" applyAlignment="1">
      <alignment horizontal="center" wrapText="1" shrinkToFit="1"/>
    </xf>
    <xf numFmtId="0" fontId="2" fillId="0" borderId="119" xfId="0" applyFont="1" applyBorder="1" applyAlignment="1">
      <alignment horizontal="center" wrapText="1" shrinkToFit="1"/>
    </xf>
    <xf numFmtId="1" fontId="13" fillId="0" borderId="11" xfId="0" applyNumberFormat="1" applyFont="1" applyFill="1" applyBorder="1" applyAlignment="1">
      <alignment horizontal="left" vertical="center" wrapText="1"/>
    </xf>
    <xf numFmtId="1" fontId="1" fillId="0" borderId="97" xfId="0" applyNumberFormat="1" applyFont="1" applyFill="1" applyBorder="1" applyAlignment="1">
      <alignment horizontal="center"/>
    </xf>
    <xf numFmtId="49" fontId="62" fillId="0" borderId="97" xfId="0" applyNumberFormat="1" applyFont="1" applyFill="1" applyBorder="1"/>
    <xf numFmtId="0" fontId="60" fillId="0" borderId="95" xfId="0" applyFont="1" applyBorder="1"/>
    <xf numFmtId="1" fontId="58" fillId="0" borderId="11" xfId="0" applyNumberFormat="1" applyFont="1" applyBorder="1" applyAlignment="1">
      <alignment horizontal="left"/>
    </xf>
    <xf numFmtId="0" fontId="37" fillId="0" borderId="10" xfId="0" applyFont="1" applyFill="1" applyBorder="1" applyAlignment="1">
      <alignment horizontal="left"/>
    </xf>
    <xf numFmtId="1" fontId="37" fillId="0" borderId="10" xfId="0" applyNumberFormat="1" applyFont="1" applyFill="1" applyBorder="1" applyAlignment="1">
      <alignment horizontal="left"/>
    </xf>
    <xf numFmtId="37" fontId="37" fillId="0" borderId="10" xfId="0" applyNumberFormat="1" applyFont="1" applyFill="1" applyBorder="1" applyAlignment="1">
      <alignment horizontal="center"/>
    </xf>
    <xf numFmtId="1" fontId="37" fillId="0" borderId="10" xfId="0" applyNumberFormat="1" applyFont="1" applyFill="1" applyBorder="1" applyAlignment="1">
      <alignment horizontal="right"/>
    </xf>
    <xf numFmtId="0" fontId="37" fillId="0" borderId="10" xfId="0" applyFont="1" applyFill="1" applyBorder="1" applyAlignment="1">
      <alignment horizontal="center"/>
    </xf>
    <xf numFmtId="0" fontId="37" fillId="0" borderId="10" xfId="0" applyFont="1" applyBorder="1"/>
    <xf numFmtId="167" fontId="37" fillId="0" borderId="10" xfId="0" applyNumberFormat="1" applyFont="1" applyBorder="1" applyAlignment="1">
      <alignment horizontal="center"/>
    </xf>
    <xf numFmtId="0" fontId="37" fillId="0" borderId="10" xfId="0" applyFont="1" applyFill="1" applyBorder="1"/>
    <xf numFmtId="1" fontId="2" fillId="0" borderId="0" xfId="0" applyNumberFormat="1" applyFont="1" applyFill="1" applyAlignment="1">
      <alignment horizontal="left"/>
    </xf>
    <xf numFmtId="17" fontId="52" fillId="0" borderId="47" xfId="0" applyNumberFormat="1" applyFont="1" applyBorder="1" applyAlignment="1">
      <alignment horizontal="left"/>
    </xf>
    <xf numFmtId="0" fontId="3" fillId="0" borderId="0" xfId="5"/>
    <xf numFmtId="0" fontId="3" fillId="0" borderId="0" xfId="5" applyAlignment="1">
      <alignment horizontal="center"/>
    </xf>
    <xf numFmtId="0" fontId="19" fillId="0" borderId="0" xfId="5" applyFont="1"/>
    <xf numFmtId="0" fontId="20" fillId="0" borderId="0" xfId="5" applyFont="1" applyAlignment="1">
      <alignment horizontal="center"/>
    </xf>
    <xf numFmtId="0" fontId="1" fillId="0" borderId="0" xfId="5" applyFont="1" applyBorder="1" applyAlignment="1">
      <alignment horizontal="center"/>
    </xf>
    <xf numFmtId="0" fontId="1" fillId="0" borderId="120" xfId="5" applyFont="1" applyBorder="1" applyAlignment="1">
      <alignment horizontal="center"/>
    </xf>
    <xf numFmtId="0" fontId="3" fillId="0" borderId="34" xfId="5" applyFont="1" applyBorder="1"/>
    <xf numFmtId="0" fontId="22" fillId="0" borderId="35" xfId="5" applyFont="1" applyBorder="1" applyAlignment="1">
      <alignment horizontal="center" vertical="center" wrapText="1"/>
    </xf>
    <xf numFmtId="0" fontId="23" fillId="0" borderId="34" xfId="5" applyFont="1" applyBorder="1" applyAlignment="1">
      <alignment horizontal="center" vertical="center" wrapText="1"/>
    </xf>
    <xf numFmtId="0" fontId="22" fillId="0" borderId="36" xfId="5" applyFont="1" applyBorder="1" applyAlignment="1">
      <alignment horizontal="center" vertical="center" wrapText="1"/>
    </xf>
    <xf numFmtId="0" fontId="22" fillId="0" borderId="37" xfId="5" applyFont="1" applyBorder="1" applyAlignment="1">
      <alignment horizontal="center" vertical="center" wrapText="1"/>
    </xf>
    <xf numFmtId="0" fontId="22" fillId="0" borderId="38" xfId="5" applyFont="1" applyBorder="1" applyAlignment="1">
      <alignment horizontal="center" vertical="center" wrapText="1"/>
    </xf>
    <xf numFmtId="17" fontId="24" fillId="0" borderId="11" xfId="5" applyNumberFormat="1" applyFont="1" applyBorder="1" applyAlignment="1">
      <alignment horizontal="left"/>
    </xf>
    <xf numFmtId="166" fontId="8" fillId="0" borderId="11" xfId="2" applyFont="1" applyBorder="1" applyProtection="1">
      <protection locked="0"/>
    </xf>
    <xf numFmtId="0" fontId="1" fillId="0" borderId="11" xfId="5" applyFont="1" applyBorder="1"/>
    <xf numFmtId="0" fontId="1" fillId="0" borderId="11" xfId="5" applyFont="1" applyBorder="1" applyAlignment="1">
      <alignment horizontal="center"/>
    </xf>
    <xf numFmtId="167" fontId="1" fillId="0" borderId="11" xfId="5" applyNumberFormat="1" applyFont="1" applyBorder="1" applyAlignment="1">
      <alignment horizontal="center"/>
    </xf>
    <xf numFmtId="0" fontId="3" fillId="0" borderId="0" xfId="5" applyFont="1"/>
    <xf numFmtId="0" fontId="5" fillId="0" borderId="0" xfId="5" applyFont="1"/>
    <xf numFmtId="166" fontId="3" fillId="0" borderId="0" xfId="5" applyNumberFormat="1" applyFont="1"/>
    <xf numFmtId="0" fontId="8" fillId="0" borderId="0" xfId="5" applyFont="1"/>
    <xf numFmtId="0" fontId="3" fillId="0" borderId="0" xfId="5" applyFont="1" applyAlignment="1">
      <alignment horizontal="left"/>
    </xf>
    <xf numFmtId="0" fontId="3" fillId="0" borderId="0" xfId="5" applyFont="1" applyAlignment="1">
      <alignment horizontal="center"/>
    </xf>
    <xf numFmtId="166" fontId="3" fillId="0" borderId="11" xfId="2" applyFont="1" applyBorder="1"/>
    <xf numFmtId="166" fontId="25" fillId="0" borderId="11" xfId="2" applyFont="1" applyBorder="1" applyProtection="1">
      <protection locked="0"/>
    </xf>
    <xf numFmtId="166" fontId="1" fillId="0" borderId="11" xfId="2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6" fillId="0" borderId="96" xfId="0" applyFont="1" applyBorder="1" applyAlignment="1">
      <alignment horizontal="center" wrapText="1"/>
    </xf>
    <xf numFmtId="0" fontId="60" fillId="0" borderId="0" xfId="0" applyFont="1" applyFill="1" applyBorder="1" applyAlignment="1">
      <alignment horizontal="center"/>
    </xf>
    <xf numFmtId="37" fontId="2" fillId="0" borderId="11" xfId="0" applyNumberFormat="1" applyFont="1" applyBorder="1" applyAlignment="1">
      <alignment horizontal="center"/>
    </xf>
    <xf numFmtId="0" fontId="2" fillId="0" borderId="95" xfId="0" applyFont="1" applyFill="1" applyBorder="1" applyAlignment="1"/>
    <xf numFmtId="0" fontId="5" fillId="0" borderId="28" xfId="0" applyFont="1" applyBorder="1" applyAlignment="1">
      <alignment horizontal="center"/>
    </xf>
    <xf numFmtId="17" fontId="52" fillId="0" borderId="45" xfId="0" applyNumberFormat="1" applyFont="1" applyBorder="1" applyAlignment="1">
      <alignment horizontal="left"/>
    </xf>
    <xf numFmtId="0" fontId="6" fillId="0" borderId="4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97" xfId="0" applyFont="1" applyBorder="1" applyAlignment="1">
      <alignment horizontal="center"/>
    </xf>
    <xf numFmtId="0" fontId="61" fillId="0" borderId="58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61" fillId="0" borderId="63" xfId="0" applyFont="1" applyBorder="1" applyAlignment="1">
      <alignment horizontal="center"/>
    </xf>
    <xf numFmtId="17" fontId="52" fillId="0" borderId="51" xfId="0" applyNumberFormat="1" applyFont="1" applyBorder="1" applyAlignment="1">
      <alignment horizontal="left"/>
    </xf>
    <xf numFmtId="17" fontId="52" fillId="0" borderId="64" xfId="0" applyNumberFormat="1" applyFont="1" applyBorder="1" applyAlignment="1">
      <alignment horizontal="left"/>
    </xf>
    <xf numFmtId="0" fontId="6" fillId="0" borderId="33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6" fillId="0" borderId="68" xfId="0" applyFont="1" applyBorder="1" applyAlignment="1">
      <alignment horizontal="center"/>
    </xf>
    <xf numFmtId="17" fontId="52" fillId="0" borderId="69" xfId="0" applyNumberFormat="1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5" fillId="0" borderId="72" xfId="0" applyFont="1" applyBorder="1" applyAlignment="1">
      <alignment horizontal="center"/>
    </xf>
    <xf numFmtId="17" fontId="52" fillId="0" borderId="73" xfId="0" applyNumberFormat="1" applyFont="1" applyBorder="1" applyAlignment="1">
      <alignment horizontal="left"/>
    </xf>
    <xf numFmtId="0" fontId="6" fillId="0" borderId="74" xfId="0" applyFont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6" fillId="0" borderId="76" xfId="0" applyFont="1" applyBorder="1" applyAlignment="1">
      <alignment horizontal="center"/>
    </xf>
    <xf numFmtId="0" fontId="5" fillId="0" borderId="77" xfId="0" applyFont="1" applyBorder="1" applyAlignment="1">
      <alignment horizontal="center"/>
    </xf>
    <xf numFmtId="17" fontId="52" fillId="0" borderId="78" xfId="0" applyNumberFormat="1" applyFont="1" applyBorder="1" applyAlignment="1">
      <alignment horizontal="left"/>
    </xf>
    <xf numFmtId="0" fontId="6" fillId="0" borderId="79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6" fillId="0" borderId="81" xfId="0" applyFont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6" fillId="0" borderId="106" xfId="0" applyFont="1" applyBorder="1" applyAlignment="1">
      <alignment horizontal="center"/>
    </xf>
    <xf numFmtId="0" fontId="6" fillId="0" borderId="83" xfId="0" applyFont="1" applyBorder="1" applyAlignment="1">
      <alignment horizontal="center"/>
    </xf>
    <xf numFmtId="17" fontId="63" fillId="0" borderId="44" xfId="0" applyNumberFormat="1" applyFont="1" applyBorder="1" applyAlignment="1">
      <alignment horizontal="center"/>
    </xf>
    <xf numFmtId="0" fontId="6" fillId="0" borderId="84" xfId="0" applyFont="1" applyBorder="1" applyAlignment="1">
      <alignment horizontal="center"/>
    </xf>
    <xf numFmtId="0" fontId="6" fillId="0" borderId="85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86" xfId="0" applyFont="1" applyBorder="1" applyAlignment="1">
      <alignment horizontal="center"/>
    </xf>
    <xf numFmtId="0" fontId="6" fillId="0" borderId="87" xfId="0" applyFont="1" applyBorder="1" applyAlignment="1">
      <alignment horizontal="center"/>
    </xf>
    <xf numFmtId="0" fontId="6" fillId="0" borderId="8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66" fontId="3" fillId="0" borderId="11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6" fontId="3" fillId="0" borderId="0" xfId="1" applyFont="1"/>
    <xf numFmtId="4" fontId="64" fillId="0" borderId="0" xfId="0" applyNumberFormat="1" applyFont="1"/>
    <xf numFmtId="17" fontId="5" fillId="0" borderId="1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2" applyFont="1" applyBorder="1" applyAlignment="1">
      <alignment horizontal="center"/>
    </xf>
    <xf numFmtId="166" fontId="5" fillId="0" borderId="46" xfId="2" applyFont="1" applyBorder="1" applyAlignment="1">
      <alignment horizontal="center"/>
    </xf>
    <xf numFmtId="166" fontId="5" fillId="0" borderId="26" xfId="2" applyFont="1" applyBorder="1" applyAlignment="1">
      <alignment horizontal="center"/>
    </xf>
    <xf numFmtId="166" fontId="5" fillId="0" borderId="10" xfId="2" applyFont="1" applyBorder="1" applyAlignment="1">
      <alignment horizontal="center"/>
    </xf>
    <xf numFmtId="166" fontId="5" fillId="0" borderId="11" xfId="2" applyFont="1" applyBorder="1" applyAlignment="1">
      <alignment horizontal="center"/>
    </xf>
    <xf numFmtId="166" fontId="5" fillId="0" borderId="19" xfId="2" applyFont="1" applyBorder="1" applyAlignment="1">
      <alignment horizontal="center"/>
    </xf>
    <xf numFmtId="166" fontId="5" fillId="0" borderId="14" xfId="2" applyFont="1" applyBorder="1" applyAlignment="1">
      <alignment horizontal="center"/>
    </xf>
    <xf numFmtId="17" fontId="5" fillId="0" borderId="13" xfId="0" applyNumberFormat="1" applyFont="1" applyBorder="1" applyAlignment="1">
      <alignment horizontal="center"/>
    </xf>
    <xf numFmtId="166" fontId="5" fillId="0" borderId="2" xfId="2" applyFont="1" applyBorder="1" applyAlignment="1">
      <alignment horizontal="center"/>
    </xf>
    <xf numFmtId="166" fontId="5" fillId="0" borderId="20" xfId="2" applyFont="1" applyBorder="1" applyAlignment="1">
      <alignment horizontal="center"/>
    </xf>
    <xf numFmtId="166" fontId="5" fillId="0" borderId="2" xfId="1" applyFont="1" applyBorder="1" applyAlignment="1">
      <alignment horizontal="center"/>
    </xf>
    <xf numFmtId="166" fontId="5" fillId="0" borderId="20" xfId="1" applyFont="1" applyBorder="1" applyAlignment="1">
      <alignment horizontal="center"/>
    </xf>
    <xf numFmtId="166" fontId="5" fillId="0" borderId="11" xfId="1" applyFont="1" applyBorder="1" applyAlignment="1">
      <alignment horizontal="center"/>
    </xf>
    <xf numFmtId="17" fontId="5" fillId="0" borderId="15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6" fontId="5" fillId="0" borderId="3" xfId="1" applyFont="1" applyBorder="1" applyAlignment="1">
      <alignment horizontal="center"/>
    </xf>
    <xf numFmtId="17" fontId="5" fillId="0" borderId="16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6" fontId="5" fillId="0" borderId="6" xfId="1" applyFont="1" applyBorder="1" applyAlignment="1">
      <alignment horizontal="center"/>
    </xf>
    <xf numFmtId="17" fontId="5" fillId="0" borderId="1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6" fontId="5" fillId="0" borderId="7" xfId="1" applyFont="1" applyBorder="1" applyAlignment="1">
      <alignment horizontal="center"/>
    </xf>
    <xf numFmtId="17" fontId="5" fillId="0" borderId="1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6" fontId="5" fillId="0" borderId="8" xfId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166" fontId="6" fillId="0" borderId="22" xfId="1" applyFont="1" applyBorder="1" applyAlignment="1">
      <alignment horizontal="center"/>
    </xf>
    <xf numFmtId="166" fontId="6" fillId="0" borderId="22" xfId="2" applyFont="1" applyBorder="1" applyAlignment="1">
      <alignment horizontal="center"/>
    </xf>
    <xf numFmtId="166" fontId="5" fillId="0" borderId="32" xfId="1" applyFont="1" applyBorder="1" applyAlignment="1">
      <alignment horizontal="center"/>
    </xf>
    <xf numFmtId="166" fontId="5" fillId="0" borderId="29" xfId="2" applyFont="1" applyBorder="1" applyAlignment="1">
      <alignment horizontal="center"/>
    </xf>
    <xf numFmtId="166" fontId="5" fillId="0" borderId="28" xfId="2" applyFont="1" applyBorder="1" applyAlignment="1">
      <alignment horizontal="center"/>
    </xf>
    <xf numFmtId="166" fontId="5" fillId="0" borderId="6" xfId="2" applyFont="1" applyBorder="1" applyAlignment="1">
      <alignment horizontal="center"/>
    </xf>
    <xf numFmtId="166" fontId="5" fillId="0" borderId="0" xfId="2" applyFont="1" applyBorder="1" applyAlignment="1">
      <alignment horizontal="center"/>
    </xf>
    <xf numFmtId="166" fontId="5" fillId="0" borderId="128" xfId="2" applyFont="1" applyBorder="1" applyAlignment="1">
      <alignment horizontal="center"/>
    </xf>
    <xf numFmtId="0" fontId="6" fillId="0" borderId="117" xfId="0" applyFont="1" applyBorder="1" applyAlignment="1">
      <alignment horizontal="center"/>
    </xf>
    <xf numFmtId="0" fontId="65" fillId="0" borderId="99" xfId="0" applyFont="1" applyBorder="1" applyAlignment="1">
      <alignment horizontal="center" wrapText="1" shrinkToFit="1"/>
    </xf>
    <xf numFmtId="17" fontId="13" fillId="0" borderId="12" xfId="0" applyNumberFormat="1" applyFont="1" applyBorder="1" applyAlignment="1">
      <alignment horizontal="center"/>
    </xf>
    <xf numFmtId="17" fontId="13" fillId="0" borderId="13" xfId="0" applyNumberFormat="1" applyFont="1" applyBorder="1" applyAlignment="1">
      <alignment horizontal="center"/>
    </xf>
    <xf numFmtId="17" fontId="13" fillId="0" borderId="15" xfId="0" applyNumberFormat="1" applyFont="1" applyBorder="1" applyAlignment="1">
      <alignment horizontal="center"/>
    </xf>
    <xf numFmtId="17" fontId="13" fillId="0" borderId="16" xfId="0" applyNumberFormat="1" applyFont="1" applyBorder="1" applyAlignment="1">
      <alignment horizontal="center"/>
    </xf>
    <xf numFmtId="17" fontId="13" fillId="0" borderId="17" xfId="0" applyNumberFormat="1" applyFont="1" applyBorder="1" applyAlignment="1">
      <alignment horizontal="center"/>
    </xf>
    <xf numFmtId="17" fontId="13" fillId="0" borderId="18" xfId="0" applyNumberFormat="1" applyFont="1" applyBorder="1" applyAlignment="1">
      <alignment horizontal="center"/>
    </xf>
    <xf numFmtId="0" fontId="66" fillId="0" borderId="23" xfId="0" applyFont="1" applyBorder="1" applyAlignment="1">
      <alignment horizontal="center" wrapText="1" shrinkToFit="1"/>
    </xf>
    <xf numFmtId="166" fontId="66" fillId="0" borderId="1" xfId="1" applyFont="1" applyBorder="1" applyAlignment="1">
      <alignment horizontal="center"/>
    </xf>
    <xf numFmtId="166" fontId="66" fillId="0" borderId="24" xfId="1" applyFont="1" applyBorder="1" applyAlignment="1">
      <alignment horizontal="center"/>
    </xf>
    <xf numFmtId="166" fontId="66" fillId="0" borderId="10" xfId="1" applyFont="1" applyBorder="1" applyAlignment="1">
      <alignment horizontal="center"/>
    </xf>
    <xf numFmtId="166" fontId="66" fillId="0" borderId="25" xfId="1" applyFont="1" applyBorder="1" applyAlignment="1">
      <alignment horizontal="center"/>
    </xf>
    <xf numFmtId="166" fontId="66" fillId="0" borderId="102" xfId="1" applyFont="1" applyBorder="1" applyAlignment="1">
      <alignment horizontal="center"/>
    </xf>
    <xf numFmtId="9" fontId="66" fillId="0" borderId="26" xfId="6" applyFont="1" applyBorder="1" applyAlignment="1">
      <alignment horizontal="center"/>
    </xf>
    <xf numFmtId="166" fontId="66" fillId="0" borderId="11" xfId="1" applyFont="1" applyBorder="1" applyAlignment="1">
      <alignment horizontal="center"/>
    </xf>
    <xf numFmtId="9" fontId="66" fillId="0" borderId="19" xfId="6" applyFont="1" applyBorder="1" applyAlignment="1">
      <alignment horizontal="center"/>
    </xf>
    <xf numFmtId="9" fontId="66" fillId="0" borderId="27" xfId="6" applyFont="1" applyBorder="1" applyAlignment="1">
      <alignment horizontal="center"/>
    </xf>
    <xf numFmtId="0" fontId="66" fillId="0" borderId="2" xfId="0" applyFont="1" applyBorder="1" applyAlignment="1">
      <alignment horizontal="center"/>
    </xf>
    <xf numFmtId="166" fontId="66" fillId="0" borderId="2" xfId="1" applyFont="1" applyBorder="1" applyAlignment="1">
      <alignment horizontal="center"/>
    </xf>
    <xf numFmtId="166" fontId="66" fillId="0" borderId="20" xfId="1" applyFont="1" applyBorder="1" applyAlignment="1">
      <alignment horizontal="center"/>
    </xf>
    <xf numFmtId="166" fontId="66" fillId="0" borderId="2" xfId="2" applyFont="1" applyBorder="1" applyAlignment="1">
      <alignment horizontal="center"/>
    </xf>
    <xf numFmtId="166" fontId="66" fillId="0" borderId="28" xfId="1" applyFont="1" applyBorder="1" applyAlignment="1">
      <alignment horizontal="center"/>
    </xf>
    <xf numFmtId="166" fontId="66" fillId="0" borderId="29" xfId="1" applyFont="1" applyBorder="1" applyAlignment="1">
      <alignment horizontal="center"/>
    </xf>
    <xf numFmtId="166" fontId="66" fillId="0" borderId="30" xfId="1" applyFont="1" applyFill="1" applyBorder="1" applyAlignment="1">
      <alignment horizontal="center"/>
    </xf>
    <xf numFmtId="166" fontId="66" fillId="0" borderId="7" xfId="1" applyFont="1" applyBorder="1" applyAlignment="1">
      <alignment horizontal="center"/>
    </xf>
    <xf numFmtId="166" fontId="66" fillId="0" borderId="127" xfId="0" applyNumberFormat="1" applyFont="1" applyBorder="1"/>
    <xf numFmtId="166" fontId="66" fillId="0" borderId="0" xfId="0" applyNumberFormat="1" applyFont="1"/>
    <xf numFmtId="166" fontId="66" fillId="0" borderId="31" xfId="1" applyFont="1" applyBorder="1" applyAlignment="1">
      <alignment horizontal="center"/>
    </xf>
    <xf numFmtId="10" fontId="66" fillId="0" borderId="27" xfId="6" applyNumberFormat="1" applyFont="1" applyBorder="1" applyAlignment="1">
      <alignment horizontal="center"/>
    </xf>
    <xf numFmtId="0" fontId="66" fillId="0" borderId="5" xfId="0" applyFont="1" applyBorder="1" applyAlignment="1">
      <alignment horizontal="center"/>
    </xf>
    <xf numFmtId="166" fontId="66" fillId="0" borderId="8" xfId="1" applyFont="1" applyBorder="1" applyAlignment="1">
      <alignment horizontal="center"/>
    </xf>
    <xf numFmtId="166" fontId="66" fillId="0" borderId="6" xfId="1" applyFont="1" applyBorder="1" applyAlignment="1">
      <alignment horizontal="center"/>
    </xf>
    <xf numFmtId="0" fontId="66" fillId="0" borderId="7" xfId="0" applyFont="1" applyBorder="1" applyAlignment="1">
      <alignment horizontal="center"/>
    </xf>
    <xf numFmtId="0" fontId="66" fillId="0" borderId="8" xfId="0" applyFont="1" applyBorder="1" applyAlignment="1">
      <alignment horizontal="center"/>
    </xf>
    <xf numFmtId="0" fontId="67" fillId="0" borderId="11" xfId="0" applyFont="1" applyBorder="1" applyAlignment="1">
      <alignment horizontal="center"/>
    </xf>
    <xf numFmtId="166" fontId="67" fillId="0" borderId="11" xfId="1" applyFont="1" applyBorder="1" applyAlignment="1">
      <alignment horizontal="center"/>
    </xf>
    <xf numFmtId="166" fontId="68" fillId="0" borderId="26" xfId="1" applyFont="1" applyBorder="1" applyAlignment="1">
      <alignment horizontal="center"/>
    </xf>
    <xf numFmtId="166" fontId="68" fillId="0" borderId="33" xfId="1" applyFont="1" applyBorder="1" applyAlignment="1">
      <alignment horizontal="center"/>
    </xf>
    <xf numFmtId="9" fontId="68" fillId="0" borderId="26" xfId="6" applyFont="1" applyBorder="1" applyAlignment="1">
      <alignment horizontal="center"/>
    </xf>
    <xf numFmtId="9" fontId="68" fillId="0" borderId="27" xfId="6" applyFont="1" applyBorder="1" applyAlignment="1">
      <alignment horizontal="center"/>
    </xf>
    <xf numFmtId="166" fontId="68" fillId="0" borderId="27" xfId="6" applyNumberFormat="1" applyFont="1" applyBorder="1" applyAlignment="1">
      <alignment horizontal="center"/>
    </xf>
    <xf numFmtId="10" fontId="68" fillId="0" borderId="27" xfId="6" applyNumberFormat="1" applyFont="1" applyBorder="1" applyAlignment="1">
      <alignment horizontal="center"/>
    </xf>
    <xf numFmtId="0" fontId="65" fillId="0" borderId="23" xfId="0" applyFont="1" applyBorder="1" applyAlignment="1">
      <alignment horizontal="center" wrapText="1" shrinkToFit="1"/>
    </xf>
    <xf numFmtId="0" fontId="65" fillId="0" borderId="116" xfId="0" applyFont="1" applyBorder="1" applyAlignment="1">
      <alignment horizontal="center" wrapText="1" shrinkToFit="1"/>
    </xf>
    <xf numFmtId="0" fontId="65" fillId="0" borderId="100" xfId="0" applyFont="1" applyBorder="1" applyAlignment="1">
      <alignment horizontal="center" wrapText="1" shrinkToFit="1"/>
    </xf>
    <xf numFmtId="0" fontId="65" fillId="0" borderId="9" xfId="0" applyFont="1" applyBorder="1" applyAlignment="1">
      <alignment horizontal="center" wrapText="1" shrinkToFit="1"/>
    </xf>
    <xf numFmtId="0" fontId="51" fillId="0" borderId="111" xfId="0" applyFont="1" applyBorder="1" applyAlignment="1">
      <alignment horizontal="center" wrapText="1" shrinkToFit="1"/>
    </xf>
    <xf numFmtId="0" fontId="51" fillId="0" borderId="112" xfId="0" applyFont="1" applyBorder="1" applyAlignment="1">
      <alignment horizontal="center" wrapText="1" shrinkToFit="1"/>
    </xf>
    <xf numFmtId="0" fontId="51" fillId="0" borderId="113" xfId="0" applyFont="1" applyBorder="1" applyAlignment="1">
      <alignment horizontal="center" wrapText="1" shrinkToFit="1"/>
    </xf>
    <xf numFmtId="166" fontId="51" fillId="0" borderId="112" xfId="1" applyFont="1" applyBorder="1" applyAlignment="1">
      <alignment horizontal="center" wrapText="1" shrinkToFit="1"/>
    </xf>
    <xf numFmtId="166" fontId="37" fillId="0" borderId="33" xfId="1" applyFont="1" applyBorder="1" applyAlignment="1">
      <alignment horizontal="center"/>
    </xf>
    <xf numFmtId="166" fontId="37" fillId="0" borderId="65" xfId="1" applyFont="1" applyBorder="1" applyAlignment="1">
      <alignment horizontal="center"/>
    </xf>
    <xf numFmtId="166" fontId="2" fillId="0" borderId="91" xfId="1" applyFont="1" applyBorder="1" applyAlignment="1">
      <alignment horizontal="center"/>
    </xf>
    <xf numFmtId="166" fontId="37" fillId="0" borderId="115" xfId="1" applyFont="1" applyBorder="1" applyAlignment="1">
      <alignment horizontal="center"/>
    </xf>
    <xf numFmtId="166" fontId="5" fillId="0" borderId="0" xfId="0" applyNumberFormat="1" applyFont="1"/>
    <xf numFmtId="166" fontId="6" fillId="0" borderId="0" xfId="0" applyNumberFormat="1" applyFont="1"/>
    <xf numFmtId="0" fontId="3" fillId="0" borderId="0" xfId="0" applyFont="1" applyFill="1"/>
    <xf numFmtId="0" fontId="11" fillId="0" borderId="0" xfId="0" applyFont="1" applyFill="1"/>
    <xf numFmtId="166" fontId="11" fillId="0" borderId="0" xfId="2" applyFont="1" applyFill="1"/>
    <xf numFmtId="0" fontId="8" fillId="0" borderId="0" xfId="0" applyFont="1" applyFill="1"/>
    <xf numFmtId="0" fontId="1" fillId="0" borderId="0" xfId="0" applyFont="1" applyFill="1"/>
    <xf numFmtId="166" fontId="69" fillId="0" borderId="0" xfId="2" applyFont="1"/>
    <xf numFmtId="0" fontId="69" fillId="0" borderId="0" xfId="0" applyFont="1"/>
    <xf numFmtId="0" fontId="69" fillId="0" borderId="0" xfId="0" applyFont="1" applyFill="1"/>
    <xf numFmtId="0" fontId="70" fillId="0" borderId="0" xfId="0" applyFont="1" applyFill="1"/>
    <xf numFmtId="166" fontId="70" fillId="0" borderId="0" xfId="2" applyFont="1" applyFill="1"/>
    <xf numFmtId="0" fontId="71" fillId="0" borderId="0" xfId="0" applyFont="1" applyFill="1"/>
    <xf numFmtId="0" fontId="72" fillId="0" borderId="0" xfId="0" applyFont="1" applyFill="1"/>
    <xf numFmtId="166" fontId="66" fillId="0" borderId="33" xfId="0" applyNumberFormat="1" applyFont="1" applyBorder="1"/>
    <xf numFmtId="166" fontId="3" fillId="0" borderId="0" xfId="0" applyNumberFormat="1" applyFont="1" applyBorder="1" applyAlignment="1">
      <alignment horizontal="right"/>
    </xf>
    <xf numFmtId="37" fontId="5" fillId="0" borderId="0" xfId="0" applyNumberFormat="1" applyFont="1"/>
    <xf numFmtId="1" fontId="37" fillId="0" borderId="0" xfId="0" applyNumberFormat="1" applyFont="1" applyAlignment="1"/>
    <xf numFmtId="0" fontId="1" fillId="0" borderId="0" xfId="0" applyFont="1" applyAlignment="1">
      <alignment horizontal="center"/>
    </xf>
    <xf numFmtId="0" fontId="1" fillId="0" borderId="121" xfId="0" applyFont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6" fillId="0" borderId="96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27" fillId="0" borderId="94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7" fillId="0" borderId="95" xfId="0" applyFont="1" applyBorder="1" applyAlignment="1">
      <alignment horizontal="center" wrapText="1"/>
    </xf>
    <xf numFmtId="0" fontId="7" fillId="0" borderId="97" xfId="0" applyFont="1" applyBorder="1" applyAlignment="1">
      <alignment horizontal="center" wrapText="1"/>
    </xf>
    <xf numFmtId="0" fontId="11" fillId="0" borderId="95" xfId="0" applyFont="1" applyBorder="1" applyAlignment="1">
      <alignment horizontal="center" wrapText="1"/>
    </xf>
    <xf numFmtId="0" fontId="11" fillId="0" borderId="97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22" fillId="0" borderId="122" xfId="5" applyFont="1" applyBorder="1" applyAlignment="1">
      <alignment horizontal="center" wrapText="1"/>
    </xf>
    <xf numFmtId="0" fontId="22" fillId="0" borderId="123" xfId="5" applyFont="1" applyBorder="1" applyAlignment="1">
      <alignment horizontal="center" wrapText="1"/>
    </xf>
    <xf numFmtId="0" fontId="22" fillId="0" borderId="124" xfId="5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1" fillId="0" borderId="43" xfId="0" applyFont="1" applyBorder="1" applyAlignment="1">
      <alignment horizontal="center" vertical="center" wrapText="1"/>
    </xf>
    <xf numFmtId="0" fontId="11" fillId="0" borderId="89" xfId="0" applyFont="1" applyBorder="1" applyAlignment="1">
      <alignment horizontal="center" vertical="center" wrapText="1"/>
    </xf>
    <xf numFmtId="0" fontId="11" fillId="0" borderId="125" xfId="0" applyFont="1" applyBorder="1" applyAlignment="1">
      <alignment horizontal="center" vertical="center" wrapText="1"/>
    </xf>
    <xf numFmtId="0" fontId="11" fillId="0" borderId="12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89" xfId="0" applyFont="1" applyBorder="1" applyAlignment="1">
      <alignment horizontal="center" vertical="center" wrapText="1"/>
    </xf>
    <xf numFmtId="0" fontId="1" fillId="0" borderId="125" xfId="0" applyFont="1" applyBorder="1" applyAlignment="1">
      <alignment horizontal="center" vertical="center" wrapText="1"/>
    </xf>
    <xf numFmtId="0" fontId="1" fillId="0" borderId="12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9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92" xfId="0" applyFont="1" applyBorder="1" applyAlignment="1">
      <alignment horizontal="center" wrapText="1"/>
    </xf>
    <xf numFmtId="0" fontId="6" fillId="0" borderId="54" xfId="0" applyFont="1" applyBorder="1" applyAlignment="1">
      <alignment horizontal="center" wrapText="1"/>
    </xf>
    <xf numFmtId="0" fontId="6" fillId="0" borderId="7" xfId="0" applyFont="1" applyFill="1" applyBorder="1" applyAlignment="1">
      <alignment horizontal="center"/>
    </xf>
    <xf numFmtId="0" fontId="6" fillId="0" borderId="54" xfId="0" applyFont="1" applyFill="1" applyBorder="1" applyAlignment="1">
      <alignment horizontal="center"/>
    </xf>
    <xf numFmtId="1" fontId="2" fillId="0" borderId="92" xfId="0" applyNumberFormat="1" applyFont="1" applyFill="1" applyBorder="1" applyAlignment="1">
      <alignment horizontal="right"/>
    </xf>
    <xf numFmtId="1" fontId="2" fillId="0" borderId="54" xfId="0" applyNumberFormat="1" applyFont="1" applyFill="1" applyBorder="1" applyAlignment="1">
      <alignment horizontal="right"/>
    </xf>
    <xf numFmtId="0" fontId="6" fillId="0" borderId="95" xfId="0" applyFont="1" applyBorder="1" applyAlignment="1">
      <alignment horizontal="center" wrapText="1"/>
    </xf>
    <xf numFmtId="0" fontId="6" fillId="0" borderId="97" xfId="0" applyFont="1" applyBorder="1" applyAlignment="1">
      <alignment horizontal="center" wrapText="1"/>
    </xf>
    <xf numFmtId="0" fontId="6" fillId="0" borderId="97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21" fillId="0" borderId="0" xfId="5" applyFont="1" applyAlignment="1">
      <alignment horizontal="center"/>
    </xf>
    <xf numFmtId="0" fontId="21" fillId="0" borderId="0" xfId="5" applyFont="1" applyBorder="1" applyAlignment="1">
      <alignment horizontal="center"/>
    </xf>
  </cellXfs>
  <cellStyles count="7">
    <cellStyle name="Moneda" xfId="1" builtinId="4"/>
    <cellStyle name="Moneda 2" xfId="2"/>
    <cellStyle name="Moneda 3" xfId="3"/>
    <cellStyle name="Normal" xfId="0" builtinId="0"/>
    <cellStyle name="Normal 2" xfId="4"/>
    <cellStyle name="Normal 3" xfId="5"/>
    <cellStyle name="Porcentaje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28575</xdr:rowOff>
    </xdr:from>
    <xdr:to>
      <xdr:col>1</xdr:col>
      <xdr:colOff>323850</xdr:colOff>
      <xdr:row>6</xdr:row>
      <xdr:rowOff>28575</xdr:rowOff>
    </xdr:to>
    <xdr:pic>
      <xdr:nvPicPr>
        <xdr:cNvPr id="1476" name="3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"/>
          <a:ext cx="8001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66675</xdr:rowOff>
    </xdr:from>
    <xdr:to>
      <xdr:col>1</xdr:col>
      <xdr:colOff>828675</xdr:colOff>
      <xdr:row>6</xdr:row>
      <xdr:rowOff>85725</xdr:rowOff>
    </xdr:to>
    <xdr:pic>
      <xdr:nvPicPr>
        <xdr:cNvPr id="5750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8600"/>
          <a:ext cx="742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1</xdr:row>
      <xdr:rowOff>66675</xdr:rowOff>
    </xdr:from>
    <xdr:to>
      <xdr:col>1</xdr:col>
      <xdr:colOff>828675</xdr:colOff>
      <xdr:row>6</xdr:row>
      <xdr:rowOff>85725</xdr:rowOff>
    </xdr:to>
    <xdr:pic>
      <xdr:nvPicPr>
        <xdr:cNvPr id="5751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8600"/>
          <a:ext cx="742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</xdr:row>
      <xdr:rowOff>28575</xdr:rowOff>
    </xdr:from>
    <xdr:to>
      <xdr:col>1</xdr:col>
      <xdr:colOff>819150</xdr:colOff>
      <xdr:row>6</xdr:row>
      <xdr:rowOff>28575</xdr:rowOff>
    </xdr:to>
    <xdr:pic>
      <xdr:nvPicPr>
        <xdr:cNvPr id="6774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52425"/>
          <a:ext cx="7429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</xdr:row>
      <xdr:rowOff>28575</xdr:rowOff>
    </xdr:from>
    <xdr:to>
      <xdr:col>1</xdr:col>
      <xdr:colOff>819150</xdr:colOff>
      <xdr:row>6</xdr:row>
      <xdr:rowOff>28575</xdr:rowOff>
    </xdr:to>
    <xdr:pic>
      <xdr:nvPicPr>
        <xdr:cNvPr id="6775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52425"/>
          <a:ext cx="7429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1</xdr:col>
      <xdr:colOff>171450</xdr:colOff>
      <xdr:row>3</xdr:row>
      <xdr:rowOff>104775</xdr:rowOff>
    </xdr:to>
    <xdr:pic>
      <xdr:nvPicPr>
        <xdr:cNvPr id="2498" name="3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533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76200</xdr:rowOff>
    </xdr:from>
    <xdr:to>
      <xdr:col>1</xdr:col>
      <xdr:colOff>409575</xdr:colOff>
      <xdr:row>2</xdr:row>
      <xdr:rowOff>57150</xdr:rowOff>
    </xdr:to>
    <xdr:pic>
      <xdr:nvPicPr>
        <xdr:cNvPr id="3525" name="3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6200"/>
          <a:ext cx="3333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177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1773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57150</xdr:rowOff>
    </xdr:from>
    <xdr:to>
      <xdr:col>2</xdr:col>
      <xdr:colOff>323850</xdr:colOff>
      <xdr:row>4</xdr:row>
      <xdr:rowOff>85725</xdr:rowOff>
    </xdr:to>
    <xdr:pic>
      <xdr:nvPicPr>
        <xdr:cNvPr id="17731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0"/>
          <a:ext cx="876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</xdr:row>
      <xdr:rowOff>85725</xdr:rowOff>
    </xdr:from>
    <xdr:to>
      <xdr:col>1</xdr:col>
      <xdr:colOff>895350</xdr:colOff>
      <xdr:row>7</xdr:row>
      <xdr:rowOff>123825</xdr:rowOff>
    </xdr:to>
    <xdr:pic>
      <xdr:nvPicPr>
        <xdr:cNvPr id="9665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657225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0</xdr:rowOff>
    </xdr:from>
    <xdr:to>
      <xdr:col>1</xdr:col>
      <xdr:colOff>0</xdr:colOff>
      <xdr:row>45</xdr:row>
      <xdr:rowOff>0</xdr:rowOff>
    </xdr:to>
    <xdr:pic>
      <xdr:nvPicPr>
        <xdr:cNvPr id="186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9077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1</xdr:col>
      <xdr:colOff>0</xdr:colOff>
      <xdr:row>45</xdr:row>
      <xdr:rowOff>0</xdr:rowOff>
    </xdr:to>
    <xdr:pic>
      <xdr:nvPicPr>
        <xdr:cNvPr id="1863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9077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45</xdr:row>
      <xdr:rowOff>0</xdr:rowOff>
    </xdr:from>
    <xdr:to>
      <xdr:col>8</xdr:col>
      <xdr:colOff>0</xdr:colOff>
      <xdr:row>45</xdr:row>
      <xdr:rowOff>0</xdr:rowOff>
    </xdr:to>
    <xdr:pic>
      <xdr:nvPicPr>
        <xdr:cNvPr id="186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9077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45</xdr:row>
      <xdr:rowOff>0</xdr:rowOff>
    </xdr:from>
    <xdr:to>
      <xdr:col>8</xdr:col>
      <xdr:colOff>0</xdr:colOff>
      <xdr:row>45</xdr:row>
      <xdr:rowOff>0</xdr:rowOff>
    </xdr:to>
    <xdr:pic>
      <xdr:nvPicPr>
        <xdr:cNvPr id="1863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9077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</xdr:row>
      <xdr:rowOff>66675</xdr:rowOff>
    </xdr:from>
    <xdr:to>
      <xdr:col>1</xdr:col>
      <xdr:colOff>809625</xdr:colOff>
      <xdr:row>7</xdr:row>
      <xdr:rowOff>9525</xdr:rowOff>
    </xdr:to>
    <xdr:pic>
      <xdr:nvPicPr>
        <xdr:cNvPr id="18633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552450"/>
          <a:ext cx="752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104775</xdr:rowOff>
    </xdr:from>
    <xdr:to>
      <xdr:col>1</xdr:col>
      <xdr:colOff>180975</xdr:colOff>
      <xdr:row>7</xdr:row>
      <xdr:rowOff>66675</xdr:rowOff>
    </xdr:to>
    <xdr:pic>
      <xdr:nvPicPr>
        <xdr:cNvPr id="11713" name="3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"/>
          <a:ext cx="447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304800</xdr:colOff>
      <xdr:row>1</xdr:row>
      <xdr:rowOff>114300</xdr:rowOff>
    </xdr:to>
    <xdr:pic>
      <xdr:nvPicPr>
        <xdr:cNvPr id="12939" name="5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19050</xdr:rowOff>
    </xdr:from>
    <xdr:to>
      <xdr:col>1</xdr:col>
      <xdr:colOff>828675</xdr:colOff>
      <xdr:row>4</xdr:row>
      <xdr:rowOff>133350</xdr:rowOff>
    </xdr:to>
    <xdr:pic>
      <xdr:nvPicPr>
        <xdr:cNvPr id="4908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80975"/>
          <a:ext cx="7429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1</xdr:row>
      <xdr:rowOff>19050</xdr:rowOff>
    </xdr:from>
    <xdr:to>
      <xdr:col>1</xdr:col>
      <xdr:colOff>828675</xdr:colOff>
      <xdr:row>4</xdr:row>
      <xdr:rowOff>133350</xdr:rowOff>
    </xdr:to>
    <xdr:pic>
      <xdr:nvPicPr>
        <xdr:cNvPr id="4909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80975"/>
          <a:ext cx="7429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1</xdr:row>
      <xdr:rowOff>19050</xdr:rowOff>
    </xdr:from>
    <xdr:to>
      <xdr:col>1</xdr:col>
      <xdr:colOff>828675</xdr:colOff>
      <xdr:row>4</xdr:row>
      <xdr:rowOff>133350</xdr:rowOff>
    </xdr:to>
    <xdr:pic>
      <xdr:nvPicPr>
        <xdr:cNvPr id="4910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80975"/>
          <a:ext cx="7429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ricel.Polanco/Documents/Maricel/cuadros/2019/documentos%20EXEL/ESTADISTICAS-2019/Copia%20de%20TOTAL%20DE%20ESTAD&#205;STICAS-2019%20(todos%20los%20cuadros)-L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SUMEN DE PAGADOS "/>
      <sheetName val="2. RESUMEN PAG VRS APORTES"/>
      <sheetName val="3. ESTADÍSTICAS"/>
      <sheetName val="4. RESUMEN DEV 30%"/>
      <sheetName val="5. RESUMEN VR"/>
      <sheetName val="6. RESUMEN VP"/>
      <sheetName val="7. REPORTE DE FALLECIDOS NOMBRE"/>
      <sheetName val="8. REPORTADOS F+ DETALLE-SEG"/>
      <sheetName val="9. FALELCIDOS PR SEXO "/>
      <sheetName val="10. FALLECIDOS POR DEPAR -SEXO"/>
      <sheetName val="11.COMP PAGOS DE SEGUROS 18-19"/>
      <sheetName val="12.EST COMPARATIVA 18-19"/>
      <sheetName val="13 COMPR DEV 30%"/>
      <sheetName val="14 COMP VR"/>
      <sheetName val="15. COMP VP"/>
      <sheetName val="aportes"/>
    </sheetNames>
    <sheetDataSet>
      <sheetData sheetId="0">
        <row r="16">
          <cell r="G16">
            <v>37028.550000000003</v>
          </cell>
          <cell r="H16">
            <v>162254.36000000002</v>
          </cell>
          <cell r="J16">
            <v>1142.8599999999999</v>
          </cell>
          <cell r="L16">
            <v>6857.16</v>
          </cell>
        </row>
      </sheetData>
      <sheetData sheetId="1">
        <row r="14">
          <cell r="G14">
            <v>137123.83000000002</v>
          </cell>
        </row>
        <row r="15">
          <cell r="D15">
            <v>4171.4399999999996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zoomScale="120" zoomScaleNormal="120" workbookViewId="0">
      <selection activeCell="D30" sqref="D30"/>
    </sheetView>
  </sheetViews>
  <sheetFormatPr baseColWidth="10" defaultRowHeight="12.75" x14ac:dyDescent="0.2"/>
  <cols>
    <col min="1" max="1" width="7.140625" customWidth="1"/>
    <col min="2" max="2" width="6.28515625" customWidth="1"/>
    <col min="3" max="3" width="6.7109375" customWidth="1"/>
    <col min="4" max="4" width="5.7109375" customWidth="1"/>
    <col min="5" max="5" width="5" customWidth="1"/>
    <col min="6" max="6" width="4.5703125" customWidth="1"/>
    <col min="7" max="7" width="11.85546875" customWidth="1"/>
    <col min="8" max="8" width="11.5703125" customWidth="1"/>
    <col min="9" max="9" width="11.7109375" customWidth="1"/>
    <col min="10" max="10" width="8.42578125" customWidth="1"/>
    <col min="11" max="11" width="10.42578125" customWidth="1"/>
    <col min="12" max="12" width="10.85546875" customWidth="1"/>
    <col min="13" max="13" width="10.7109375" customWidth="1"/>
    <col min="14" max="14" width="9.42578125" customWidth="1"/>
    <col min="15" max="15" width="9.7109375" customWidth="1"/>
    <col min="16" max="16" width="12.140625" customWidth="1"/>
    <col min="17" max="17" width="10.42578125" customWidth="1"/>
    <col min="18" max="18" width="9.140625" customWidth="1"/>
    <col min="19" max="19" width="12.5703125" customWidth="1"/>
    <col min="20" max="20" width="12" customWidth="1"/>
    <col min="21" max="21" width="13.140625" bestFit="1" customWidth="1"/>
    <col min="22" max="22" width="12.28515625" bestFit="1" customWidth="1"/>
  </cols>
  <sheetData>
    <row r="1" spans="1:2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5" t="s">
        <v>27</v>
      </c>
    </row>
    <row r="5" spans="1:2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2" x14ac:dyDescent="0.2">
      <c r="A6" s="694" t="s">
        <v>24</v>
      </c>
      <c r="B6" s="694"/>
      <c r="C6" s="694"/>
      <c r="D6" s="694"/>
      <c r="E6" s="694"/>
      <c r="F6" s="694"/>
      <c r="G6" s="694"/>
      <c r="H6" s="694"/>
      <c r="I6" s="694"/>
      <c r="J6" s="694"/>
      <c r="K6" s="694"/>
      <c r="L6" s="694"/>
      <c r="M6" s="694"/>
      <c r="N6" s="694"/>
      <c r="O6" s="694"/>
      <c r="P6" s="694"/>
      <c r="Q6" s="694"/>
      <c r="R6" s="694"/>
      <c r="S6" s="694"/>
      <c r="T6" s="3"/>
    </row>
    <row r="7" spans="1:22" x14ac:dyDescent="0.2">
      <c r="A7" s="694" t="s">
        <v>320</v>
      </c>
      <c r="B7" s="694"/>
      <c r="C7" s="694"/>
      <c r="D7" s="694"/>
      <c r="E7" s="694"/>
      <c r="F7" s="694"/>
      <c r="G7" s="694"/>
      <c r="H7" s="694"/>
      <c r="I7" s="694"/>
      <c r="J7" s="694"/>
      <c r="K7" s="694"/>
      <c r="L7" s="694"/>
      <c r="M7" s="694"/>
      <c r="N7" s="694"/>
      <c r="O7" s="694"/>
      <c r="P7" s="694"/>
      <c r="Q7" s="694"/>
      <c r="R7" s="694"/>
      <c r="S7" s="694"/>
      <c r="T7" s="3"/>
    </row>
    <row r="8" spans="1:22" ht="12.75" customHeight="1" thickBo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6"/>
      <c r="P8" s="36"/>
      <c r="Q8" s="36"/>
      <c r="R8" s="36"/>
      <c r="S8" s="3"/>
      <c r="T8" s="3"/>
    </row>
    <row r="9" spans="1:22" ht="97.5" customHeight="1" thickBot="1" x14ac:dyDescent="0.25">
      <c r="A9" s="476" t="s">
        <v>8</v>
      </c>
      <c r="B9" s="358" t="s">
        <v>251</v>
      </c>
      <c r="C9" s="358" t="s">
        <v>258</v>
      </c>
      <c r="D9" s="358" t="s">
        <v>12</v>
      </c>
      <c r="E9" s="358" t="s">
        <v>259</v>
      </c>
      <c r="F9" s="358" t="s">
        <v>252</v>
      </c>
      <c r="G9" s="358" t="s">
        <v>280</v>
      </c>
      <c r="H9" s="358" t="s">
        <v>2</v>
      </c>
      <c r="I9" s="358" t="s">
        <v>257</v>
      </c>
      <c r="J9" s="477" t="s">
        <v>281</v>
      </c>
      <c r="K9" s="477" t="s">
        <v>256</v>
      </c>
      <c r="L9" s="358" t="s">
        <v>282</v>
      </c>
      <c r="M9" s="473" t="s">
        <v>20</v>
      </c>
      <c r="N9" s="478" t="s">
        <v>19</v>
      </c>
      <c r="O9" s="479" t="s">
        <v>21</v>
      </c>
      <c r="P9" s="477" t="s">
        <v>255</v>
      </c>
      <c r="Q9" s="358" t="s">
        <v>314</v>
      </c>
      <c r="R9" s="477" t="s">
        <v>256</v>
      </c>
      <c r="S9" s="480" t="s">
        <v>1</v>
      </c>
      <c r="T9" s="23" t="s">
        <v>268</v>
      </c>
      <c r="U9" s="1"/>
    </row>
    <row r="10" spans="1:22" ht="23.1" customHeight="1" x14ac:dyDescent="0.2">
      <c r="A10" s="582" t="s">
        <v>3</v>
      </c>
      <c r="B10" s="583">
        <v>0</v>
      </c>
      <c r="C10" s="583">
        <f>2+8+5+5</f>
        <v>20</v>
      </c>
      <c r="D10" s="583">
        <f>11+8+20+3</f>
        <v>42</v>
      </c>
      <c r="E10" s="583">
        <f>1+3+3+3</f>
        <v>10</v>
      </c>
      <c r="F10" s="583">
        <v>10</v>
      </c>
      <c r="G10" s="584">
        <f>2228.57+10285.71+10114.28+1714.28</f>
        <v>24342.839999999997</v>
      </c>
      <c r="H10" s="584">
        <f>17785.71+43714.29+32628.56+2285.72</f>
        <v>96414.28</v>
      </c>
      <c r="I10" s="584">
        <v>41235.449999999997</v>
      </c>
      <c r="J10" s="585">
        <v>0</v>
      </c>
      <c r="K10" s="585">
        <v>0</v>
      </c>
      <c r="L10" s="584">
        <f>1142.86*7</f>
        <v>8000.0199999999995</v>
      </c>
      <c r="M10" s="586">
        <f>571.43+380.95+380.96+380.95+1142.86+285.7+285.72+285.72+285.72+1142.86</f>
        <v>5142.87</v>
      </c>
      <c r="N10" s="587">
        <v>0</v>
      </c>
      <c r="O10" s="587">
        <v>0</v>
      </c>
      <c r="P10" s="588">
        <v>0</v>
      </c>
      <c r="Q10" s="588">
        <v>0</v>
      </c>
      <c r="R10" s="585">
        <v>0</v>
      </c>
      <c r="S10" s="589">
        <f>+O10+N10+M10+L10+J10+H10+G10+P10</f>
        <v>133900.01</v>
      </c>
      <c r="T10" s="590">
        <f t="shared" ref="T10:T15" si="0">I10+K10</f>
        <v>41235.449999999997</v>
      </c>
      <c r="U10" s="22"/>
    </row>
    <row r="11" spans="1:22" ht="23.1" customHeight="1" x14ac:dyDescent="0.2">
      <c r="A11" s="591" t="s">
        <v>4</v>
      </c>
      <c r="B11" s="135">
        <v>0</v>
      </c>
      <c r="C11" s="135">
        <v>21</v>
      </c>
      <c r="D11" s="135">
        <v>44</v>
      </c>
      <c r="E11" s="135">
        <v>9</v>
      </c>
      <c r="F11" s="135">
        <v>12</v>
      </c>
      <c r="G11" s="592">
        <v>29142.85</v>
      </c>
      <c r="H11" s="592">
        <f>33257.13+29142.86+6857.03+17428.57</f>
        <v>86685.59</v>
      </c>
      <c r="I11" s="592">
        <f>888.3+753.48+1074.48+1130.14+1132.56+1130.14+1039.74+789.6+1132.56+1120.46+378.27+692.12+373.41+1144.52+914.76+1132.56</f>
        <v>14827.100000000004</v>
      </c>
      <c r="J11" s="592">
        <v>0</v>
      </c>
      <c r="K11" s="592">
        <v>0</v>
      </c>
      <c r="L11" s="592">
        <f>1142.86*11</f>
        <v>12571.46</v>
      </c>
      <c r="M11" s="593">
        <f>1142.86+1142.86+1200+1142.86+1142.86+1142.86+257.14+571.43+571.43+1142.86+1142.86+571.43</f>
        <v>11171.45</v>
      </c>
      <c r="N11" s="588">
        <v>20000</v>
      </c>
      <c r="O11" s="588">
        <v>0</v>
      </c>
      <c r="P11" s="588">
        <v>0</v>
      </c>
      <c r="Q11" s="588">
        <v>0</v>
      </c>
      <c r="R11" s="592">
        <v>0</v>
      </c>
      <c r="S11" s="589">
        <f t="shared" ref="S11:S16" si="1">O11+N11+M11+L11+J11+H11+G11+P11</f>
        <v>159571.35</v>
      </c>
      <c r="T11" s="590">
        <f t="shared" si="0"/>
        <v>14827.100000000004</v>
      </c>
    </row>
    <row r="12" spans="1:22" ht="23.1" customHeight="1" x14ac:dyDescent="0.2">
      <c r="A12" s="591" t="s">
        <v>5</v>
      </c>
      <c r="B12" s="135">
        <v>0</v>
      </c>
      <c r="C12" s="135">
        <v>28</v>
      </c>
      <c r="D12" s="135">
        <v>81</v>
      </c>
      <c r="E12" s="135">
        <v>12</v>
      </c>
      <c r="F12" s="135">
        <v>16</v>
      </c>
      <c r="G12" s="592">
        <f>6857.14+10285.71+13542.86+13714.28</f>
        <v>44399.99</v>
      </c>
      <c r="H12" s="592">
        <f>15946.02+53.97+50410.06+161.37+37965.19+91.93+39820.17+179.82</f>
        <v>144628.53</v>
      </c>
      <c r="I12" s="592">
        <f>558.25+1064.8+705.18+1142.1+56.42+1426.62+1120.46+858.39+1074.48+1134.98+984.94+922.56+1233.18+1378.26+597.31+1115.62+1134.98+1134.98+1132.56+1134.98+713.54+1821.56+1132.56+1450.8</f>
        <v>25029.510000000002</v>
      </c>
      <c r="J12" s="592">
        <v>0</v>
      </c>
      <c r="K12" s="592">
        <v>0</v>
      </c>
      <c r="L12" s="616">
        <f>1142.86*7</f>
        <v>8000.0199999999995</v>
      </c>
      <c r="M12" s="617">
        <f>914.29+571.43+1142.86+800+380.96+380.95</f>
        <v>4190.49</v>
      </c>
      <c r="N12" s="618">
        <v>0</v>
      </c>
      <c r="O12" s="618">
        <v>0</v>
      </c>
      <c r="P12" s="618">
        <v>0</v>
      </c>
      <c r="Q12" s="618">
        <v>0</v>
      </c>
      <c r="R12" s="616">
        <v>0</v>
      </c>
      <c r="S12" s="619">
        <f t="shared" si="1"/>
        <v>201219.03</v>
      </c>
      <c r="T12" s="620">
        <f t="shared" si="0"/>
        <v>25029.510000000002</v>
      </c>
      <c r="U12" s="12"/>
      <c r="V12" s="12"/>
    </row>
    <row r="13" spans="1:22" ht="23.1" customHeight="1" x14ac:dyDescent="0.2">
      <c r="A13" s="591" t="s">
        <v>6</v>
      </c>
      <c r="B13" s="135">
        <f>5+11+3+3</f>
        <v>22</v>
      </c>
      <c r="C13" s="135">
        <f>8+2+1+1</f>
        <v>12</v>
      </c>
      <c r="D13" s="135">
        <f>11+10+23+25</f>
        <v>69</v>
      </c>
      <c r="E13" s="135">
        <v>23</v>
      </c>
      <c r="F13" s="135">
        <v>11</v>
      </c>
      <c r="G13" s="592">
        <f>13165.71+3600+6857.14</f>
        <v>23622.85</v>
      </c>
      <c r="H13" s="592">
        <f>52879.07+252.35+38133.99+151.72+9644.22+12.93+43422.31+149.12</f>
        <v>144645.71</v>
      </c>
      <c r="I13" s="592">
        <f>1118.04+987.36+347.49+365.31+1668.42+806+977.68+1134.98+1137.4+531.3+1869.92+776.12+1394.38+361.16+379.89+381.51+1132.56+1069.64+366.93+1069.64+701.96+1139.82+1139.82+1139.82+842.16+842.16+493+616.59+730.94+380.7+1547.52+655.96+1184.82+1628.12</f>
        <v>30919.119999999995</v>
      </c>
      <c r="J13" s="592">
        <v>0</v>
      </c>
      <c r="K13" s="593">
        <v>0</v>
      </c>
      <c r="L13" s="588">
        <f>1142.86*8</f>
        <v>9142.8799999999992</v>
      </c>
      <c r="M13" s="588">
        <f>1200+1142.86+571.43+1142.86+800+1142.86+1200+1142.86+571.43+1142.86+571.43+380.95</f>
        <v>11009.54</v>
      </c>
      <c r="N13" s="588">
        <v>0</v>
      </c>
      <c r="O13" s="588">
        <v>0</v>
      </c>
      <c r="P13" s="588">
        <v>0</v>
      </c>
      <c r="Q13" s="588">
        <v>0</v>
      </c>
      <c r="R13" s="588">
        <v>0</v>
      </c>
      <c r="S13" s="588">
        <f t="shared" si="1"/>
        <v>188420.98</v>
      </c>
      <c r="T13" s="588">
        <f t="shared" si="0"/>
        <v>30919.119999999995</v>
      </c>
    </row>
    <row r="14" spans="1:22" ht="23.1" customHeight="1" x14ac:dyDescent="0.2">
      <c r="A14" s="591" t="s">
        <v>7</v>
      </c>
      <c r="B14" s="135">
        <f>9+10+4+9</f>
        <v>32</v>
      </c>
      <c r="C14" s="121">
        <f>1+1+2+3</f>
        <v>7</v>
      </c>
      <c r="D14" s="135">
        <f>17+22+12+23</f>
        <v>74</v>
      </c>
      <c r="E14" s="135">
        <f>9+7+6+10</f>
        <v>32</v>
      </c>
      <c r="F14" s="135">
        <v>7</v>
      </c>
      <c r="G14" s="592">
        <f>6857.14+16285.71+3428.57+6857.14</f>
        <v>33428.559999999998</v>
      </c>
      <c r="H14" s="592">
        <f>50706.78+184.64+45670.95+81.44+11680.38+33.9+36527.11+181.45</f>
        <v>145066.65000000002</v>
      </c>
      <c r="I14" s="592">
        <f>1103.52+4.84+1161.6+2.42+1257.36+64.48+1103.52+7.26+1045.44+12.1+359.64+8.91+1547.52+88.66+1074.48+19.36+1160.64+8.06+1132.56+7.26+637.56+4.83+369.36+4.05+714.84+3.22+386.88+56.42+696.6+70.95+338.52+40.3+9.66+1132.56+9.68+193.44+88.66+379.08+1.62+12.88+1132.56+9.68+1045.44+16.94+369.36+7.29+379.08+2.43+842.16+16.94+1074.48+4.84+1103.52+16.94+1132.56+359.64+1103.52+19.36+435.6+24.2+386.88+12.1+1132.56+9.68+379.08+1.62+1016.4+26.62+1150.56+16.92+1132.56+12.1</f>
        <v>30694.36</v>
      </c>
      <c r="J14" s="592">
        <v>0</v>
      </c>
      <c r="K14" s="593">
        <v>0</v>
      </c>
      <c r="L14" s="588">
        <f>1142.86*8</f>
        <v>9142.8799999999992</v>
      </c>
      <c r="M14" s="588">
        <f>1142.86+300+300+1028.57+1142.86</f>
        <v>3914.29</v>
      </c>
      <c r="N14" s="588">
        <v>0</v>
      </c>
      <c r="O14" s="588">
        <v>0</v>
      </c>
      <c r="P14" s="588">
        <v>0</v>
      </c>
      <c r="Q14" s="588">
        <v>0</v>
      </c>
      <c r="R14" s="588">
        <v>0</v>
      </c>
      <c r="S14" s="588">
        <f t="shared" si="1"/>
        <v>191552.38</v>
      </c>
      <c r="T14" s="588">
        <f t="shared" si="0"/>
        <v>30694.36</v>
      </c>
    </row>
    <row r="15" spans="1:22" ht="23.1" customHeight="1" x14ac:dyDescent="0.2">
      <c r="A15" s="591" t="s">
        <v>9</v>
      </c>
      <c r="B15" s="135">
        <f>8+10+4+9</f>
        <v>31</v>
      </c>
      <c r="C15" s="135">
        <f>2+1+1</f>
        <v>4</v>
      </c>
      <c r="D15" s="135">
        <f>19+11+21+24</f>
        <v>75</v>
      </c>
      <c r="E15" s="135">
        <f>8+2+5+6</f>
        <v>21</v>
      </c>
      <c r="F15" s="135">
        <f>2+2+6+4</f>
        <v>14</v>
      </c>
      <c r="G15" s="592">
        <f>8228.57+14262.85+3428.57+6857.14</f>
        <v>32777.129999999997</v>
      </c>
      <c r="H15" s="592">
        <f>23177.27+79.86+43370.29+172.57+19332.6+95.97+28621.9+120.95</f>
        <v>114971.40999999999</v>
      </c>
      <c r="I15" s="592">
        <f>987.36+2.42+38.64+16.1+784.08+14.52+784.08+9.68+1016.4+9.68+1074.48+14.52+1103.52+19.36+714.84+17.71+1103.52+12.1+1132.56+7.26+1132.56+9.68+1132.56+9.68+1132.56+12.1+870.48+56.42+773.76+32.24+406.08+28.2+531.96+4.03+349.92+8.91+1103.52+19.36+349.92+842.16+21.78+958.32+9.68+96.72+8.06+1837.68+40.3+359.64+4.86+958.32+2.42+340.2+4.86+1132.56+12.1+753.48+8.05+1016.4+637.56+3.22+116.16+9.68</f>
        <v>26000.980000000003</v>
      </c>
      <c r="J15" s="592">
        <v>0</v>
      </c>
      <c r="K15" s="593">
        <v>0</v>
      </c>
      <c r="L15" s="588">
        <f>1142.86*6</f>
        <v>6857.16</v>
      </c>
      <c r="M15" s="588">
        <f>228.58+228.57+228.57+1142.86+1200+1142.86+380.95+380.96+380.95</f>
        <v>5314.2999999999993</v>
      </c>
      <c r="N15" s="588">
        <v>11428.57</v>
      </c>
      <c r="O15" s="588">
        <v>0</v>
      </c>
      <c r="P15" s="588">
        <v>0</v>
      </c>
      <c r="Q15" s="588">
        <v>0</v>
      </c>
      <c r="R15" s="588">
        <v>0</v>
      </c>
      <c r="S15" s="588">
        <f t="shared" si="1"/>
        <v>171348.57</v>
      </c>
      <c r="T15" s="588">
        <f t="shared" si="0"/>
        <v>26000.980000000003</v>
      </c>
    </row>
    <row r="16" spans="1:22" ht="23.1" customHeight="1" x14ac:dyDescent="0.2">
      <c r="A16" s="591" t="s">
        <v>10</v>
      </c>
      <c r="B16" s="135">
        <f>9+8+9+9</f>
        <v>35</v>
      </c>
      <c r="C16" s="135">
        <f>1+1+2</f>
        <v>4</v>
      </c>
      <c r="D16" s="135">
        <f>2+23+18+18+22</f>
        <v>83</v>
      </c>
      <c r="E16" s="135">
        <f>1+7+5+6+8</f>
        <v>27</v>
      </c>
      <c r="F16" s="135">
        <f>2+3+4+3</f>
        <v>12</v>
      </c>
      <c r="G16" s="592">
        <f>6857.14+5142.85+14399.99+10628.57</f>
        <v>37028.550000000003</v>
      </c>
      <c r="H16" s="592">
        <f>5673.99+40.3+41921.49+249.93+57318.9+109.66+19454.21+88.75+37037.07+360.06</f>
        <v>162254.36000000002</v>
      </c>
      <c r="I16" s="592">
        <f>48.36+871.2+14.52+379.08+3.24+1132.56+12.1+1132.56+12.1+1837.68+32.24+609.84+26.62+435.24+677.04+16.12+379.08+4.86+1132.56+14.52+753.48+9.66+1132.56+12.1+1015.2+211.5+1103.52+2.42+1837.68+48.36+1132.56+12.1+842.16+16.94+1074.48+2.42+377.52+1132.56+7.26+551.76+348.48+9.68+580.8+9.68+842.16+21.78+301.32+8.91+1132.56+16.94+1045.44+7.26+784.08+21.78+507.84+74.06+435+29+1103.52+19.36+1132.56+16.94+1132.56+14.52+1103.52</f>
        <v>30747.509999999995</v>
      </c>
      <c r="J16" s="594">
        <v>1142.8599999999999</v>
      </c>
      <c r="K16" s="593">
        <f>869.76+18.12</f>
        <v>887.88</v>
      </c>
      <c r="L16" s="588">
        <f>1142.86*6</f>
        <v>6857.16</v>
      </c>
      <c r="M16" s="588">
        <f>685.71+600+600+380.96+380.95+380.95+285.72+285.72+571.43</f>
        <v>4171.4400000000005</v>
      </c>
      <c r="N16" s="588">
        <v>0</v>
      </c>
      <c r="O16" s="588">
        <v>0</v>
      </c>
      <c r="P16" s="588">
        <v>0</v>
      </c>
      <c r="Q16" s="588">
        <v>0</v>
      </c>
      <c r="R16" s="588">
        <v>0</v>
      </c>
      <c r="S16" s="588">
        <f t="shared" si="1"/>
        <v>211454.37</v>
      </c>
      <c r="T16" s="588">
        <f>I16+K16</f>
        <v>31635.389999999996</v>
      </c>
      <c r="U16" s="27"/>
      <c r="V16" s="27"/>
    </row>
    <row r="17" spans="1:21" ht="23.1" customHeight="1" x14ac:dyDescent="0.2">
      <c r="A17" s="591" t="s">
        <v>11</v>
      </c>
      <c r="B17" s="135">
        <v>33</v>
      </c>
      <c r="C17" s="135">
        <f>2+1+3+1</f>
        <v>7</v>
      </c>
      <c r="D17" s="135">
        <f>15+22+9+23</f>
        <v>69</v>
      </c>
      <c r="E17" s="135">
        <v>30</v>
      </c>
      <c r="F17" s="135">
        <v>10</v>
      </c>
      <c r="G17" s="594">
        <f>4971.42+5760+5485.71+10285.69+0.02</f>
        <v>26502.84</v>
      </c>
      <c r="H17" s="594">
        <f>42571.42+39702.86+0.02-0.02+6000+0.01+35428.58-0.02</f>
        <v>123702.84999999999</v>
      </c>
      <c r="I17" s="594">
        <v>26246.3</v>
      </c>
      <c r="J17" s="594">
        <v>0</v>
      </c>
      <c r="K17" s="595">
        <v>0</v>
      </c>
      <c r="L17" s="596">
        <f>1142.86*5</f>
        <v>5714.2999999999993</v>
      </c>
      <c r="M17" s="596">
        <f>571.43+571.43+571.43+571.43+228.57+228.58+228.57+1142.86+571.43+571.43+800+190.47+190.48+190.48</f>
        <v>6628.59</v>
      </c>
      <c r="N17" s="596">
        <v>3428.57</v>
      </c>
      <c r="O17" s="588">
        <v>0</v>
      </c>
      <c r="P17" s="596">
        <v>0</v>
      </c>
      <c r="Q17" s="596">
        <v>4001.98</v>
      </c>
      <c r="R17" s="596">
        <v>16.829999999999998</v>
      </c>
      <c r="S17" s="596">
        <f>O17+N17+M17+L17+J17+H17+G17+P17+Q17</f>
        <v>169979.13</v>
      </c>
      <c r="T17" s="588">
        <f>I17+K17+R17</f>
        <v>26263.13</v>
      </c>
      <c r="U17" s="28"/>
    </row>
    <row r="18" spans="1:21" ht="23.1" customHeight="1" x14ac:dyDescent="0.2">
      <c r="A18" s="597" t="s">
        <v>14</v>
      </c>
      <c r="B18" s="598">
        <f>9+8+11+7</f>
        <v>35</v>
      </c>
      <c r="C18" s="599">
        <f>0+2+2+2</f>
        <v>6</v>
      </c>
      <c r="D18" s="598">
        <f>21+22+25+22</f>
        <v>90</v>
      </c>
      <c r="E18" s="598">
        <f>5+6+8+2</f>
        <v>21</v>
      </c>
      <c r="F18" s="598">
        <f>4+4+5+7</f>
        <v>20</v>
      </c>
      <c r="G18" s="600">
        <f>22628.56+0.02-0.02+10285.71+16799.99+0.01-0.01+4114.27+0.01</f>
        <v>53828.540000000015</v>
      </c>
      <c r="H18" s="600">
        <f>41285.71+0.01-0.02+32102.89+0.01-0.04+54857.17+0.01-0.04+20800+0.01-0.03</f>
        <v>149045.68000000002</v>
      </c>
      <c r="I18" s="600">
        <f>'TOTAL APORTES'!H40</f>
        <v>27876.599999999995</v>
      </c>
      <c r="J18" s="600">
        <f>1142.88-0.02+1714.3-0.01+571.43</f>
        <v>3428.5799999999995</v>
      </c>
      <c r="K18" s="615">
        <f>'TOTAL APORTES'!C22</f>
        <v>2920.5600000000004</v>
      </c>
      <c r="L18" s="596">
        <f>1142.86*12</f>
        <v>13714.32</v>
      </c>
      <c r="M18" s="596">
        <f>285.7+285.72+285.72+285.72+285.72+285.7+285.72+285.72+571.43+285.72+1142.86+1200+571.43</f>
        <v>6057.16</v>
      </c>
      <c r="N18" s="596">
        <v>0</v>
      </c>
      <c r="O18" s="596">
        <v>0</v>
      </c>
      <c r="P18" s="596">
        <v>0</v>
      </c>
      <c r="Q18" s="596">
        <v>0</v>
      </c>
      <c r="R18" s="596">
        <v>0</v>
      </c>
      <c r="S18" s="596">
        <f>O18+N18+M18+L18+J18+H18+G18+P18+Q18</f>
        <v>226074.28000000003</v>
      </c>
      <c r="T18" s="588">
        <f>I18+K18+R18</f>
        <v>30797.159999999996</v>
      </c>
      <c r="U18" s="28">
        <f>S18+'4. RESUMEN DEV 30%'!F22+'4. RESUMEN DEV 30%'!D22+'5. RESUMEN VR'!F20+'5. RESUMEN VR'!D20+'6. RESUMEN VP'!F22+'6. RESUMEN VP'!D22</f>
        <v>428868.82</v>
      </c>
    </row>
    <row r="19" spans="1:21" ht="23.1" customHeight="1" x14ac:dyDescent="0.2">
      <c r="A19" s="601" t="s">
        <v>15</v>
      </c>
      <c r="B19" s="602"/>
      <c r="C19" s="603"/>
      <c r="D19" s="603"/>
      <c r="E19" s="603"/>
      <c r="F19" s="603"/>
      <c r="G19" s="604"/>
      <c r="H19" s="604"/>
      <c r="I19" s="604"/>
      <c r="J19" s="604"/>
      <c r="K19" s="610"/>
      <c r="L19" s="596"/>
      <c r="M19" s="596"/>
      <c r="N19" s="596"/>
      <c r="O19" s="596"/>
      <c r="P19" s="596"/>
      <c r="Q19" s="596"/>
      <c r="R19" s="596"/>
      <c r="S19" s="596"/>
      <c r="T19" s="596"/>
    </row>
    <row r="20" spans="1:21" ht="23.1" customHeight="1" x14ac:dyDescent="0.2">
      <c r="A20" s="605" t="s">
        <v>16</v>
      </c>
      <c r="B20" s="606"/>
      <c r="C20" s="606"/>
      <c r="D20" s="606"/>
      <c r="E20" s="606"/>
      <c r="F20" s="603"/>
      <c r="G20" s="607"/>
      <c r="H20" s="607"/>
      <c r="I20" s="607"/>
      <c r="J20" s="607"/>
      <c r="K20" s="607"/>
      <c r="L20" s="596"/>
      <c r="M20" s="596"/>
      <c r="N20" s="596"/>
      <c r="O20" s="596"/>
      <c r="P20" s="596"/>
      <c r="Q20" s="596"/>
      <c r="R20" s="596"/>
      <c r="S20" s="596"/>
      <c r="T20" s="596"/>
    </row>
    <row r="21" spans="1:21" ht="23.1" customHeight="1" x14ac:dyDescent="0.2">
      <c r="A21" s="608" t="s">
        <v>17</v>
      </c>
      <c r="B21" s="609"/>
      <c r="C21" s="609"/>
      <c r="D21" s="609"/>
      <c r="E21" s="609"/>
      <c r="F21" s="609"/>
      <c r="G21" s="610"/>
      <c r="H21" s="610"/>
      <c r="I21" s="610"/>
      <c r="J21" s="610"/>
      <c r="K21" s="610"/>
      <c r="L21" s="596"/>
      <c r="M21" s="596"/>
      <c r="N21" s="596"/>
      <c r="O21" s="596"/>
      <c r="P21" s="596"/>
      <c r="Q21" s="596"/>
      <c r="R21" s="596"/>
      <c r="S21" s="596"/>
      <c r="T21" s="596"/>
    </row>
    <row r="22" spans="1:21" ht="27.75" customHeight="1" thickBot="1" x14ac:dyDescent="0.25">
      <c r="A22" s="611" t="s">
        <v>0</v>
      </c>
      <c r="B22" s="612">
        <f>SUM(B12:B21)</f>
        <v>188</v>
      </c>
      <c r="C22" s="612">
        <f t="shared" ref="C22:H22" si="2">SUM(C10:C21)</f>
        <v>109</v>
      </c>
      <c r="D22" s="612">
        <f t="shared" si="2"/>
        <v>627</v>
      </c>
      <c r="E22" s="612">
        <f t="shared" si="2"/>
        <v>185</v>
      </c>
      <c r="F22" s="612">
        <f t="shared" si="2"/>
        <v>112</v>
      </c>
      <c r="G22" s="613">
        <f t="shared" si="2"/>
        <v>305074.15000000002</v>
      </c>
      <c r="H22" s="613">
        <f t="shared" si="2"/>
        <v>1167415.06</v>
      </c>
      <c r="I22" s="613">
        <f t="shared" ref="I22:P22" si="3">SUM(I10:I21)</f>
        <v>253576.92999999996</v>
      </c>
      <c r="J22" s="613">
        <f t="shared" si="3"/>
        <v>4571.4399999999996</v>
      </c>
      <c r="K22" s="613">
        <f t="shared" si="3"/>
        <v>3808.4400000000005</v>
      </c>
      <c r="L22" s="613">
        <f t="shared" si="3"/>
        <v>80000.200000000012</v>
      </c>
      <c r="M22" s="613">
        <f t="shared" si="3"/>
        <v>57600.130000000005</v>
      </c>
      <c r="N22" s="613">
        <f t="shared" si="3"/>
        <v>34857.14</v>
      </c>
      <c r="O22" s="613">
        <f t="shared" si="3"/>
        <v>0</v>
      </c>
      <c r="P22" s="613">
        <f t="shared" si="3"/>
        <v>0</v>
      </c>
      <c r="Q22" s="613">
        <f t="shared" ref="Q22:R22" si="4">SUM(Q10:Q21)</f>
        <v>4001.98</v>
      </c>
      <c r="R22" s="613">
        <f t="shared" si="4"/>
        <v>16.829999999999998</v>
      </c>
      <c r="S22" s="613">
        <f>SUM(S10:S21)</f>
        <v>1653520.0999999999</v>
      </c>
      <c r="T22" s="614">
        <f>SUM(T10:T21)</f>
        <v>257402.19999999998</v>
      </c>
      <c r="U22" s="25"/>
    </row>
    <row r="23" spans="1:21" x14ac:dyDescent="0.2">
      <c r="A23" s="465" t="s">
        <v>322</v>
      </c>
      <c r="B23" s="20"/>
      <c r="C23" s="20"/>
      <c r="D23" s="20"/>
      <c r="E23" s="20"/>
      <c r="F23" s="20"/>
      <c r="G23" s="5"/>
      <c r="H23" s="20"/>
      <c r="I23" s="20"/>
      <c r="J23" s="5"/>
      <c r="K23" s="5"/>
      <c r="L23" s="5"/>
      <c r="M23" s="5"/>
      <c r="N23" s="5"/>
      <c r="O23" s="3"/>
      <c r="P23" s="3"/>
      <c r="Q23" s="3"/>
      <c r="R23" s="3"/>
      <c r="S23" s="3"/>
      <c r="T23" s="468" t="s">
        <v>321</v>
      </c>
    </row>
    <row r="24" spans="1:21" x14ac:dyDescent="0.2">
      <c r="A24" s="8"/>
      <c r="B24" s="7"/>
      <c r="C24" s="20"/>
      <c r="D24" s="20"/>
      <c r="E24" s="20"/>
      <c r="F24" s="20"/>
      <c r="G24" s="5"/>
      <c r="H24" s="20"/>
      <c r="I24" s="20"/>
      <c r="J24" s="5"/>
      <c r="K24" s="5"/>
      <c r="L24" s="5"/>
      <c r="M24" s="5"/>
      <c r="N24" s="5"/>
      <c r="O24" s="5"/>
      <c r="P24" s="5"/>
      <c r="Q24" s="5"/>
      <c r="R24" s="5"/>
      <c r="S24" s="24"/>
      <c r="T24" s="5"/>
    </row>
    <row r="25" spans="1:21" x14ac:dyDescent="0.2">
      <c r="A25" s="3"/>
      <c r="B25" s="7"/>
      <c r="C25" s="20"/>
      <c r="D25" s="20"/>
      <c r="E25" s="20"/>
      <c r="F25" s="20"/>
      <c r="G25" s="5"/>
      <c r="H25" s="20"/>
      <c r="I25" s="20"/>
      <c r="J25" s="5"/>
      <c r="K25" s="5"/>
      <c r="L25" s="5"/>
      <c r="M25" s="5"/>
      <c r="N25" s="5"/>
      <c r="O25" s="3"/>
      <c r="P25" s="3"/>
      <c r="Q25" s="3"/>
      <c r="R25" s="3"/>
      <c r="S25" s="3"/>
      <c r="T25" s="5"/>
    </row>
    <row r="26" spans="1:21" x14ac:dyDescent="0.2">
      <c r="A26" s="20"/>
      <c r="B26" s="7"/>
      <c r="C26" s="20"/>
      <c r="D26" s="20"/>
      <c r="E26" s="20"/>
      <c r="F26" s="20"/>
      <c r="G26" s="5"/>
      <c r="H26" s="20"/>
      <c r="I26" s="20"/>
      <c r="J26" s="5"/>
      <c r="K26" s="5"/>
      <c r="L26" s="5"/>
      <c r="M26" s="5"/>
      <c r="N26" s="5"/>
      <c r="O26" s="3"/>
      <c r="P26" s="11"/>
      <c r="Q26" s="11"/>
      <c r="R26" s="11"/>
      <c r="S26" s="3"/>
      <c r="T26" s="5"/>
    </row>
    <row r="27" spans="1:21" x14ac:dyDescent="0.2">
      <c r="A27" s="7"/>
      <c r="B27" s="7"/>
      <c r="C27" s="8"/>
      <c r="D27" s="8"/>
      <c r="E27" s="8"/>
      <c r="F27" s="8"/>
      <c r="G27" s="7"/>
      <c r="H27" s="8"/>
      <c r="I27" s="8"/>
      <c r="J27" s="7"/>
      <c r="K27" s="7"/>
      <c r="L27" s="7"/>
      <c r="M27" s="7"/>
      <c r="N27" s="7"/>
      <c r="O27" s="7"/>
      <c r="P27" s="62"/>
      <c r="Q27" s="62"/>
      <c r="R27" s="62"/>
      <c r="S27" s="7"/>
      <c r="T27" s="7"/>
    </row>
    <row r="28" spans="1:21" x14ac:dyDescent="0.2">
      <c r="A28" s="8"/>
      <c r="B28" s="7"/>
      <c r="C28" s="20"/>
      <c r="D28" s="20"/>
      <c r="E28" s="20"/>
      <c r="F28" s="20"/>
      <c r="G28" s="5"/>
      <c r="H28" s="20"/>
      <c r="I28" s="20"/>
      <c r="J28" s="5"/>
      <c r="K28" s="5"/>
      <c r="L28" s="5"/>
      <c r="M28" s="5"/>
      <c r="N28" s="5"/>
      <c r="O28" s="3"/>
      <c r="P28" s="3"/>
      <c r="Q28" s="3"/>
      <c r="R28" s="3"/>
      <c r="S28" s="3"/>
      <c r="T28" s="7"/>
    </row>
    <row r="29" spans="1:21" x14ac:dyDescent="0.2">
      <c r="A29" s="8"/>
      <c r="B29" s="7"/>
      <c r="C29" s="8"/>
      <c r="D29" s="8"/>
      <c r="E29" s="8"/>
      <c r="F29" s="8"/>
      <c r="G29" s="7"/>
      <c r="H29" s="8"/>
      <c r="I29" s="8"/>
      <c r="J29" s="7"/>
      <c r="K29" s="7"/>
      <c r="L29" s="7"/>
      <c r="M29" s="7"/>
      <c r="N29" s="7"/>
      <c r="O29" s="7"/>
      <c r="P29" s="62"/>
      <c r="Q29" s="62"/>
      <c r="R29" s="62"/>
      <c r="S29" s="7"/>
      <c r="T29" s="7"/>
    </row>
    <row r="30" spans="1:21" x14ac:dyDescent="0.2">
      <c r="A30" s="8"/>
      <c r="B30" s="8"/>
      <c r="C30" s="8"/>
      <c r="D30" s="8"/>
      <c r="E30" s="8"/>
      <c r="F30" s="8"/>
      <c r="G30" s="7"/>
      <c r="H30" s="8"/>
      <c r="I30" s="8"/>
      <c r="J30" s="7"/>
      <c r="K30" s="7"/>
      <c r="L30" s="7"/>
      <c r="M30" s="7"/>
      <c r="N30" s="7"/>
      <c r="O30" s="7"/>
      <c r="P30" s="62"/>
      <c r="Q30" s="62"/>
      <c r="R30" s="62"/>
      <c r="S30" s="7"/>
      <c r="T30" s="7"/>
    </row>
    <row r="31" spans="1:21" x14ac:dyDescent="0.2">
      <c r="A31" s="8"/>
      <c r="B31" s="8"/>
      <c r="C31" s="8"/>
      <c r="D31" s="8"/>
      <c r="E31" s="8"/>
      <c r="F31" s="8"/>
      <c r="G31" s="7"/>
      <c r="H31" s="677"/>
      <c r="I31" s="8"/>
      <c r="J31" s="7"/>
      <c r="K31" s="7"/>
      <c r="L31" s="7"/>
      <c r="M31" s="7"/>
      <c r="N31" s="7"/>
      <c r="O31" s="7"/>
      <c r="P31" s="62"/>
      <c r="Q31" s="62"/>
      <c r="R31" s="62"/>
      <c r="S31" s="7"/>
      <c r="T31" s="7"/>
    </row>
    <row r="32" spans="1:21" x14ac:dyDescent="0.2">
      <c r="A32" s="8"/>
      <c r="B32" s="3"/>
      <c r="C32" s="3"/>
      <c r="D32" s="8"/>
      <c r="E32" s="8"/>
      <c r="F32" s="8"/>
      <c r="G32" s="7"/>
      <c r="H32" s="8"/>
      <c r="I32" s="8"/>
      <c r="J32" s="7"/>
      <c r="K32" s="7"/>
      <c r="L32" s="7"/>
      <c r="P32" s="7"/>
      <c r="Q32" s="7"/>
      <c r="R32" s="3" t="s">
        <v>18</v>
      </c>
      <c r="S32" s="3"/>
      <c r="T32" s="7"/>
    </row>
    <row r="33" spans="1:22" x14ac:dyDescent="0.2">
      <c r="A33" s="8"/>
      <c r="B33" s="7"/>
      <c r="C33" s="8"/>
      <c r="D33" s="8"/>
      <c r="E33" s="8"/>
      <c r="F33" s="8"/>
      <c r="G33" s="7"/>
      <c r="H33" s="4"/>
      <c r="I33" s="4"/>
      <c r="J33" s="3"/>
      <c r="K33" s="3"/>
      <c r="L33" s="3"/>
      <c r="P33" s="3"/>
      <c r="Q33" s="3"/>
      <c r="R33" s="3" t="s">
        <v>22</v>
      </c>
      <c r="S33" s="3"/>
      <c r="T33" s="3"/>
    </row>
    <row r="34" spans="1:22" x14ac:dyDescent="0.2">
      <c r="A34" s="8"/>
      <c r="B34" s="7"/>
      <c r="C34" s="4"/>
      <c r="D34" s="4"/>
      <c r="E34" s="4"/>
      <c r="F34" s="4"/>
      <c r="G34" s="3"/>
      <c r="H34" s="4"/>
      <c r="I34" s="4"/>
      <c r="J34" s="3"/>
      <c r="K34" s="3"/>
      <c r="L34" s="3"/>
      <c r="P34" s="3"/>
      <c r="Q34" s="3"/>
      <c r="R34" s="5" t="s">
        <v>23</v>
      </c>
      <c r="S34" s="5"/>
      <c r="T34" s="3"/>
    </row>
    <row r="35" spans="1:22" x14ac:dyDescent="0.2">
      <c r="A35" s="8"/>
      <c r="B35" s="7"/>
      <c r="C35" s="4"/>
      <c r="D35" s="4"/>
      <c r="E35" s="4"/>
      <c r="F35" s="4"/>
      <c r="G35" s="3"/>
      <c r="H35" s="4"/>
      <c r="I35" s="4"/>
      <c r="S35" s="18"/>
      <c r="T35" s="2"/>
    </row>
    <row r="36" spans="1:22" x14ac:dyDescent="0.2">
      <c r="A36" s="8"/>
      <c r="B36" s="5"/>
      <c r="C36" s="20"/>
      <c r="D36" s="20"/>
      <c r="E36" s="20"/>
      <c r="F36" s="20"/>
      <c r="G36" s="676">
        <f>S22+'4. RESUMEN DEV 30%'!D26+'4. RESUMEN DEV 30%'!F26+'5. RESUMEN VR'!D24+'5. RESUMEN VR'!F24+'6. RESUMEN VP'!D26+'6. RESUMEN VP'!F26</f>
        <v>3360138.3199999994</v>
      </c>
      <c r="H36" s="20">
        <f>D22+'4. RESUMEN DEV 30%'!C26+'5. RESUMEN VR'!C24+'6. RESUMEN VP'!C26</f>
        <v>2072</v>
      </c>
      <c r="I36" s="20"/>
      <c r="J36" s="5"/>
      <c r="K36" s="5"/>
      <c r="L36" s="5"/>
      <c r="M36" s="5"/>
      <c r="S36" s="18"/>
      <c r="T36" s="2"/>
    </row>
    <row r="37" spans="1:22" x14ac:dyDescent="0.2">
      <c r="A37" s="8"/>
      <c r="B37" s="5"/>
      <c r="C37" s="4"/>
      <c r="D37" s="4"/>
      <c r="E37" s="4"/>
      <c r="F37" s="4"/>
      <c r="G37" s="3"/>
      <c r="H37" s="4"/>
      <c r="I37" s="4"/>
      <c r="S37" s="18"/>
      <c r="T37" s="2"/>
    </row>
    <row r="38" spans="1:22" x14ac:dyDescent="0.2">
      <c r="A38" s="8"/>
      <c r="B38" s="5"/>
      <c r="C38" s="4"/>
      <c r="D38" s="4"/>
      <c r="E38" s="4"/>
      <c r="F38" s="4"/>
      <c r="G38" s="3"/>
      <c r="H38" s="4"/>
      <c r="I38" s="4"/>
      <c r="S38" s="18"/>
      <c r="T38" s="2"/>
    </row>
    <row r="39" spans="1:22" x14ac:dyDescent="0.2">
      <c r="A39" s="3"/>
      <c r="E39" s="16"/>
      <c r="G39" s="27"/>
      <c r="H39" s="27"/>
      <c r="J39" s="27"/>
      <c r="O39" s="3"/>
      <c r="P39" s="3"/>
      <c r="Q39" s="3"/>
      <c r="R39" s="3"/>
      <c r="S39" s="3"/>
      <c r="V39" s="3" t="s">
        <v>13</v>
      </c>
    </row>
    <row r="40" spans="1:22" x14ac:dyDescent="0.2">
      <c r="A40" s="11"/>
      <c r="B40" s="10"/>
      <c r="C40" s="3"/>
      <c r="D40" s="3"/>
      <c r="E40" s="15"/>
    </row>
    <row r="41" spans="1:22" x14ac:dyDescent="0.2">
      <c r="A41" s="6"/>
      <c r="B41" s="5"/>
      <c r="C41" s="5"/>
      <c r="D41" s="5"/>
      <c r="E41" s="15"/>
      <c r="F41" s="5"/>
      <c r="G41" s="5"/>
      <c r="H41" s="5"/>
      <c r="I41" s="5"/>
      <c r="J41" s="27"/>
      <c r="K41" s="27"/>
      <c r="L41" s="27"/>
      <c r="O41" s="5"/>
      <c r="P41" s="5"/>
      <c r="Q41" s="5"/>
      <c r="R41" s="5"/>
      <c r="S41" s="9"/>
    </row>
    <row r="42" spans="1:22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7"/>
    </row>
    <row r="43" spans="1:22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22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7"/>
    </row>
    <row r="45" spans="1:22" x14ac:dyDescent="0.2">
      <c r="A45" s="26"/>
      <c r="B45" s="26"/>
      <c r="C45" s="26"/>
      <c r="D45" s="26"/>
      <c r="E45" s="29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22" x14ac:dyDescent="0.2">
      <c r="A46" s="26"/>
      <c r="B46" s="26"/>
      <c r="C46" s="26"/>
      <c r="D46" s="26"/>
      <c r="E46" s="29"/>
    </row>
    <row r="47" spans="1:22" x14ac:dyDescent="0.2">
      <c r="A47" s="26"/>
      <c r="B47" s="26"/>
      <c r="C47" s="26"/>
      <c r="D47" s="26"/>
      <c r="E47" s="29"/>
      <c r="F47" s="3"/>
      <c r="G47" s="2"/>
    </row>
    <row r="48" spans="1:22" x14ac:dyDescent="0.2">
      <c r="A48" s="26"/>
      <c r="B48" s="26"/>
      <c r="C48" s="26"/>
      <c r="D48" s="26"/>
      <c r="E48" s="17"/>
      <c r="F48" s="5"/>
      <c r="G48" s="13"/>
      <c r="N48" s="5"/>
      <c r="O48" s="5"/>
      <c r="P48" s="5"/>
      <c r="Q48" s="5"/>
      <c r="R48" s="5"/>
      <c r="S48" s="5"/>
    </row>
    <row r="49" spans="1:20" x14ac:dyDescent="0.2">
      <c r="A49" s="26"/>
      <c r="B49" s="26"/>
      <c r="C49" s="26"/>
      <c r="D49" s="26"/>
      <c r="E49" s="17"/>
    </row>
    <row r="50" spans="1:20" x14ac:dyDescent="0.2">
      <c r="A50" s="26"/>
      <c r="B50" s="26"/>
      <c r="C50" s="26"/>
      <c r="D50" s="26"/>
      <c r="E50" s="17"/>
    </row>
    <row r="51" spans="1:20" x14ac:dyDescent="0.2">
      <c r="A51" s="26"/>
      <c r="B51" s="26"/>
      <c r="C51" s="26"/>
      <c r="D51" s="26"/>
      <c r="E51" s="17"/>
      <c r="T51" s="5"/>
    </row>
    <row r="52" spans="1:20" x14ac:dyDescent="0.2">
      <c r="A52" s="26"/>
      <c r="B52" s="26"/>
      <c r="C52" s="26"/>
      <c r="D52" s="26"/>
      <c r="E52" s="30"/>
      <c r="F52" s="5"/>
      <c r="L52" s="5"/>
      <c r="M52" s="5"/>
      <c r="N52" s="5"/>
      <c r="O52" s="5"/>
      <c r="P52" s="5"/>
      <c r="Q52" s="5"/>
      <c r="R52" s="5"/>
      <c r="S52" s="5"/>
      <c r="T52" s="5"/>
    </row>
    <row r="53" spans="1:20" x14ac:dyDescent="0.2">
      <c r="A53" s="26"/>
      <c r="B53" s="26"/>
      <c r="C53" s="26"/>
      <c r="D53" s="26"/>
      <c r="E53" s="17"/>
    </row>
    <row r="54" spans="1:20" x14ac:dyDescent="0.2">
      <c r="A54" s="26"/>
      <c r="B54" s="26"/>
      <c r="C54" s="26"/>
      <c r="D54" s="26"/>
      <c r="E54" s="17"/>
    </row>
    <row r="55" spans="1:20" x14ac:dyDescent="0.2">
      <c r="B55" s="3"/>
    </row>
    <row r="56" spans="1:20" x14ac:dyDescent="0.2">
      <c r="B56" s="3"/>
    </row>
  </sheetData>
  <mergeCells count="2">
    <mergeCell ref="A6:S6"/>
    <mergeCell ref="A7:S7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G40" sqref="G40"/>
    </sheetView>
  </sheetViews>
  <sheetFormatPr baseColWidth="10" defaultRowHeight="12.75" x14ac:dyDescent="0.2"/>
  <cols>
    <col min="1" max="1" width="11" customWidth="1"/>
    <col min="2" max="2" width="16.28515625" customWidth="1"/>
    <col min="3" max="3" width="15" customWidth="1"/>
    <col min="4" max="4" width="12.28515625" customWidth="1"/>
    <col min="5" max="5" width="14.85546875" customWidth="1"/>
    <col min="6" max="6" width="15.42578125" customWidth="1"/>
    <col min="7" max="7" width="13.42578125" customWidth="1"/>
    <col min="8" max="8" width="14.28515625" customWidth="1"/>
    <col min="9" max="9" width="10.42578125" customWidth="1"/>
    <col min="10" max="10" width="11.5703125" customWidth="1"/>
  </cols>
  <sheetData>
    <row r="1" spans="1:10" x14ac:dyDescent="0.2">
      <c r="A1" s="496"/>
      <c r="B1" s="496"/>
      <c r="C1" s="496"/>
      <c r="D1" s="496"/>
      <c r="E1" s="496"/>
      <c r="F1" s="496"/>
    </row>
    <row r="2" spans="1:10" x14ac:dyDescent="0.2">
      <c r="A2" s="496"/>
      <c r="B2" s="496"/>
      <c r="C2" s="496"/>
      <c r="D2" s="496"/>
      <c r="E2" s="496"/>
      <c r="F2" s="497" t="s">
        <v>245</v>
      </c>
    </row>
    <row r="3" spans="1:10" x14ac:dyDescent="0.2">
      <c r="A3" s="496"/>
      <c r="B3" s="498"/>
      <c r="C3" s="496"/>
      <c r="D3" s="496"/>
      <c r="E3" s="496"/>
      <c r="F3" s="496"/>
    </row>
    <row r="4" spans="1:10" x14ac:dyDescent="0.2">
      <c r="A4" s="496"/>
      <c r="B4" s="499"/>
      <c r="C4" s="499"/>
      <c r="D4" s="499"/>
      <c r="E4" s="499"/>
      <c r="F4" s="496"/>
    </row>
    <row r="5" spans="1:10" x14ac:dyDescent="0.2">
      <c r="A5" s="496"/>
      <c r="B5" s="499"/>
      <c r="C5" s="499"/>
      <c r="D5" s="499"/>
      <c r="E5" s="499"/>
      <c r="F5" s="496"/>
    </row>
    <row r="6" spans="1:10" x14ac:dyDescent="0.2">
      <c r="A6" s="496"/>
      <c r="B6" s="499"/>
      <c r="C6" s="499"/>
      <c r="D6" s="499"/>
      <c r="E6" s="499"/>
      <c r="F6" s="496"/>
    </row>
    <row r="7" spans="1:10" x14ac:dyDescent="0.2">
      <c r="A7" s="496"/>
      <c r="B7" s="740" t="s">
        <v>107</v>
      </c>
      <c r="C7" s="740"/>
      <c r="D7" s="740"/>
      <c r="E7" s="740"/>
      <c r="F7" s="740"/>
      <c r="G7" s="3"/>
    </row>
    <row r="8" spans="1:10" x14ac:dyDescent="0.2">
      <c r="A8" s="496"/>
      <c r="B8" s="740" t="s">
        <v>108</v>
      </c>
      <c r="C8" s="740"/>
      <c r="D8" s="740"/>
      <c r="E8" s="740"/>
      <c r="F8" s="740"/>
      <c r="G8" s="3"/>
    </row>
    <row r="9" spans="1:10" x14ac:dyDescent="0.2">
      <c r="A9" s="496"/>
      <c r="B9" s="741" t="s">
        <v>109</v>
      </c>
      <c r="C9" s="741"/>
      <c r="D9" s="741"/>
      <c r="E9" s="741"/>
      <c r="F9" s="741"/>
      <c r="G9" s="39"/>
    </row>
    <row r="10" spans="1:10" x14ac:dyDescent="0.2">
      <c r="A10" s="496"/>
      <c r="B10" s="500"/>
      <c r="C10" s="500"/>
      <c r="D10" s="500"/>
      <c r="E10" s="500"/>
      <c r="F10" s="500"/>
      <c r="G10" s="39"/>
    </row>
    <row r="11" spans="1:10" x14ac:dyDescent="0.2">
      <c r="A11" s="496"/>
      <c r="B11" s="500"/>
      <c r="C11" s="501"/>
      <c r="D11" s="501"/>
      <c r="E11" s="501"/>
      <c r="F11" s="501"/>
      <c r="G11" s="39"/>
    </row>
    <row r="12" spans="1:10" ht="12.75" customHeight="1" x14ac:dyDescent="0.2">
      <c r="A12" s="496"/>
      <c r="B12" s="502"/>
      <c r="C12" s="712" t="s">
        <v>323</v>
      </c>
      <c r="D12" s="713"/>
      <c r="E12" s="713"/>
      <c r="F12" s="714"/>
      <c r="G12" s="36"/>
    </row>
    <row r="13" spans="1:10" ht="45" x14ac:dyDescent="0.2">
      <c r="A13" s="496"/>
      <c r="B13" s="503" t="s">
        <v>110</v>
      </c>
      <c r="C13" s="504" t="s">
        <v>195</v>
      </c>
      <c r="D13" s="505" t="s">
        <v>112</v>
      </c>
      <c r="E13" s="506" t="s">
        <v>113</v>
      </c>
      <c r="F13" s="507" t="s">
        <v>114</v>
      </c>
      <c r="G13" s="46"/>
      <c r="H13" s="46"/>
      <c r="I13" s="46"/>
      <c r="J13" s="46"/>
    </row>
    <row r="14" spans="1:10" x14ac:dyDescent="0.2">
      <c r="A14" s="496"/>
      <c r="B14" s="508" t="s">
        <v>77</v>
      </c>
      <c r="C14" s="461">
        <f>1+9+12+5</f>
        <v>27</v>
      </c>
      <c r="D14" s="73">
        <f>17.28+344.13+427.43+103.59</f>
        <v>892.43</v>
      </c>
      <c r="E14" s="73">
        <f>575.96+3441.26+4274.16+1035.94</f>
        <v>9327.3200000000015</v>
      </c>
      <c r="F14" s="469">
        <f>155.51+3097.13+3846.73+932.35</f>
        <v>8031.7200000000012</v>
      </c>
      <c r="G14" s="50"/>
      <c r="H14" s="51"/>
      <c r="I14" s="51"/>
      <c r="J14" s="51"/>
    </row>
    <row r="15" spans="1:10" x14ac:dyDescent="0.2">
      <c r="A15" s="496"/>
      <c r="B15" s="508" t="s">
        <v>79</v>
      </c>
      <c r="C15" s="461">
        <v>20</v>
      </c>
      <c r="D15" s="67">
        <v>641.28</v>
      </c>
      <c r="E15" s="67">
        <v>21374.87</v>
      </c>
      <c r="F15" s="469">
        <v>5771.19</v>
      </c>
      <c r="G15" s="50"/>
      <c r="H15" s="51" t="s">
        <v>13</v>
      </c>
      <c r="I15" s="51"/>
      <c r="J15" s="51"/>
    </row>
    <row r="16" spans="1:10" x14ac:dyDescent="0.2">
      <c r="A16" s="496"/>
      <c r="B16" s="508" t="s">
        <v>82</v>
      </c>
      <c r="C16" s="461">
        <v>27</v>
      </c>
      <c r="D16" s="509">
        <f>548.28+238.65+193.45+129.67</f>
        <v>1110.05</v>
      </c>
      <c r="E16" s="509">
        <f>18276.05+7955.04+6448.38+4322.42</f>
        <v>37001.89</v>
      </c>
      <c r="F16" s="469">
        <f>4934.53+2147.85+1741.07+1167.05</f>
        <v>9990.4999999999982</v>
      </c>
      <c r="G16" s="50"/>
      <c r="H16" s="51" t="s">
        <v>13</v>
      </c>
      <c r="I16" s="51"/>
      <c r="J16" s="51"/>
    </row>
    <row r="17" spans="1:10" x14ac:dyDescent="0.2">
      <c r="A17" s="496"/>
      <c r="B17" s="508" t="s">
        <v>85</v>
      </c>
      <c r="C17" s="461">
        <v>18</v>
      </c>
      <c r="D17" s="73">
        <f>252.99+97.6+222.21+150.65</f>
        <v>723.45</v>
      </c>
      <c r="E17" s="73">
        <f>8432.62+3253.44+7407.14+5021.38</f>
        <v>24114.58</v>
      </c>
      <c r="F17" s="469">
        <f>2276.79+878.43+1999.93+1355.77</f>
        <v>6510.92</v>
      </c>
      <c r="G17" s="52"/>
      <c r="H17" s="53"/>
      <c r="I17" s="51"/>
      <c r="J17" s="51"/>
    </row>
    <row r="18" spans="1:10" x14ac:dyDescent="0.2">
      <c r="A18" s="496"/>
      <c r="B18" s="508" t="s">
        <v>88</v>
      </c>
      <c r="C18" s="461">
        <v>29</v>
      </c>
      <c r="D18" s="73">
        <f>302.51+161.02+427.18+114.13</f>
        <v>1004.84</v>
      </c>
      <c r="E18" s="73">
        <f>10083.49+5367.44+14239.56+3804.32</f>
        <v>33494.81</v>
      </c>
      <c r="F18" s="73">
        <f>2722.53+1449.2+3844.69+1027.16</f>
        <v>9043.58</v>
      </c>
      <c r="G18" s="54"/>
      <c r="H18" s="51"/>
      <c r="I18" s="51"/>
      <c r="J18" s="51"/>
    </row>
    <row r="19" spans="1:10" x14ac:dyDescent="0.2">
      <c r="A19" s="496"/>
      <c r="B19" s="508" t="s">
        <v>91</v>
      </c>
      <c r="C19" s="461">
        <v>15</v>
      </c>
      <c r="D19" s="67">
        <f>169.67+177.98+83.3+110.02</f>
        <v>540.97</v>
      </c>
      <c r="E19" s="67">
        <f>5655.31+5932.55+2776.67+3667.3</f>
        <v>18031.830000000002</v>
      </c>
      <c r="F19" s="469">
        <f>1526.92+1601.79+749.7+990.17</f>
        <v>4868.58</v>
      </c>
      <c r="G19" s="50"/>
      <c r="H19" s="51" t="s">
        <v>13</v>
      </c>
      <c r="I19" s="51"/>
      <c r="J19" s="51"/>
    </row>
    <row r="20" spans="1:10" x14ac:dyDescent="0.2">
      <c r="A20" s="496"/>
      <c r="B20" s="508" t="s">
        <v>93</v>
      </c>
      <c r="C20" s="461">
        <v>24</v>
      </c>
      <c r="D20" s="73">
        <f>126.11+354.99+83.77+350.06</f>
        <v>914.93000000000006</v>
      </c>
      <c r="E20" s="73">
        <f>4203.29+11832.14+2792.21+11668.26</f>
        <v>30495.9</v>
      </c>
      <c r="F20" s="469">
        <f>1134.88+3194.66+753.89+3150.41</f>
        <v>8233.84</v>
      </c>
      <c r="G20" s="50"/>
      <c r="H20" s="53"/>
      <c r="I20" s="55" t="s">
        <v>13</v>
      </c>
      <c r="J20" s="51"/>
    </row>
    <row r="21" spans="1:10" x14ac:dyDescent="0.2">
      <c r="A21" s="496"/>
      <c r="B21" s="508" t="s">
        <v>96</v>
      </c>
      <c r="C21" s="461">
        <f>3+22</f>
        <v>25</v>
      </c>
      <c r="D21" s="578">
        <f>126.59+289.9+304.07+132.11</f>
        <v>852.67</v>
      </c>
      <c r="E21" s="578">
        <f>4219.41+9663.14+10135.32+4403.54</f>
        <v>28421.41</v>
      </c>
      <c r="F21" s="578">
        <f>1139.24+2609.04+2736.52+1188.96</f>
        <v>7673.7599999999993</v>
      </c>
      <c r="G21" s="50"/>
      <c r="H21" s="51"/>
      <c r="I21" s="51"/>
      <c r="J21" s="51"/>
    </row>
    <row r="22" spans="1:10" x14ac:dyDescent="0.2">
      <c r="A22" s="496"/>
      <c r="B22" s="508" t="s">
        <v>115</v>
      </c>
      <c r="C22" s="461">
        <f>8+1+3+5</f>
        <v>17</v>
      </c>
      <c r="D22" s="73">
        <f>274.68+42.07+82.72+150.82</f>
        <v>550.29</v>
      </c>
      <c r="E22" s="129">
        <f>2746.64+420.73+2757.3+5027.57</f>
        <v>10952.24</v>
      </c>
      <c r="F22" s="73">
        <f>2471.96+378.66+744.48+1357.45</f>
        <v>4952.55</v>
      </c>
      <c r="G22" s="691">
        <f>F22+D22</f>
        <v>5502.84</v>
      </c>
      <c r="H22" s="51"/>
      <c r="I22" s="51"/>
      <c r="J22" s="51"/>
    </row>
    <row r="23" spans="1:10" x14ac:dyDescent="0.2">
      <c r="A23" s="496"/>
      <c r="B23" s="508" t="s">
        <v>100</v>
      </c>
      <c r="C23" s="461"/>
      <c r="D23" s="73"/>
      <c r="E23" s="469"/>
      <c r="F23" s="73"/>
      <c r="G23" s="50"/>
      <c r="H23" s="51"/>
      <c r="I23" s="51" t="s">
        <v>13</v>
      </c>
      <c r="J23" s="51"/>
    </row>
    <row r="24" spans="1:10" x14ac:dyDescent="0.2">
      <c r="A24" s="496"/>
      <c r="B24" s="508" t="s">
        <v>102</v>
      </c>
      <c r="C24" s="461"/>
      <c r="D24" s="67"/>
      <c r="E24" s="73"/>
      <c r="F24" s="469"/>
      <c r="G24" s="50"/>
      <c r="H24" s="51"/>
      <c r="I24" s="51"/>
      <c r="J24" s="51" t="s">
        <v>13</v>
      </c>
    </row>
    <row r="25" spans="1:10" x14ac:dyDescent="0.2">
      <c r="A25" s="496"/>
      <c r="B25" s="508" t="s">
        <v>105</v>
      </c>
      <c r="C25" s="461"/>
      <c r="D25" s="73"/>
      <c r="E25" s="73"/>
      <c r="F25" s="469"/>
      <c r="G25" s="50"/>
      <c r="H25" s="51"/>
      <c r="I25" s="51"/>
      <c r="J25" s="51"/>
    </row>
    <row r="26" spans="1:10" x14ac:dyDescent="0.2">
      <c r="A26" s="496"/>
      <c r="B26" s="510" t="s">
        <v>0</v>
      </c>
      <c r="C26" s="511">
        <f>SUM(C14:C25)</f>
        <v>202</v>
      </c>
      <c r="D26" s="512">
        <f>SUM(D14:D25)</f>
        <v>7230.9100000000008</v>
      </c>
      <c r="E26" s="512">
        <f>SUM(E14:E25)</f>
        <v>213214.84999999998</v>
      </c>
      <c r="F26" s="512">
        <f>SUM(F14:F25)</f>
        <v>65076.640000000007</v>
      </c>
      <c r="G26" s="57"/>
      <c r="H26" s="57"/>
      <c r="I26" s="57"/>
      <c r="J26" s="57"/>
    </row>
    <row r="27" spans="1:10" x14ac:dyDescent="0.2">
      <c r="A27" s="496"/>
      <c r="B27" s="58" t="s">
        <v>324</v>
      </c>
      <c r="C27" s="3"/>
      <c r="D27" s="3"/>
      <c r="F27" s="9" t="s">
        <v>321</v>
      </c>
      <c r="G27" s="3"/>
      <c r="H27" t="s">
        <v>13</v>
      </c>
    </row>
    <row r="28" spans="1:10" x14ac:dyDescent="0.2">
      <c r="A28" s="496"/>
      <c r="B28" s="513"/>
      <c r="C28" s="513"/>
      <c r="D28" s="513"/>
      <c r="E28" s="513"/>
      <c r="F28" s="513"/>
      <c r="G28" s="3"/>
    </row>
    <row r="29" spans="1:10" x14ac:dyDescent="0.2">
      <c r="A29" s="496"/>
      <c r="B29" s="514"/>
      <c r="C29" s="513"/>
      <c r="D29" s="513"/>
      <c r="E29" s="513"/>
      <c r="F29" s="513"/>
      <c r="G29" s="3"/>
      <c r="H29" s="27"/>
    </row>
    <row r="30" spans="1:10" x14ac:dyDescent="0.2">
      <c r="A30" s="496"/>
      <c r="B30" s="513"/>
      <c r="C30" s="513"/>
      <c r="D30" s="513"/>
      <c r="E30" s="513"/>
      <c r="F30" s="513"/>
      <c r="G30" s="3"/>
    </row>
    <row r="31" spans="1:10" x14ac:dyDescent="0.2">
      <c r="A31" s="496"/>
      <c r="B31" s="514"/>
      <c r="C31" s="513"/>
      <c r="D31" s="513"/>
      <c r="E31" s="513"/>
      <c r="F31" s="513"/>
      <c r="G31" s="3"/>
    </row>
    <row r="32" spans="1:10" x14ac:dyDescent="0.2">
      <c r="A32" s="496"/>
      <c r="B32" s="513"/>
      <c r="C32" s="515"/>
      <c r="D32" s="515"/>
      <c r="E32" s="515"/>
      <c r="F32" s="513"/>
      <c r="G32" s="3"/>
    </row>
    <row r="33" spans="1:7" x14ac:dyDescent="0.2">
      <c r="A33" s="513"/>
      <c r="B33" s="496"/>
      <c r="C33" s="496"/>
      <c r="D33" s="516"/>
      <c r="E33" s="513" t="s">
        <v>18</v>
      </c>
      <c r="F33" s="496"/>
      <c r="G33" s="3"/>
    </row>
    <row r="34" spans="1:7" x14ac:dyDescent="0.2">
      <c r="A34" s="517"/>
      <c r="B34" s="496"/>
      <c r="C34" s="496"/>
      <c r="D34" s="513"/>
      <c r="E34" s="513" t="s">
        <v>116</v>
      </c>
      <c r="F34" s="496"/>
      <c r="G34" s="3"/>
    </row>
    <row r="35" spans="1:7" x14ac:dyDescent="0.2">
      <c r="A35" s="514"/>
      <c r="B35" s="518"/>
      <c r="C35" s="496"/>
      <c r="D35" s="513"/>
      <c r="E35" s="513" t="s">
        <v>117</v>
      </c>
      <c r="F35" s="496"/>
      <c r="G35" s="3"/>
    </row>
    <row r="36" spans="1:7" x14ac:dyDescent="0.2">
      <c r="A36" s="7"/>
      <c r="B36" s="5"/>
      <c r="D36" s="5"/>
      <c r="E36" s="5"/>
      <c r="F36" s="5"/>
      <c r="G36" s="3"/>
    </row>
    <row r="37" spans="1:7" x14ac:dyDescent="0.2">
      <c r="G37" s="3"/>
    </row>
    <row r="38" spans="1:7" x14ac:dyDescent="0.2">
      <c r="G38" s="3"/>
    </row>
    <row r="39" spans="1:7" x14ac:dyDescent="0.2">
      <c r="G39" s="3"/>
    </row>
    <row r="40" spans="1:7" x14ac:dyDescent="0.2">
      <c r="B40" s="3"/>
      <c r="G40" s="3"/>
    </row>
    <row r="41" spans="1:7" x14ac:dyDescent="0.2">
      <c r="B41" s="58"/>
      <c r="C41" s="3"/>
      <c r="D41" s="3"/>
      <c r="E41" s="3"/>
      <c r="F41" s="3"/>
      <c r="G41" s="3"/>
    </row>
    <row r="42" spans="1:7" x14ac:dyDescent="0.2">
      <c r="C42" s="5"/>
      <c r="D42" s="5"/>
      <c r="E42" s="5"/>
      <c r="F42" s="3"/>
      <c r="G42" s="3"/>
    </row>
    <row r="43" spans="1:7" x14ac:dyDescent="0.2">
      <c r="C43" s="5"/>
      <c r="D43" s="5"/>
      <c r="E43" s="5"/>
      <c r="F43" s="3"/>
      <c r="G43" s="3"/>
    </row>
    <row r="44" spans="1:7" x14ac:dyDescent="0.2">
      <c r="B44" s="3"/>
      <c r="C44" s="3"/>
      <c r="D44" s="3"/>
      <c r="E44" s="3"/>
      <c r="F44" s="3"/>
      <c r="G44" s="3"/>
    </row>
    <row r="45" spans="1:7" x14ac:dyDescent="0.2">
      <c r="B45" s="3"/>
      <c r="C45" s="3"/>
      <c r="D45" s="3"/>
      <c r="E45" s="3"/>
      <c r="F45" s="3"/>
      <c r="G45" s="3"/>
    </row>
    <row r="46" spans="1:7" x14ac:dyDescent="0.2">
      <c r="B46" s="3"/>
      <c r="C46" s="3"/>
      <c r="D46" s="3"/>
      <c r="E46" s="3"/>
      <c r="F46" s="3"/>
      <c r="G46" s="3"/>
    </row>
    <row r="47" spans="1:7" x14ac:dyDescent="0.2">
      <c r="B47" s="3"/>
      <c r="C47" s="3"/>
      <c r="D47" s="3"/>
      <c r="E47" s="3"/>
      <c r="F47" s="3"/>
      <c r="G47" s="3"/>
    </row>
    <row r="48" spans="1:7" x14ac:dyDescent="0.2">
      <c r="B48" s="3"/>
      <c r="C48" s="3"/>
      <c r="D48" s="3"/>
      <c r="E48" s="3"/>
      <c r="F48" s="3"/>
      <c r="G48" s="3"/>
    </row>
    <row r="49" spans="2:7" x14ac:dyDescent="0.2">
      <c r="B49" s="3"/>
      <c r="C49" s="3"/>
      <c r="D49" s="3"/>
      <c r="E49" s="3"/>
      <c r="F49" s="3"/>
      <c r="G49" s="3"/>
    </row>
    <row r="50" spans="2:7" x14ac:dyDescent="0.2">
      <c r="B50" s="3"/>
      <c r="C50" s="3"/>
      <c r="D50" s="3"/>
      <c r="E50" s="3"/>
      <c r="F50" s="3"/>
      <c r="G50" s="3"/>
    </row>
    <row r="51" spans="2:7" x14ac:dyDescent="0.2">
      <c r="B51" s="3"/>
      <c r="C51" s="3"/>
      <c r="D51" s="3"/>
      <c r="E51" s="3"/>
      <c r="F51" s="3"/>
      <c r="G51" s="3"/>
    </row>
    <row r="52" spans="2:7" x14ac:dyDescent="0.2">
      <c r="B52" s="3"/>
      <c r="C52" s="3"/>
      <c r="D52" s="3"/>
      <c r="E52" s="3"/>
      <c r="F52" s="3"/>
      <c r="G52" s="3"/>
    </row>
  </sheetData>
  <mergeCells count="4">
    <mergeCell ref="B7:F7"/>
    <mergeCell ref="B8:F8"/>
    <mergeCell ref="B9:F9"/>
    <mergeCell ref="C12:F12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F35" sqref="A1:F35"/>
    </sheetView>
  </sheetViews>
  <sheetFormatPr baseColWidth="10" defaultRowHeight="12.75" x14ac:dyDescent="0.2"/>
  <cols>
    <col min="1" max="1" width="11.7109375" customWidth="1"/>
    <col min="2" max="2" width="16.28515625" customWidth="1"/>
    <col min="3" max="3" width="15" customWidth="1"/>
    <col min="5" max="5" width="14.85546875" customWidth="1"/>
    <col min="6" max="6" width="15.42578125" customWidth="1"/>
    <col min="7" max="7" width="13.42578125" customWidth="1"/>
    <col min="8" max="8" width="14.28515625" customWidth="1"/>
    <col min="9" max="9" width="10.42578125" customWidth="1"/>
    <col min="10" max="10" width="11.5703125" customWidth="1"/>
  </cols>
  <sheetData>
    <row r="1" spans="1:10" x14ac:dyDescent="0.2">
      <c r="A1" s="3"/>
      <c r="B1" s="3"/>
      <c r="C1" s="3"/>
      <c r="D1" s="3"/>
      <c r="E1" s="3"/>
      <c r="F1" s="3"/>
    </row>
    <row r="2" spans="1:10" x14ac:dyDescent="0.2">
      <c r="A2" s="3"/>
      <c r="B2" s="3"/>
      <c r="C2" s="3"/>
      <c r="D2" s="3"/>
      <c r="E2" s="3"/>
      <c r="F2" s="3"/>
    </row>
    <row r="3" spans="1:10" x14ac:dyDescent="0.2">
      <c r="A3" s="3"/>
      <c r="B3" s="3"/>
      <c r="C3" s="3"/>
      <c r="D3" s="3"/>
      <c r="E3" s="3"/>
      <c r="F3" s="35" t="s">
        <v>192</v>
      </c>
    </row>
    <row r="4" spans="1:10" x14ac:dyDescent="0.2">
      <c r="A4" s="3"/>
      <c r="B4" s="3"/>
      <c r="C4" s="3"/>
      <c r="D4" s="3"/>
      <c r="E4" s="3"/>
      <c r="F4" s="3"/>
    </row>
    <row r="5" spans="1:10" x14ac:dyDescent="0.2">
      <c r="A5" s="3"/>
      <c r="B5" s="37"/>
      <c r="C5" s="3"/>
      <c r="D5" s="3"/>
      <c r="E5" s="3"/>
      <c r="F5" s="3"/>
    </row>
    <row r="6" spans="1:10" x14ac:dyDescent="0.2">
      <c r="A6" s="3"/>
      <c r="B6" s="38"/>
      <c r="C6" s="38"/>
      <c r="D6" s="38"/>
      <c r="E6" s="38"/>
      <c r="F6" s="3"/>
    </row>
    <row r="7" spans="1:10" x14ac:dyDescent="0.2">
      <c r="A7" s="3"/>
      <c r="B7" s="715" t="s">
        <v>118</v>
      </c>
      <c r="C7" s="715"/>
      <c r="D7" s="715"/>
      <c r="E7" s="715"/>
      <c r="F7" s="715"/>
      <c r="G7" s="3"/>
    </row>
    <row r="8" spans="1:10" x14ac:dyDescent="0.2">
      <c r="A8" s="3"/>
      <c r="B8" s="715" t="s">
        <v>119</v>
      </c>
      <c r="C8" s="715"/>
      <c r="D8" s="715"/>
      <c r="E8" s="715"/>
      <c r="F8" s="715"/>
      <c r="G8" s="3"/>
    </row>
    <row r="9" spans="1:10" x14ac:dyDescent="0.2">
      <c r="A9" s="3"/>
      <c r="B9" s="76"/>
      <c r="C9" s="76"/>
      <c r="D9" s="76"/>
      <c r="E9" s="76"/>
      <c r="F9" s="76"/>
      <c r="G9" s="3"/>
    </row>
    <row r="10" spans="1:10" ht="12.75" customHeight="1" x14ac:dyDescent="0.2">
      <c r="A10" s="3"/>
      <c r="B10" s="40"/>
      <c r="C10" s="712" t="s">
        <v>323</v>
      </c>
      <c r="D10" s="713"/>
      <c r="E10" s="713"/>
      <c r="F10" s="714"/>
      <c r="G10" s="36"/>
    </row>
    <row r="11" spans="1:10" ht="45" x14ac:dyDescent="0.2">
      <c r="A11" s="3"/>
      <c r="B11" s="41" t="s">
        <v>110</v>
      </c>
      <c r="C11" s="42" t="s">
        <v>111</v>
      </c>
      <c r="D11" s="43" t="s">
        <v>112</v>
      </c>
      <c r="E11" s="44" t="s">
        <v>113</v>
      </c>
      <c r="F11" s="45" t="s">
        <v>114</v>
      </c>
      <c r="G11" s="46"/>
      <c r="H11" s="46"/>
      <c r="I11" s="46"/>
      <c r="J11" s="46"/>
    </row>
    <row r="12" spans="1:10" x14ac:dyDescent="0.2">
      <c r="A12" s="3"/>
      <c r="B12" s="47" t="s">
        <v>77</v>
      </c>
      <c r="C12" s="48">
        <f>14+17+43+1</f>
        <v>75</v>
      </c>
      <c r="D12" s="73">
        <f>1.48+17.49+69.02+6.9</f>
        <v>94.89</v>
      </c>
      <c r="E12" s="73">
        <f>10201.41+15136.25+47629.18+2617.44</f>
        <v>75584.28</v>
      </c>
      <c r="F12" s="49">
        <f>8346.54+13220.36+44745.1+2679.56</f>
        <v>68991.56</v>
      </c>
      <c r="G12" s="52"/>
      <c r="H12" s="51"/>
      <c r="I12" s="51"/>
      <c r="J12" s="51"/>
    </row>
    <row r="13" spans="1:10" x14ac:dyDescent="0.2">
      <c r="A13" s="3"/>
      <c r="B13" s="47" t="s">
        <v>79</v>
      </c>
      <c r="C13" s="48">
        <v>68</v>
      </c>
      <c r="D13" s="519">
        <v>85.18</v>
      </c>
      <c r="E13" s="519">
        <v>64472.07</v>
      </c>
      <c r="F13" s="49">
        <v>57641.89</v>
      </c>
      <c r="G13" s="50"/>
      <c r="H13" s="51" t="s">
        <v>13</v>
      </c>
      <c r="I13" s="51"/>
      <c r="J13" s="51"/>
    </row>
    <row r="14" spans="1:10" x14ac:dyDescent="0.2">
      <c r="A14" s="3"/>
      <c r="B14" s="47" t="s">
        <v>82</v>
      </c>
      <c r="C14" s="48">
        <v>81</v>
      </c>
      <c r="D14" s="520">
        <f>4.12+48.46+32.36+15.17</f>
        <v>100.11</v>
      </c>
      <c r="E14" s="520">
        <f>8882.31+39770.74+19324.93+8046.18</f>
        <v>76024.160000000003</v>
      </c>
      <c r="F14" s="49">
        <f>7543.2+37358.93+18184.51+7793.15</f>
        <v>70879.789999999994</v>
      </c>
      <c r="G14" s="50"/>
      <c r="H14" s="51" t="s">
        <v>13</v>
      </c>
      <c r="I14" s="51"/>
      <c r="J14" s="51"/>
    </row>
    <row r="15" spans="1:10" x14ac:dyDescent="0.2">
      <c r="A15" s="3"/>
      <c r="B15" s="47" t="s">
        <v>85</v>
      </c>
      <c r="C15" s="48">
        <v>72</v>
      </c>
      <c r="D15" s="73">
        <f>14.03+35.45+3.1+14.96</f>
        <v>67.540000000000006</v>
      </c>
      <c r="E15" s="73">
        <f>17663.16+29155.14+2535.75+11048.89</f>
        <v>60402.94</v>
      </c>
      <c r="F15" s="469">
        <f>15495.84+27219.21+2157.05+9918.52</f>
        <v>54790.62000000001</v>
      </c>
      <c r="G15" s="52"/>
      <c r="H15" s="53"/>
      <c r="I15" s="51"/>
      <c r="J15" s="51"/>
    </row>
    <row r="16" spans="1:10" x14ac:dyDescent="0.2">
      <c r="A16" s="3"/>
      <c r="B16" s="47" t="s">
        <v>88</v>
      </c>
      <c r="C16" s="48">
        <v>101</v>
      </c>
      <c r="D16" s="73">
        <f>1.18+47.93+20.53+4.09</f>
        <v>73.73</v>
      </c>
      <c r="E16" s="73">
        <f>4648.01+35759.45+35270.37+13323.75</f>
        <v>89001.58</v>
      </c>
      <c r="F16" s="73">
        <f>4073.32+32552.29+33783.91+11763.04</f>
        <v>82172.56</v>
      </c>
      <c r="G16" s="54"/>
      <c r="H16" s="51"/>
      <c r="I16" s="51"/>
      <c r="J16" s="51"/>
    </row>
    <row r="17" spans="1:10" x14ac:dyDescent="0.2">
      <c r="A17" s="3"/>
      <c r="B17" s="47" t="s">
        <v>91</v>
      </c>
      <c r="C17" s="48">
        <v>78</v>
      </c>
      <c r="D17" s="519">
        <f>20.75+21.75+12.33+12.57</f>
        <v>67.400000000000006</v>
      </c>
      <c r="E17" s="519">
        <f>13960.33+22026.89+21045.8+10165.05</f>
        <v>67198.070000000007</v>
      </c>
      <c r="F17" s="49">
        <f>13246.47+19321.2+18556.69+9244.33</f>
        <v>60368.69</v>
      </c>
      <c r="G17" s="50"/>
      <c r="H17" s="51" t="s">
        <v>13</v>
      </c>
      <c r="I17" s="51"/>
      <c r="J17" s="51"/>
    </row>
    <row r="18" spans="1:10" x14ac:dyDescent="0.2">
      <c r="A18" s="3"/>
      <c r="B18" s="47" t="s">
        <v>93</v>
      </c>
      <c r="C18" s="48">
        <v>94</v>
      </c>
      <c r="D18" s="73">
        <f>55.1+32.7+18.89+44.77</f>
        <v>151.46</v>
      </c>
      <c r="E18" s="73">
        <f>27441.32+24512.31+27275.28+22419.61</f>
        <v>101648.52</v>
      </c>
      <c r="F18" s="49">
        <f>26061.9+22698.47+25739.38+21100.97</f>
        <v>95600.72</v>
      </c>
      <c r="G18" s="50"/>
      <c r="H18" s="53"/>
      <c r="I18" s="55"/>
      <c r="J18" s="51"/>
    </row>
    <row r="19" spans="1:10" x14ac:dyDescent="0.2">
      <c r="A19" s="3"/>
      <c r="B19" s="47" t="s">
        <v>96</v>
      </c>
      <c r="C19" s="48">
        <f>8+77</f>
        <v>85</v>
      </c>
      <c r="D19" s="578">
        <f>8.28+37.07+31.11+20.16</f>
        <v>96.62</v>
      </c>
      <c r="E19" s="578">
        <f>4664.85+37191.14+23590.3+16485.02</f>
        <v>81931.31</v>
      </c>
      <c r="F19" s="578">
        <f>4158.73+33910.7+21972.18+14936.84</f>
        <v>74978.45</v>
      </c>
      <c r="G19" s="53"/>
      <c r="H19" s="51"/>
      <c r="I19" s="51"/>
      <c r="J19" s="51"/>
    </row>
    <row r="20" spans="1:10" x14ac:dyDescent="0.2">
      <c r="A20" s="3"/>
      <c r="B20" s="47" t="s">
        <v>115</v>
      </c>
      <c r="C20" s="48">
        <f>16+31+27+11</f>
        <v>85</v>
      </c>
      <c r="D20" s="73">
        <f>20.17+13.86+26.49+6.38</f>
        <v>66.899999999999991</v>
      </c>
      <c r="E20" s="73">
        <f>14613.03+21568.75+22032.17+6746.57</f>
        <v>64960.52</v>
      </c>
      <c r="F20" s="73">
        <f>13637.66+18810.45+19883.36+6036.06</f>
        <v>58367.53</v>
      </c>
      <c r="G20" s="53">
        <f>F20+D20</f>
        <v>58434.43</v>
      </c>
      <c r="H20" s="51"/>
      <c r="I20" s="51"/>
      <c r="J20" s="51"/>
    </row>
    <row r="21" spans="1:10" x14ac:dyDescent="0.2">
      <c r="A21" s="3"/>
      <c r="B21" s="47" t="s">
        <v>100</v>
      </c>
      <c r="C21" s="48"/>
      <c r="D21" s="73"/>
      <c r="E21" s="73"/>
      <c r="F21" s="49"/>
      <c r="G21" s="53"/>
      <c r="H21" s="51"/>
      <c r="I21" s="51"/>
      <c r="J21" s="51"/>
    </row>
    <row r="22" spans="1:10" x14ac:dyDescent="0.2">
      <c r="A22" s="3"/>
      <c r="B22" s="47" t="s">
        <v>102</v>
      </c>
      <c r="C22" s="48"/>
      <c r="D22" s="519"/>
      <c r="E22" s="519"/>
      <c r="F22" s="49"/>
      <c r="G22" s="53"/>
      <c r="H22" s="51"/>
      <c r="I22" s="51"/>
      <c r="J22" s="51"/>
    </row>
    <row r="23" spans="1:10" x14ac:dyDescent="0.2">
      <c r="A23" s="3"/>
      <c r="B23" s="47" t="s">
        <v>105</v>
      </c>
      <c r="C23" s="48"/>
      <c r="D23" s="73"/>
      <c r="E23" s="73"/>
      <c r="F23" s="49"/>
      <c r="G23" s="53"/>
      <c r="H23" s="51"/>
      <c r="I23" s="51"/>
      <c r="J23" s="51"/>
    </row>
    <row r="24" spans="1:10" x14ac:dyDescent="0.2">
      <c r="A24" s="3"/>
      <c r="B24" s="56" t="s">
        <v>0</v>
      </c>
      <c r="C24" s="59">
        <f>SUM(C12:C23)</f>
        <v>739</v>
      </c>
      <c r="D24" s="521">
        <f>SUM(D12:D23)</f>
        <v>803.83</v>
      </c>
      <c r="E24" s="521">
        <f>SUM(E12:E23)</f>
        <v>681223.45</v>
      </c>
      <c r="F24" s="521">
        <f>SUM(F12:F23)</f>
        <v>623791.80999999994</v>
      </c>
      <c r="G24" s="57"/>
      <c r="H24" s="57"/>
      <c r="I24" s="57"/>
      <c r="J24" s="57"/>
    </row>
    <row r="25" spans="1:10" x14ac:dyDescent="0.2">
      <c r="A25" s="3"/>
      <c r="B25" s="58" t="s">
        <v>279</v>
      </c>
      <c r="C25" s="3"/>
      <c r="D25" s="3"/>
      <c r="E25" s="3"/>
      <c r="F25" s="9" t="s">
        <v>321</v>
      </c>
      <c r="G25" s="3"/>
      <c r="H25" t="s">
        <v>13</v>
      </c>
    </row>
    <row r="26" spans="1:10" x14ac:dyDescent="0.2">
      <c r="A26" s="3"/>
      <c r="B26" s="3"/>
      <c r="C26" s="3"/>
      <c r="D26" s="3"/>
      <c r="E26" s="3"/>
      <c r="F26" s="3"/>
      <c r="G26" s="3"/>
    </row>
    <row r="27" spans="1:10" x14ac:dyDescent="0.2">
      <c r="A27" s="3"/>
      <c r="B27" s="7"/>
      <c r="C27" s="3"/>
      <c r="D27" s="3"/>
      <c r="E27" s="3"/>
      <c r="F27" s="3"/>
      <c r="G27" s="3"/>
      <c r="H27" s="27"/>
    </row>
    <row r="28" spans="1:10" x14ac:dyDescent="0.2">
      <c r="A28" s="3"/>
      <c r="B28" s="3"/>
      <c r="C28" s="3"/>
      <c r="D28" s="3"/>
      <c r="E28" s="3"/>
      <c r="F28" s="3"/>
      <c r="G28" s="3"/>
    </row>
    <row r="29" spans="1:10" x14ac:dyDescent="0.2">
      <c r="A29" s="3"/>
      <c r="B29" s="7"/>
      <c r="C29" s="3"/>
      <c r="D29" s="3"/>
      <c r="E29" s="3"/>
      <c r="F29" s="3"/>
      <c r="G29" s="3"/>
    </row>
    <row r="30" spans="1:10" x14ac:dyDescent="0.2">
      <c r="A30" s="3"/>
      <c r="B30" s="3"/>
      <c r="C30" s="28"/>
      <c r="D30" s="28"/>
      <c r="E30" s="28"/>
      <c r="F30" s="3"/>
      <c r="G30" s="3"/>
    </row>
    <row r="31" spans="1:10" x14ac:dyDescent="0.2">
      <c r="A31" s="3"/>
      <c r="B31" s="3"/>
      <c r="C31" s="3"/>
      <c r="D31" s="5"/>
      <c r="E31" s="3" t="s">
        <v>18</v>
      </c>
      <c r="F31" s="3"/>
      <c r="G31" s="3"/>
    </row>
    <row r="32" spans="1:10" x14ac:dyDescent="0.2">
      <c r="A32" s="11"/>
      <c r="B32" s="3"/>
      <c r="C32" s="3"/>
      <c r="D32" s="3"/>
      <c r="E32" s="3" t="s">
        <v>116</v>
      </c>
      <c r="F32" s="3"/>
      <c r="G32" s="3"/>
    </row>
    <row r="33" spans="1:7" x14ac:dyDescent="0.2">
      <c r="A33" s="7"/>
      <c r="B33" s="35"/>
      <c r="C33" s="3"/>
      <c r="D33" s="3"/>
      <c r="E33" s="3" t="s">
        <v>117</v>
      </c>
      <c r="F33" s="3"/>
      <c r="G33" s="3"/>
    </row>
    <row r="34" spans="1:7" x14ac:dyDescent="0.2">
      <c r="A34" s="7"/>
      <c r="B34" s="5"/>
      <c r="D34" s="5"/>
      <c r="E34" s="5"/>
      <c r="F34" s="5"/>
      <c r="G34" s="3"/>
    </row>
    <row r="35" spans="1:7" x14ac:dyDescent="0.2">
      <c r="G35" s="3"/>
    </row>
    <row r="36" spans="1:7" x14ac:dyDescent="0.2">
      <c r="G36" s="3"/>
    </row>
    <row r="37" spans="1:7" x14ac:dyDescent="0.2">
      <c r="G37" s="3"/>
    </row>
    <row r="38" spans="1:7" x14ac:dyDescent="0.2">
      <c r="B38" s="3"/>
      <c r="G38" s="3"/>
    </row>
    <row r="39" spans="1:7" x14ac:dyDescent="0.2">
      <c r="B39" s="58"/>
      <c r="C39" s="3"/>
      <c r="D39" s="3"/>
      <c r="E39" s="3"/>
      <c r="F39" s="3"/>
      <c r="G39" s="3"/>
    </row>
    <row r="40" spans="1:7" x14ac:dyDescent="0.2">
      <c r="C40" s="5"/>
      <c r="D40" s="5"/>
      <c r="E40" s="5"/>
      <c r="F40" s="3"/>
      <c r="G40" s="3"/>
    </row>
    <row r="41" spans="1:7" x14ac:dyDescent="0.2">
      <c r="C41" s="5"/>
      <c r="D41" s="5"/>
      <c r="E41" s="5"/>
      <c r="F41" s="3"/>
      <c r="G41" s="3"/>
    </row>
    <row r="42" spans="1:7" x14ac:dyDescent="0.2">
      <c r="B42" s="3"/>
      <c r="C42" s="3"/>
      <c r="D42" s="3"/>
      <c r="E42" s="3"/>
      <c r="F42" s="3"/>
      <c r="G42" s="3"/>
    </row>
    <row r="43" spans="1:7" x14ac:dyDescent="0.2">
      <c r="B43" s="3"/>
      <c r="C43" s="3"/>
      <c r="D43" s="3"/>
      <c r="E43" s="3"/>
      <c r="F43" s="3"/>
      <c r="G43" s="3"/>
    </row>
    <row r="44" spans="1:7" x14ac:dyDescent="0.2">
      <c r="B44" s="3"/>
      <c r="C44" s="3"/>
      <c r="D44" s="3"/>
      <c r="E44" s="3"/>
      <c r="F44" s="3"/>
      <c r="G44" s="3"/>
    </row>
    <row r="45" spans="1:7" x14ac:dyDescent="0.2">
      <c r="B45" s="3"/>
      <c r="C45" s="3"/>
      <c r="D45" s="3"/>
      <c r="E45" s="3"/>
      <c r="F45" s="3"/>
      <c r="G45" s="3"/>
    </row>
    <row r="46" spans="1:7" x14ac:dyDescent="0.2">
      <c r="B46" s="3"/>
      <c r="C46" s="3"/>
      <c r="D46" s="3"/>
      <c r="E46" s="3"/>
      <c r="F46" s="3"/>
      <c r="G46" s="3"/>
    </row>
    <row r="47" spans="1:7" x14ac:dyDescent="0.2">
      <c r="B47" s="3"/>
      <c r="C47" s="3"/>
      <c r="D47" s="3"/>
      <c r="E47" s="3"/>
      <c r="F47" s="3"/>
      <c r="G47" s="3"/>
    </row>
    <row r="48" spans="1:7" x14ac:dyDescent="0.2">
      <c r="B48" s="3"/>
      <c r="C48" s="3"/>
      <c r="D48" s="3"/>
      <c r="E48" s="3"/>
      <c r="F48" s="3"/>
      <c r="G48" s="3"/>
    </row>
    <row r="49" spans="2:7" x14ac:dyDescent="0.2">
      <c r="B49" s="3"/>
      <c r="C49" s="3"/>
      <c r="D49" s="3"/>
      <c r="E49" s="3"/>
      <c r="F49" s="3"/>
      <c r="G49" s="3"/>
    </row>
    <row r="50" spans="2:7" x14ac:dyDescent="0.2">
      <c r="B50" s="3"/>
      <c r="C50" s="3"/>
      <c r="D50" s="3"/>
      <c r="E50" s="3"/>
      <c r="F50" s="3"/>
      <c r="G50" s="3"/>
    </row>
  </sheetData>
  <mergeCells count="3">
    <mergeCell ref="B7:F7"/>
    <mergeCell ref="B8:F8"/>
    <mergeCell ref="C10:F10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6"/>
  <sheetViews>
    <sheetView workbookViewId="0">
      <selection activeCell="F35" sqref="A1:F35"/>
    </sheetView>
  </sheetViews>
  <sheetFormatPr baseColWidth="10" defaultRowHeight="12.75" x14ac:dyDescent="0.2"/>
  <cols>
    <col min="1" max="1" width="8.85546875" customWidth="1"/>
    <col min="2" max="6" width="14.5703125" customWidth="1"/>
    <col min="7" max="7" width="12.28515625" bestFit="1" customWidth="1"/>
  </cols>
  <sheetData>
    <row r="3" spans="2:11" x14ac:dyDescent="0.2">
      <c r="F3" s="272" t="s">
        <v>193</v>
      </c>
    </row>
    <row r="5" spans="2:11" x14ac:dyDescent="0.2">
      <c r="H5" t="s">
        <v>13</v>
      </c>
    </row>
    <row r="6" spans="2:11" x14ac:dyDescent="0.2">
      <c r="B6" s="37"/>
    </row>
    <row r="7" spans="2:11" x14ac:dyDescent="0.2">
      <c r="B7" s="38"/>
      <c r="C7" s="38"/>
      <c r="D7" s="38"/>
      <c r="E7" s="38"/>
    </row>
    <row r="8" spans="2:11" x14ac:dyDescent="0.2">
      <c r="B8" s="38"/>
      <c r="C8" s="38"/>
      <c r="D8" s="38"/>
      <c r="E8" s="38"/>
    </row>
    <row r="9" spans="2:11" x14ac:dyDescent="0.2">
      <c r="B9" s="715" t="s">
        <v>120</v>
      </c>
      <c r="C9" s="715"/>
      <c r="D9" s="715"/>
      <c r="E9" s="715"/>
      <c r="F9" s="715"/>
      <c r="G9" s="3"/>
    </row>
    <row r="10" spans="2:11" x14ac:dyDescent="0.2">
      <c r="B10" s="715" t="s">
        <v>121</v>
      </c>
      <c r="C10" s="715"/>
      <c r="D10" s="715"/>
      <c r="E10" s="715"/>
      <c r="F10" s="715"/>
      <c r="G10" s="3"/>
      <c r="H10" t="s">
        <v>13</v>
      </c>
    </row>
    <row r="11" spans="2:11" x14ac:dyDescent="0.2">
      <c r="B11" s="61"/>
      <c r="C11" s="62"/>
      <c r="D11" s="62"/>
      <c r="E11" s="62"/>
      <c r="F11" s="62"/>
      <c r="G11" s="7"/>
    </row>
    <row r="12" spans="2:11" ht="12.75" customHeight="1" x14ac:dyDescent="0.2">
      <c r="B12" s="40"/>
      <c r="C12" s="712" t="s">
        <v>323</v>
      </c>
      <c r="D12" s="713"/>
      <c r="E12" s="713"/>
      <c r="F12" s="714"/>
      <c r="G12" s="3"/>
      <c r="H12" t="s">
        <v>13</v>
      </c>
    </row>
    <row r="13" spans="2:11" ht="33.75" x14ac:dyDescent="0.2">
      <c r="B13" s="41" t="s">
        <v>110</v>
      </c>
      <c r="C13" s="70" t="s">
        <v>122</v>
      </c>
      <c r="D13" s="43" t="s">
        <v>112</v>
      </c>
      <c r="E13" s="43" t="s">
        <v>123</v>
      </c>
      <c r="F13" s="71" t="s">
        <v>124</v>
      </c>
      <c r="G13" s="46"/>
      <c r="H13" s="46"/>
      <c r="I13" s="46"/>
      <c r="J13" s="46"/>
      <c r="K13" s="69"/>
    </row>
    <row r="14" spans="2:11" x14ac:dyDescent="0.2">
      <c r="B14" s="47" t="s">
        <v>77</v>
      </c>
      <c r="C14" s="74">
        <v>45</v>
      </c>
      <c r="D14" s="49">
        <v>403.16</v>
      </c>
      <c r="E14" s="49">
        <v>71295.03</v>
      </c>
      <c r="F14" s="73">
        <v>75025.5</v>
      </c>
      <c r="G14" s="75"/>
      <c r="H14" s="3"/>
      <c r="I14" s="51"/>
      <c r="J14" s="52"/>
      <c r="K14" s="53"/>
    </row>
    <row r="15" spans="2:11" x14ac:dyDescent="0.2">
      <c r="B15" s="47" t="s">
        <v>79</v>
      </c>
      <c r="C15" s="48">
        <v>47</v>
      </c>
      <c r="D15" s="49">
        <v>630.36</v>
      </c>
      <c r="E15" s="49">
        <v>122284.2</v>
      </c>
      <c r="F15" s="49">
        <v>129083.97</v>
      </c>
      <c r="G15" s="52"/>
      <c r="H15" s="55"/>
      <c r="I15" s="51"/>
      <c r="J15" s="52"/>
      <c r="K15" s="53"/>
    </row>
    <row r="16" spans="2:11" x14ac:dyDescent="0.2">
      <c r="B16" s="47" t="s">
        <v>82</v>
      </c>
      <c r="C16" s="48">
        <v>52</v>
      </c>
      <c r="D16" s="49">
        <f>201.21+125.3+95.15+25.89</f>
        <v>447.54999999999995</v>
      </c>
      <c r="E16" s="49">
        <f>36845.4+29023.26+16762.8+4884</f>
        <v>87515.46</v>
      </c>
      <c r="F16" s="49">
        <f>38655.96+30731.87+17619.14+5116.97</f>
        <v>92123.94</v>
      </c>
      <c r="G16" s="52"/>
      <c r="H16" s="51"/>
      <c r="I16" s="51"/>
      <c r="J16" s="52"/>
      <c r="K16" s="53"/>
    </row>
    <row r="17" spans="1:11" x14ac:dyDescent="0.2">
      <c r="B17" s="47" t="s">
        <v>85</v>
      </c>
      <c r="C17" s="48">
        <v>64</v>
      </c>
      <c r="D17" s="49">
        <f>296.97+115.52+70.58+14.76</f>
        <v>497.83</v>
      </c>
      <c r="E17" s="49">
        <f>55316.4+21130.8+13008.6+2709.6</f>
        <v>92165.400000000009</v>
      </c>
      <c r="F17" s="49">
        <f>57988.8+22170.23+13643.72+2842.39</f>
        <v>96645.14</v>
      </c>
      <c r="G17" s="52"/>
      <c r="H17" s="51"/>
      <c r="I17" s="51"/>
      <c r="J17" s="52"/>
      <c r="K17" s="53"/>
    </row>
    <row r="18" spans="1:11" x14ac:dyDescent="0.2">
      <c r="B18" s="47" t="s">
        <v>88</v>
      </c>
      <c r="C18" s="48">
        <v>69</v>
      </c>
      <c r="D18" s="49">
        <f>164.47+373.9+147.91+62.52</f>
        <v>748.8</v>
      </c>
      <c r="E18" s="49">
        <f>29784+74272.86+25949.4+11374.8</f>
        <v>141381.06</v>
      </c>
      <c r="F18" s="49">
        <f>31264.1+78483.26+27280.68+11937.48</f>
        <v>148965.51999999999</v>
      </c>
      <c r="G18" s="50"/>
      <c r="H18" s="51"/>
      <c r="I18" s="51"/>
      <c r="J18" s="51"/>
    </row>
    <row r="19" spans="1:11" x14ac:dyDescent="0.2">
      <c r="B19" s="47" t="s">
        <v>91</v>
      </c>
      <c r="C19" s="48">
        <v>42</v>
      </c>
      <c r="D19" s="67">
        <f>19.64+148.67+193.38+21.16</f>
        <v>382.85</v>
      </c>
      <c r="E19" s="67">
        <f>3232.2+31356.68+36681.6+3788.49</f>
        <v>75058.97</v>
      </c>
      <c r="F19" s="49">
        <f>3408.94+32994.24+38663.78+3978.85</f>
        <v>79045.81</v>
      </c>
      <c r="G19" s="50"/>
      <c r="H19" s="51"/>
      <c r="I19" s="51"/>
      <c r="J19" s="51"/>
    </row>
    <row r="20" spans="1:11" ht="18" x14ac:dyDescent="0.25">
      <c r="B20" s="47" t="s">
        <v>125</v>
      </c>
      <c r="C20" s="48">
        <v>66</v>
      </c>
      <c r="D20" s="67">
        <f>309.22+177.31+180.48+54.51</f>
        <v>721.52</v>
      </c>
      <c r="E20" s="67">
        <f>64325.88+31369.8+31909.8+10312.2</f>
        <v>137917.68</v>
      </c>
      <c r="F20" s="49">
        <f>68833.65+32965.57+33533.83+10802.65</f>
        <v>146135.69999999998</v>
      </c>
      <c r="G20" s="65"/>
      <c r="H20" s="53"/>
      <c r="I20" s="51"/>
      <c r="J20" s="51"/>
    </row>
    <row r="21" spans="1:11" x14ac:dyDescent="0.2">
      <c r="B21" s="47" t="s">
        <v>96</v>
      </c>
      <c r="C21" s="48">
        <f>7+43</f>
        <v>50</v>
      </c>
      <c r="D21" s="578">
        <f>112.86+193.42+188.42+49.1</f>
        <v>543.79999999999995</v>
      </c>
      <c r="E21" s="578">
        <f>19443+34066.2+32401.8+8652</f>
        <v>94563</v>
      </c>
      <c r="F21" s="578">
        <f>20458.58+35806.63+34097.32+9093.78</f>
        <v>99456.31</v>
      </c>
      <c r="G21" s="52"/>
      <c r="H21" s="51"/>
      <c r="I21" s="51"/>
      <c r="J21" s="51"/>
    </row>
    <row r="22" spans="1:11" x14ac:dyDescent="0.2">
      <c r="B22" s="47" t="s">
        <v>115</v>
      </c>
      <c r="C22" s="48">
        <f>13+41+8+7</f>
        <v>69</v>
      </c>
      <c r="D22" s="68">
        <f>142.98+392.72+70.86+70.76</f>
        <v>677.32</v>
      </c>
      <c r="E22" s="68">
        <f>24856.2+79566.6+13454.4+13006.8</f>
        <v>130884</v>
      </c>
      <c r="F22" s="72">
        <f>26142.76+84178.79+14214.86+13643.54</f>
        <v>138179.94999999998</v>
      </c>
      <c r="G22" s="52">
        <f>F22+D22</f>
        <v>138857.26999999999</v>
      </c>
      <c r="H22" s="51"/>
      <c r="I22" s="55"/>
      <c r="J22" s="51"/>
    </row>
    <row r="23" spans="1:11" x14ac:dyDescent="0.2">
      <c r="B23" s="47" t="s">
        <v>100</v>
      </c>
      <c r="C23" s="48"/>
      <c r="D23" s="49"/>
      <c r="E23" s="49"/>
      <c r="F23" s="49"/>
      <c r="G23" s="52"/>
      <c r="H23" s="51"/>
      <c r="I23" s="55"/>
      <c r="J23" s="51"/>
    </row>
    <row r="24" spans="1:11" x14ac:dyDescent="0.2">
      <c r="B24" s="47" t="s">
        <v>102</v>
      </c>
      <c r="C24" s="48"/>
      <c r="D24" s="49"/>
      <c r="E24" s="49"/>
      <c r="F24" s="49"/>
      <c r="G24" s="52"/>
      <c r="H24" s="51"/>
      <c r="I24" s="55" t="s">
        <v>13</v>
      </c>
      <c r="J24" s="51"/>
    </row>
    <row r="25" spans="1:11" x14ac:dyDescent="0.2">
      <c r="B25" s="47" t="s">
        <v>105</v>
      </c>
      <c r="C25" s="48"/>
      <c r="D25" s="67"/>
      <c r="E25" s="67"/>
      <c r="F25" s="67"/>
      <c r="G25" s="50"/>
      <c r="H25" s="51"/>
      <c r="I25" s="55"/>
      <c r="J25" s="51"/>
    </row>
    <row r="26" spans="1:11" x14ac:dyDescent="0.2">
      <c r="B26" s="56" t="s">
        <v>0</v>
      </c>
      <c r="C26" s="59">
        <f>SUM(C14:C25)</f>
        <v>504</v>
      </c>
      <c r="D26" s="521">
        <f>SUM(D14:D25)</f>
        <v>5053.1899999999996</v>
      </c>
      <c r="E26" s="521">
        <f>SUM(E14:E25)</f>
        <v>953064.8</v>
      </c>
      <c r="F26" s="521">
        <f>SUM(F14:F25)</f>
        <v>1004661.8400000001</v>
      </c>
      <c r="G26" s="57"/>
      <c r="H26" s="57" t="s">
        <v>13</v>
      </c>
      <c r="I26" s="57"/>
      <c r="J26" s="57"/>
    </row>
    <row r="27" spans="1:11" x14ac:dyDescent="0.2">
      <c r="B27" s="58" t="s">
        <v>324</v>
      </c>
      <c r="C27" s="3"/>
      <c r="D27" s="3"/>
      <c r="F27" s="9" t="s">
        <v>321</v>
      </c>
      <c r="G27" s="3"/>
    </row>
    <row r="28" spans="1:11" x14ac:dyDescent="0.2">
      <c r="B28" s="63"/>
      <c r="C28" s="3"/>
      <c r="D28" s="3"/>
      <c r="E28" s="3"/>
      <c r="F28" s="9"/>
      <c r="G28" s="3"/>
    </row>
    <row r="29" spans="1:11" ht="18" x14ac:dyDescent="0.25">
      <c r="A29" s="64"/>
      <c r="B29" s="7"/>
      <c r="C29" s="7"/>
      <c r="D29" s="7"/>
      <c r="E29" s="7"/>
      <c r="F29" s="60"/>
      <c r="G29" s="60"/>
      <c r="H29" s="60"/>
    </row>
    <row r="30" spans="1:11" x14ac:dyDescent="0.2">
      <c r="A30" s="7"/>
      <c r="F30" s="7"/>
      <c r="G30" s="7"/>
      <c r="H30" s="7" t="s">
        <v>13</v>
      </c>
    </row>
    <row r="31" spans="1:11" x14ac:dyDescent="0.2">
      <c r="C31" s="3"/>
      <c r="D31" s="3"/>
      <c r="E31" s="3"/>
      <c r="G31" s="3"/>
    </row>
    <row r="34" spans="1:8" x14ac:dyDescent="0.2">
      <c r="A34" s="3"/>
      <c r="D34" s="3" t="s">
        <v>126</v>
      </c>
    </row>
    <row r="35" spans="1:8" x14ac:dyDescent="0.2">
      <c r="A35" s="3"/>
      <c r="B35" s="35"/>
      <c r="D35" s="3"/>
      <c r="E35" s="3" t="s">
        <v>127</v>
      </c>
      <c r="F35" s="3"/>
    </row>
    <row r="36" spans="1:8" x14ac:dyDescent="0.2">
      <c r="A36" s="62"/>
      <c r="B36" s="3"/>
      <c r="D36" s="3"/>
      <c r="E36" s="3" t="s">
        <v>104</v>
      </c>
      <c r="F36" s="3"/>
      <c r="H36" s="5"/>
    </row>
    <row r="37" spans="1:8" x14ac:dyDescent="0.2">
      <c r="A37" s="66"/>
      <c r="B37" s="66"/>
      <c r="C37" s="66"/>
      <c r="F37" s="3"/>
    </row>
    <row r="38" spans="1:8" x14ac:dyDescent="0.2">
      <c r="B38" s="3"/>
      <c r="C38" s="3"/>
      <c r="D38" s="3"/>
      <c r="E38" s="3"/>
      <c r="F38" s="3"/>
      <c r="G38" s="3"/>
    </row>
    <row r="39" spans="1:8" x14ac:dyDescent="0.2">
      <c r="B39" s="3"/>
      <c r="F39" s="3"/>
      <c r="G39" s="3"/>
    </row>
    <row r="40" spans="1:8" x14ac:dyDescent="0.2">
      <c r="B40" s="3"/>
      <c r="F40" s="3"/>
      <c r="G40" s="3"/>
    </row>
    <row r="41" spans="1:8" x14ac:dyDescent="0.2">
      <c r="B41" s="3"/>
      <c r="F41" s="3"/>
      <c r="G41" s="3"/>
    </row>
    <row r="42" spans="1:8" x14ac:dyDescent="0.2">
      <c r="B42" s="580"/>
      <c r="C42" s="3"/>
      <c r="D42" s="3"/>
      <c r="E42" s="3"/>
      <c r="F42" s="3"/>
      <c r="G42" s="3"/>
    </row>
    <row r="43" spans="1:8" ht="15" x14ac:dyDescent="0.25">
      <c r="B43" s="581"/>
      <c r="C43" s="28"/>
      <c r="D43" s="3"/>
      <c r="E43" s="3"/>
      <c r="F43" s="3"/>
      <c r="G43" s="3"/>
    </row>
    <row r="44" spans="1:8" x14ac:dyDescent="0.2">
      <c r="B44" s="3"/>
      <c r="C44" s="3"/>
      <c r="D44" s="3"/>
      <c r="E44" s="3"/>
      <c r="F44" s="3"/>
      <c r="G44" s="3"/>
    </row>
    <row r="45" spans="1:8" x14ac:dyDescent="0.2">
      <c r="B45" s="3"/>
      <c r="C45" s="3"/>
      <c r="D45" s="3"/>
      <c r="E45" s="3"/>
      <c r="F45" s="3"/>
      <c r="G45" s="3"/>
    </row>
    <row r="46" spans="1:8" x14ac:dyDescent="0.2">
      <c r="B46" s="3"/>
      <c r="C46" s="3"/>
      <c r="D46" s="3"/>
      <c r="E46" s="3"/>
      <c r="F46" s="3"/>
      <c r="G46" s="3"/>
    </row>
  </sheetData>
  <mergeCells count="3">
    <mergeCell ref="C12:F12"/>
    <mergeCell ref="B9:F9"/>
    <mergeCell ref="B10:F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50"/>
  <sheetViews>
    <sheetView tabSelected="1" zoomScale="110" zoomScaleNormal="110" workbookViewId="0">
      <selection activeCell="E29" sqref="E29"/>
    </sheetView>
  </sheetViews>
  <sheetFormatPr baseColWidth="10" defaultColWidth="11.28515625" defaultRowHeight="12.75" x14ac:dyDescent="0.2"/>
  <cols>
    <col min="1" max="1" width="5.42578125" customWidth="1"/>
    <col min="2" max="2" width="5.7109375" customWidth="1"/>
    <col min="3" max="3" width="11" customWidth="1"/>
    <col min="4" max="4" width="10" customWidth="1"/>
    <col min="5" max="5" width="9.5703125" customWidth="1"/>
    <col min="6" max="6" width="9.140625" customWidth="1"/>
    <col min="7" max="7" width="10.7109375" customWidth="1"/>
    <col min="8" max="8" width="10.28515625" customWidth="1"/>
    <col min="9" max="9" width="7.85546875" customWidth="1"/>
    <col min="10" max="10" width="8" customWidth="1"/>
    <col min="11" max="11" width="7.85546875" customWidth="1"/>
    <col min="12" max="12" width="7.140625" customWidth="1"/>
    <col min="13" max="14" width="9" customWidth="1"/>
    <col min="15" max="15" width="7.140625" style="3" customWidth="1"/>
    <col min="16" max="16" width="8" style="3" customWidth="1"/>
    <col min="17" max="17" width="7.28515625" style="3" customWidth="1"/>
    <col min="18" max="18" width="7" style="3" customWidth="1"/>
    <col min="19" max="19" width="11.28515625" style="3"/>
  </cols>
  <sheetData>
    <row r="3" spans="1:18" ht="13.5" customHeight="1" x14ac:dyDescent="0.2">
      <c r="O3" s="577" t="s">
        <v>196</v>
      </c>
    </row>
    <row r="5" spans="1:18" ht="15.75" customHeight="1" x14ac:dyDescent="0.2">
      <c r="A5" s="694" t="s">
        <v>197</v>
      </c>
      <c r="B5" s="694"/>
      <c r="C5" s="694"/>
      <c r="D5" s="694"/>
      <c r="E5" s="694"/>
      <c r="F5" s="694"/>
      <c r="G5" s="694"/>
      <c r="H5" s="694"/>
      <c r="I5" s="694"/>
      <c r="J5" s="694"/>
      <c r="K5" s="694"/>
      <c r="L5" s="694"/>
      <c r="M5" s="694"/>
      <c r="N5" s="694"/>
      <c r="O5" s="694"/>
    </row>
    <row r="6" spans="1:18" ht="15.75" customHeight="1" x14ac:dyDescent="0.2">
      <c r="A6" s="694" t="s">
        <v>198</v>
      </c>
      <c r="B6" s="694"/>
      <c r="C6" s="694"/>
      <c r="D6" s="694"/>
      <c r="E6" s="694"/>
      <c r="F6" s="694"/>
      <c r="G6" s="694"/>
      <c r="H6" s="694"/>
      <c r="I6" s="694"/>
      <c r="J6" s="694"/>
      <c r="K6" s="694"/>
      <c r="L6" s="694"/>
      <c r="M6" s="694"/>
      <c r="N6" s="694"/>
      <c r="O6" s="694"/>
    </row>
    <row r="7" spans="1:18" ht="15.75" customHeight="1" thickBot="1" x14ac:dyDescent="0.25">
      <c r="A7" s="695" t="s">
        <v>323</v>
      </c>
      <c r="B7" s="695"/>
      <c r="C7" s="695"/>
      <c r="D7" s="695"/>
      <c r="E7" s="695"/>
      <c r="F7" s="695"/>
      <c r="G7" s="695"/>
      <c r="H7" s="695"/>
      <c r="I7" s="695"/>
      <c r="J7" s="695"/>
      <c r="K7" s="695"/>
      <c r="L7" s="695"/>
      <c r="M7" s="695"/>
      <c r="N7" s="695"/>
      <c r="O7" s="695"/>
    </row>
    <row r="8" spans="1:18" ht="90.75" customHeight="1" thickBot="1" x14ac:dyDescent="0.25">
      <c r="A8" s="274" t="s">
        <v>8</v>
      </c>
      <c r="B8" s="664" t="s">
        <v>306</v>
      </c>
      <c r="C8" s="664" t="s">
        <v>2</v>
      </c>
      <c r="D8" s="622" t="s">
        <v>20</v>
      </c>
      <c r="E8" s="665" t="s">
        <v>28</v>
      </c>
      <c r="F8" s="666" t="s">
        <v>29</v>
      </c>
      <c r="G8" s="664" t="s">
        <v>30</v>
      </c>
      <c r="H8" s="664" t="s">
        <v>235</v>
      </c>
      <c r="I8" s="622" t="s">
        <v>31</v>
      </c>
      <c r="J8" s="667" t="s">
        <v>32</v>
      </c>
      <c r="K8" s="664" t="s">
        <v>236</v>
      </c>
      <c r="L8" s="622" t="s">
        <v>31</v>
      </c>
      <c r="M8" s="622" t="s">
        <v>191</v>
      </c>
      <c r="N8" s="622" t="s">
        <v>237</v>
      </c>
      <c r="O8" s="665" t="s">
        <v>31</v>
      </c>
      <c r="P8" s="622" t="s">
        <v>315</v>
      </c>
      <c r="Q8" s="622" t="s">
        <v>316</v>
      </c>
      <c r="R8" s="665" t="s">
        <v>31</v>
      </c>
    </row>
    <row r="9" spans="1:18" ht="13.5" thickBot="1" x14ac:dyDescent="0.25">
      <c r="A9" s="623" t="s">
        <v>3</v>
      </c>
      <c r="B9" s="629">
        <v>20</v>
      </c>
      <c r="C9" s="630">
        <v>96414.28</v>
      </c>
      <c r="D9" s="631">
        <v>5142.87</v>
      </c>
      <c r="E9" s="632">
        <f>8031.72+892.43</f>
        <v>8924.15</v>
      </c>
      <c r="F9" s="633">
        <v>0</v>
      </c>
      <c r="G9" s="634">
        <f t="shared" ref="G9:G17" si="0">SUM(C9:F9)</f>
        <v>110481.29999999999</v>
      </c>
      <c r="H9" s="630">
        <v>41235.449999999997</v>
      </c>
      <c r="I9" s="635">
        <f t="shared" ref="I9:I17" si="1">+H9/G9</f>
        <v>0.37323465600060823</v>
      </c>
      <c r="J9" s="632">
        <v>0</v>
      </c>
      <c r="K9" s="636">
        <v>0</v>
      </c>
      <c r="L9" s="637">
        <v>0</v>
      </c>
      <c r="M9" s="632">
        <v>8000.02</v>
      </c>
      <c r="N9" s="632">
        <v>860.63</v>
      </c>
      <c r="O9" s="638">
        <f t="shared" ref="O9:O17" si="2">+N9/M9</f>
        <v>0.10757848105379736</v>
      </c>
      <c r="P9" s="632">
        <v>0</v>
      </c>
      <c r="Q9" s="632">
        <v>0</v>
      </c>
      <c r="R9" s="638">
        <v>0</v>
      </c>
    </row>
    <row r="10" spans="1:18" x14ac:dyDescent="0.2">
      <c r="A10" s="624" t="s">
        <v>4</v>
      </c>
      <c r="B10" s="639">
        <v>21</v>
      </c>
      <c r="C10" s="640">
        <v>86685.59</v>
      </c>
      <c r="D10" s="640">
        <v>11171.45</v>
      </c>
      <c r="E10" s="632">
        <f>5771.19+641.28</f>
        <v>6412.4699999999993</v>
      </c>
      <c r="F10" s="640">
        <v>20000</v>
      </c>
      <c r="G10" s="640">
        <f t="shared" si="0"/>
        <v>124269.51</v>
      </c>
      <c r="H10" s="640">
        <v>14827.1</v>
      </c>
      <c r="I10" s="635">
        <f t="shared" si="1"/>
        <v>0.11931406183222257</v>
      </c>
      <c r="J10" s="632">
        <v>0</v>
      </c>
      <c r="K10" s="636">
        <v>0</v>
      </c>
      <c r="L10" s="637">
        <v>0</v>
      </c>
      <c r="M10" s="636">
        <v>12571.46</v>
      </c>
      <c r="N10" s="636">
        <v>1141.06</v>
      </c>
      <c r="O10" s="638">
        <f t="shared" si="2"/>
        <v>9.0765909448862744E-2</v>
      </c>
      <c r="P10" s="636">
        <v>0</v>
      </c>
      <c r="Q10" s="636">
        <v>0</v>
      </c>
      <c r="R10" s="638">
        <v>0</v>
      </c>
    </row>
    <row r="11" spans="1:18" x14ac:dyDescent="0.2">
      <c r="A11" s="624" t="s">
        <v>5</v>
      </c>
      <c r="B11" s="639">
        <v>28</v>
      </c>
      <c r="C11" s="640">
        <v>144628.53</v>
      </c>
      <c r="D11" s="641">
        <v>4190.49</v>
      </c>
      <c r="E11" s="632">
        <f>9990.5+1110.05</f>
        <v>11100.55</v>
      </c>
      <c r="F11" s="640">
        <v>0</v>
      </c>
      <c r="G11" s="640">
        <f t="shared" si="0"/>
        <v>159919.56999999998</v>
      </c>
      <c r="H11" s="640">
        <v>25029.51</v>
      </c>
      <c r="I11" s="635">
        <f t="shared" si="1"/>
        <v>0.15651311468633891</v>
      </c>
      <c r="J11" s="636">
        <v>0</v>
      </c>
      <c r="K11" s="636">
        <v>0</v>
      </c>
      <c r="L11" s="637">
        <v>0</v>
      </c>
      <c r="M11" s="632">
        <v>8000.02</v>
      </c>
      <c r="N11" s="636">
        <v>705.91</v>
      </c>
      <c r="O11" s="638">
        <f t="shared" si="2"/>
        <v>8.8238529403676477E-2</v>
      </c>
      <c r="P11" s="632">
        <v>0</v>
      </c>
      <c r="Q11" s="636">
        <v>0</v>
      </c>
      <c r="R11" s="638">
        <v>0</v>
      </c>
    </row>
    <row r="12" spans="1:18" x14ac:dyDescent="0.2">
      <c r="A12" s="624" t="s">
        <v>6</v>
      </c>
      <c r="B12" s="639">
        <v>34</v>
      </c>
      <c r="C12" s="640">
        <v>144645.71</v>
      </c>
      <c r="D12" s="641">
        <v>11009.54</v>
      </c>
      <c r="E12" s="632">
        <f>6510.92+723.45</f>
        <v>7234.37</v>
      </c>
      <c r="F12" s="640">
        <v>0</v>
      </c>
      <c r="G12" s="640">
        <f t="shared" si="0"/>
        <v>162889.62</v>
      </c>
      <c r="H12" s="642">
        <f>1118.04+987.36+347.49+365.31+1668.42+806+977.68+1134.98+1137.4+531.3+1869.92+776.12+1394.38+361.16+379.89+381.51+1132.56+1069.64+366.93+1069.64+701.96+1139.82+1139.82+1139.82+842.16+842.16+493+616.59+730.94+380.7+1547.52+655.96+1184.82+1628.12</f>
        <v>30919.119999999995</v>
      </c>
      <c r="I12" s="635">
        <f t="shared" si="1"/>
        <v>0.18981639222928998</v>
      </c>
      <c r="J12" s="636">
        <v>0</v>
      </c>
      <c r="K12" s="636">
        <v>0</v>
      </c>
      <c r="L12" s="637">
        <v>0</v>
      </c>
      <c r="M12" s="636">
        <v>9142.8799999999992</v>
      </c>
      <c r="N12" s="636">
        <f>38.68+96.7+29.01+9.67+106.37+222.41+212.74+96.7</f>
        <v>812.28</v>
      </c>
      <c r="O12" s="638">
        <f t="shared" si="2"/>
        <v>8.884290289274277E-2</v>
      </c>
      <c r="P12" s="636">
        <v>0</v>
      </c>
      <c r="Q12" s="636">
        <v>0</v>
      </c>
      <c r="R12" s="638">
        <v>0</v>
      </c>
    </row>
    <row r="13" spans="1:18" x14ac:dyDescent="0.2">
      <c r="A13" s="624" t="s">
        <v>7</v>
      </c>
      <c r="B13" s="639">
        <v>39</v>
      </c>
      <c r="C13" s="640">
        <v>145066.65</v>
      </c>
      <c r="D13" s="641">
        <v>3914.29</v>
      </c>
      <c r="E13" s="632">
        <f>9043.58+1004.84</f>
        <v>10048.42</v>
      </c>
      <c r="F13" s="640">
        <v>0</v>
      </c>
      <c r="G13" s="640">
        <f t="shared" si="0"/>
        <v>159029.36000000002</v>
      </c>
      <c r="H13" s="642">
        <f>1103.52+4.84+1161.6+2.42+1257.36+64.48+1103.52+7.26+1045.44+12.1+359.64+8.91+1547.52+88.66+1074.48+19.36+1160.64+8.06+1132.56+7.26+637.56+4.83+369.36+4.05+714.84+3.22+386.88+56.42+696.6+70.95+338.52+40.3+9.66+1132.56+9.68+193.44+88.66+379.08+1.62+12.88+1132.56+9.68+1045.44+16.94+369.36+7.29+379.08+2.43+842.16+16.94+1074.48+4.84+1103.52+16.94+1132.56+359.64+1103.52+19.36+435.6+24.2+386.88+12.1+1132.56+9.68+379.08+1.62+1016.4+26.62+1150.56+16.92+1132.56+12.1</f>
        <v>30694.36</v>
      </c>
      <c r="I13" s="635">
        <f t="shared" si="1"/>
        <v>0.19301064910278201</v>
      </c>
      <c r="J13" s="636">
        <v>0</v>
      </c>
      <c r="K13" s="636">
        <v>0</v>
      </c>
      <c r="L13" s="637">
        <v>0</v>
      </c>
      <c r="M13" s="636">
        <v>9142.8799999999992</v>
      </c>
      <c r="N13" s="636">
        <f>154.72+77.36+125.71+58.02+38.68+222.41+9.67+116.04</f>
        <v>802.6099999999999</v>
      </c>
      <c r="O13" s="638">
        <f t="shared" si="2"/>
        <v>8.7785249286876782E-2</v>
      </c>
      <c r="P13" s="636">
        <v>0</v>
      </c>
      <c r="Q13" s="636">
        <v>0</v>
      </c>
      <c r="R13" s="638">
        <v>0</v>
      </c>
    </row>
    <row r="14" spans="1:18" x14ac:dyDescent="0.2">
      <c r="A14" s="624" t="s">
        <v>9</v>
      </c>
      <c r="B14" s="639">
        <v>35</v>
      </c>
      <c r="C14" s="640">
        <v>114971.41</v>
      </c>
      <c r="D14" s="643">
        <v>5314.3</v>
      </c>
      <c r="E14" s="632">
        <f>4868.58+540.97</f>
        <v>5409.55</v>
      </c>
      <c r="F14" s="640">
        <v>11428.57</v>
      </c>
      <c r="G14" s="640">
        <f t="shared" si="0"/>
        <v>137123.83000000002</v>
      </c>
      <c r="H14" s="644">
        <v>26000.98</v>
      </c>
      <c r="I14" s="635">
        <f t="shared" si="1"/>
        <v>0.18961678652062153</v>
      </c>
      <c r="J14" s="636">
        <v>0</v>
      </c>
      <c r="K14" s="636">
        <v>0</v>
      </c>
      <c r="L14" s="637">
        <v>0</v>
      </c>
      <c r="M14" s="636">
        <v>6857.16</v>
      </c>
      <c r="N14" s="636">
        <f>9.67*11+9.67*23+9.67*6+9.67*23+9.67*2+9.67*21</f>
        <v>831.61999999999989</v>
      </c>
      <c r="O14" s="638">
        <f t="shared" si="2"/>
        <v>0.12127761347263297</v>
      </c>
      <c r="P14" s="636">
        <v>0</v>
      </c>
      <c r="Q14" s="636">
        <v>0</v>
      </c>
      <c r="R14" s="638">
        <v>0</v>
      </c>
    </row>
    <row r="15" spans="1:18" x14ac:dyDescent="0.2">
      <c r="A15" s="624" t="s">
        <v>10</v>
      </c>
      <c r="B15" s="639">
        <v>39</v>
      </c>
      <c r="C15" s="645">
        <v>162254.35999999999</v>
      </c>
      <c r="D15" s="646">
        <v>4171.4399999999996</v>
      </c>
      <c r="E15" s="632">
        <f>8233.84+914.93</f>
        <v>9148.77</v>
      </c>
      <c r="F15" s="640">
        <v>0</v>
      </c>
      <c r="G15" s="647">
        <f t="shared" si="0"/>
        <v>175574.56999999998</v>
      </c>
      <c r="H15" s="642">
        <v>30747.51</v>
      </c>
      <c r="I15" s="635">
        <f t="shared" si="1"/>
        <v>0.17512507648459572</v>
      </c>
      <c r="J15" s="636">
        <v>1142.8599999999999</v>
      </c>
      <c r="K15" s="636">
        <v>887.88</v>
      </c>
      <c r="L15" s="635">
        <f t="shared" ref="L15:L17" si="3">+K15/J15</f>
        <v>0.77689305776735562</v>
      </c>
      <c r="M15" s="636">
        <v>6857.16</v>
      </c>
      <c r="N15" s="636">
        <f>9.67*10+9.67*22+9.67*11+9.67*23+9.67*11+9.67*15</f>
        <v>889.6400000000001</v>
      </c>
      <c r="O15" s="638">
        <f t="shared" si="2"/>
        <v>0.1297388423195609</v>
      </c>
      <c r="P15" s="636">
        <v>0</v>
      </c>
      <c r="Q15" s="636">
        <v>0</v>
      </c>
      <c r="R15" s="638">
        <v>0</v>
      </c>
    </row>
    <row r="16" spans="1:18" x14ac:dyDescent="0.2">
      <c r="A16" s="624" t="s">
        <v>11</v>
      </c>
      <c r="B16" s="639">
        <f>'1. RESUMEN DE PAGADOS '!B17+'1. RESUMEN DE PAGADOS '!C17</f>
        <v>40</v>
      </c>
      <c r="C16" s="641">
        <f>'1. RESUMEN DE PAGADOS '!H17</f>
        <v>123702.84999999999</v>
      </c>
      <c r="D16" s="646">
        <f>'1. RESUMEN DE PAGADOS '!M17</f>
        <v>6628.59</v>
      </c>
      <c r="E16" s="632">
        <f>'4. RESUMEN DEV 30%'!F21</f>
        <v>7673.7599999999993</v>
      </c>
      <c r="F16" s="640">
        <f>'1. RESUMEN DE PAGADOS '!N17</f>
        <v>3428.57</v>
      </c>
      <c r="G16" s="690">
        <f t="shared" si="0"/>
        <v>141433.76999999999</v>
      </c>
      <c r="H16" s="649">
        <f>'1. RESUMEN DE PAGADOS '!I17</f>
        <v>26246.3</v>
      </c>
      <c r="I16" s="635">
        <f t="shared" si="1"/>
        <v>0.18557307777343418</v>
      </c>
      <c r="J16" s="636">
        <v>0</v>
      </c>
      <c r="K16" s="636">
        <v>0</v>
      </c>
      <c r="L16" s="637">
        <v>0</v>
      </c>
      <c r="M16" s="636">
        <f>'1. RESUMEN DE PAGADOS '!L17</f>
        <v>5714.2999999999993</v>
      </c>
      <c r="N16" s="636">
        <v>444.82</v>
      </c>
      <c r="O16" s="638">
        <f t="shared" si="2"/>
        <v>7.7843305391736534E-2</v>
      </c>
      <c r="P16" s="636">
        <v>4001.98</v>
      </c>
      <c r="Q16" s="636">
        <v>16.68</v>
      </c>
      <c r="R16" s="650">
        <v>4.1999999999999997E-3</v>
      </c>
    </row>
    <row r="17" spans="1:18" x14ac:dyDescent="0.2">
      <c r="A17" s="625" t="s">
        <v>14</v>
      </c>
      <c r="B17" s="639">
        <f>'1. RESUMEN DE PAGADOS '!B18+'1. RESUMEN DE PAGADOS '!C18</f>
        <v>41</v>
      </c>
      <c r="C17" s="641">
        <f>'1. RESUMEN DE PAGADOS '!H18</f>
        <v>149045.68000000002</v>
      </c>
      <c r="D17" s="646">
        <f>'1. RESUMEN DE PAGADOS '!M18</f>
        <v>6057.16</v>
      </c>
      <c r="E17" s="632">
        <f>'4. RESUMEN DEV 30%'!F22</f>
        <v>4952.55</v>
      </c>
      <c r="F17" s="640">
        <f>'1. RESUMEN DE PAGADOS '!N18</f>
        <v>0</v>
      </c>
      <c r="G17" s="648">
        <f t="shared" si="0"/>
        <v>160055.39000000001</v>
      </c>
      <c r="H17" s="649">
        <f>'1. RESUMEN DE PAGADOS '!I18</f>
        <v>27876.599999999995</v>
      </c>
      <c r="I17" s="635">
        <f t="shared" si="1"/>
        <v>0.17416845505796458</v>
      </c>
      <c r="J17" s="636">
        <f>'1. RESUMEN DE PAGADOS '!J18</f>
        <v>3428.5799999999995</v>
      </c>
      <c r="K17" s="636">
        <f>'1. RESUMEN DE PAGADOS '!K18</f>
        <v>2920.5600000000004</v>
      </c>
      <c r="L17" s="635">
        <f t="shared" si="3"/>
        <v>0.85182787043032415</v>
      </c>
      <c r="M17" s="636">
        <f>'1. RESUMEN DE PAGADOS '!L18</f>
        <v>13714.32</v>
      </c>
      <c r="N17" s="636">
        <f>'TOTAL APORTES'!D14</f>
        <v>1363.47</v>
      </c>
      <c r="O17" s="638">
        <f t="shared" si="2"/>
        <v>9.9419438951402622E-2</v>
      </c>
      <c r="P17" s="636">
        <v>0</v>
      </c>
      <c r="Q17" s="636">
        <v>0</v>
      </c>
      <c r="R17" s="638">
        <v>0</v>
      </c>
    </row>
    <row r="18" spans="1:18" x14ac:dyDescent="0.2">
      <c r="A18" s="626" t="s">
        <v>15</v>
      </c>
      <c r="B18" s="651"/>
      <c r="C18" s="652"/>
      <c r="D18" s="646"/>
      <c r="E18" s="632"/>
      <c r="F18" s="640"/>
      <c r="G18" s="653"/>
      <c r="H18" s="653"/>
      <c r="I18" s="635"/>
      <c r="J18" s="636"/>
      <c r="K18" s="636"/>
      <c r="L18" s="637"/>
      <c r="M18" s="636"/>
      <c r="N18" s="636"/>
      <c r="O18" s="638"/>
      <c r="P18" s="636"/>
      <c r="Q18" s="636"/>
      <c r="R18" s="638"/>
    </row>
    <row r="19" spans="1:18" x14ac:dyDescent="0.2">
      <c r="A19" s="627" t="s">
        <v>16</v>
      </c>
      <c r="B19" s="654"/>
      <c r="C19" s="646"/>
      <c r="D19" s="646"/>
      <c r="E19" s="632"/>
      <c r="F19" s="640"/>
      <c r="G19" s="646"/>
      <c r="H19" s="646"/>
      <c r="I19" s="635"/>
      <c r="J19" s="636"/>
      <c r="K19" s="636"/>
      <c r="L19" s="637"/>
      <c r="M19" s="646"/>
      <c r="N19" s="636"/>
      <c r="O19" s="638"/>
      <c r="P19" s="646"/>
      <c r="Q19" s="636"/>
      <c r="R19" s="638"/>
    </row>
    <row r="20" spans="1:18" x14ac:dyDescent="0.2">
      <c r="A20" s="628" t="s">
        <v>17</v>
      </c>
      <c r="B20" s="655"/>
      <c r="C20" s="652"/>
      <c r="D20" s="646"/>
      <c r="E20" s="632"/>
      <c r="F20" s="640"/>
      <c r="G20" s="652"/>
      <c r="H20" s="646"/>
      <c r="I20" s="635"/>
      <c r="J20" s="653"/>
      <c r="K20" s="636"/>
      <c r="L20" s="637"/>
      <c r="M20" s="636"/>
      <c r="N20" s="636"/>
      <c r="O20" s="638"/>
      <c r="P20" s="636"/>
      <c r="Q20" s="636"/>
      <c r="R20" s="638"/>
    </row>
    <row r="21" spans="1:18" x14ac:dyDescent="0.2">
      <c r="A21" s="621" t="s">
        <v>0</v>
      </c>
      <c r="B21" s="656">
        <f t="shared" ref="B21:H21" si="4">SUM(B9:B20)</f>
        <v>297</v>
      </c>
      <c r="C21" s="657">
        <f>SUM(C9:C20)</f>
        <v>1167415.06</v>
      </c>
      <c r="D21" s="658">
        <f t="shared" si="4"/>
        <v>57600.130000000005</v>
      </c>
      <c r="E21" s="658">
        <f t="shared" si="4"/>
        <v>70904.59</v>
      </c>
      <c r="F21" s="658">
        <f t="shared" si="4"/>
        <v>34857.14</v>
      </c>
      <c r="G21" s="659">
        <f t="shared" si="4"/>
        <v>1330776.92</v>
      </c>
      <c r="H21" s="658">
        <f t="shared" si="4"/>
        <v>253576.93</v>
      </c>
      <c r="I21" s="660">
        <f>+H21/G21</f>
        <v>0.19054803715712174</v>
      </c>
      <c r="J21" s="657">
        <f>SUM(J9:J20)</f>
        <v>4571.4399999999996</v>
      </c>
      <c r="K21" s="657">
        <f>SUM(K9:K20)</f>
        <v>3808.4400000000005</v>
      </c>
      <c r="L21" s="660">
        <f>+K21/J21</f>
        <v>0.83309416726458208</v>
      </c>
      <c r="M21" s="657">
        <f>SUM(M9:M20)</f>
        <v>80000.200000000012</v>
      </c>
      <c r="N21" s="657">
        <f>SUM(N9:N20)</f>
        <v>7852.04</v>
      </c>
      <c r="O21" s="661">
        <f>+N21/M21</f>
        <v>9.8150254624363428E-2</v>
      </c>
      <c r="P21" s="657">
        <f>SUM(P9:P20)</f>
        <v>4001.98</v>
      </c>
      <c r="Q21" s="662">
        <f>Q9+Q10+Q11+Q12+Q13+Q14+Q15+Q16+Q17+Q18+Q19+Q20</f>
        <v>16.68</v>
      </c>
      <c r="R21" s="663">
        <f>Q21/P21</f>
        <v>4.1679368712487317E-3</v>
      </c>
    </row>
    <row r="22" spans="1:18" x14ac:dyDescent="0.2">
      <c r="A22" s="464" t="s">
        <v>322</v>
      </c>
      <c r="B22" s="20"/>
      <c r="C22" s="20"/>
      <c r="D22" s="20"/>
      <c r="E22" s="20"/>
      <c r="F22" s="5"/>
      <c r="G22" s="5"/>
      <c r="H22" s="5"/>
      <c r="I22" s="5"/>
      <c r="R22" s="468" t="s">
        <v>321</v>
      </c>
    </row>
    <row r="23" spans="1:18" x14ac:dyDescent="0.2">
      <c r="B23" s="20"/>
      <c r="C23" s="20"/>
      <c r="D23" s="20"/>
      <c r="E23" s="20"/>
      <c r="F23" s="5"/>
      <c r="G23" s="5"/>
      <c r="H23" s="5"/>
      <c r="I23" s="5"/>
      <c r="L23" s="3"/>
      <c r="N23" s="3"/>
    </row>
    <row r="24" spans="1:18" x14ac:dyDescent="0.2">
      <c r="A24" s="8" t="s">
        <v>249</v>
      </c>
      <c r="B24" s="5"/>
      <c r="C24" s="20"/>
      <c r="D24" s="20"/>
      <c r="E24" s="20"/>
      <c r="F24" s="5"/>
      <c r="G24" s="5"/>
      <c r="H24" s="5"/>
      <c r="I24" s="5"/>
      <c r="J24" s="5"/>
      <c r="K24" s="5"/>
      <c r="L24" s="24"/>
    </row>
    <row r="25" spans="1:18" x14ac:dyDescent="0.2">
      <c r="A25" s="8"/>
      <c r="B25" s="5"/>
      <c r="C25" s="20"/>
      <c r="D25" s="20"/>
      <c r="E25" s="20"/>
      <c r="F25" s="5"/>
      <c r="G25" s="5"/>
      <c r="H25" s="5"/>
      <c r="I25" s="5"/>
      <c r="J25" s="5"/>
      <c r="K25" s="5"/>
      <c r="L25" s="19"/>
    </row>
    <row r="26" spans="1:18" x14ac:dyDescent="0.2">
      <c r="A26" s="8"/>
      <c r="B26" s="7"/>
      <c r="C26" s="20"/>
      <c r="D26" s="20"/>
      <c r="E26" s="20"/>
      <c r="F26" s="5"/>
      <c r="G26" s="5"/>
      <c r="H26" s="5"/>
      <c r="I26" s="5"/>
      <c r="J26" s="5"/>
      <c r="K26" s="5"/>
      <c r="L26" s="21"/>
    </row>
    <row r="27" spans="1:18" x14ac:dyDescent="0.2">
      <c r="A27" s="8"/>
      <c r="B27" s="3"/>
      <c r="D27" s="27"/>
      <c r="E27" s="27"/>
      <c r="G27" s="27"/>
      <c r="J27" s="3"/>
      <c r="K27" s="3"/>
      <c r="L27" s="21"/>
    </row>
    <row r="28" spans="1:18" x14ac:dyDescent="0.2">
      <c r="A28" s="8"/>
      <c r="B28" s="11"/>
      <c r="C28" s="10"/>
      <c r="J28" s="3"/>
      <c r="L28" s="18"/>
      <c r="M28" s="27"/>
    </row>
    <row r="29" spans="1:18" x14ac:dyDescent="0.2">
      <c r="A29" s="8"/>
      <c r="C29" s="3"/>
      <c r="D29" s="20"/>
      <c r="E29" s="20"/>
      <c r="F29" s="5"/>
      <c r="G29" s="676"/>
      <c r="J29" s="5"/>
      <c r="K29" s="5"/>
      <c r="L29" s="18"/>
    </row>
    <row r="30" spans="1:18" x14ac:dyDescent="0.2">
      <c r="A30" s="8"/>
      <c r="C30" s="5"/>
      <c r="D30" s="8"/>
      <c r="E30" s="8"/>
      <c r="F30" s="5"/>
      <c r="G30" s="5"/>
      <c r="L30" s="18"/>
    </row>
    <row r="31" spans="1:18" x14ac:dyDescent="0.2">
      <c r="A31" s="8"/>
      <c r="B31" s="5"/>
      <c r="C31" s="4"/>
      <c r="D31" s="4"/>
      <c r="E31" s="4"/>
      <c r="L31" s="10" t="s">
        <v>238</v>
      </c>
      <c r="O31"/>
    </row>
    <row r="32" spans="1:18" x14ac:dyDescent="0.2">
      <c r="A32" s="8"/>
      <c r="B32" s="5"/>
      <c r="C32" s="4"/>
      <c r="D32" s="4"/>
      <c r="E32" s="4"/>
      <c r="L32" s="27"/>
      <c r="M32" s="11" t="s">
        <v>127</v>
      </c>
      <c r="O32"/>
    </row>
    <row r="33" spans="1:15" x14ac:dyDescent="0.2">
      <c r="K33" s="3"/>
      <c r="L33" s="5"/>
      <c r="M33" s="6" t="s">
        <v>104</v>
      </c>
      <c r="O33"/>
    </row>
    <row r="35" spans="1:15" x14ac:dyDescent="0.2">
      <c r="K35" s="5"/>
      <c r="L35" s="9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7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7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1" spans="1:15" x14ac:dyDescent="0.2">
      <c r="A41" s="15"/>
    </row>
    <row r="42" spans="1:15" x14ac:dyDescent="0.2">
      <c r="J42" s="5"/>
      <c r="K42" s="5"/>
      <c r="L42" s="5"/>
    </row>
    <row r="46" spans="1:15" x14ac:dyDescent="0.2">
      <c r="B46" s="6"/>
      <c r="H46" s="5"/>
      <c r="I46" s="5"/>
      <c r="J46" s="5"/>
      <c r="K46" s="5"/>
      <c r="L46" s="5"/>
    </row>
    <row r="48" spans="1:15" x14ac:dyDescent="0.2">
      <c r="B48" s="3"/>
    </row>
    <row r="49" spans="2:2" x14ac:dyDescent="0.2">
      <c r="B49" s="3"/>
    </row>
    <row r="50" spans="2:2" x14ac:dyDescent="0.2">
      <c r="B50" s="3"/>
    </row>
  </sheetData>
  <mergeCells count="3">
    <mergeCell ref="A5:O5"/>
    <mergeCell ref="A6:O6"/>
    <mergeCell ref="A7:O7"/>
  </mergeCells>
  <pageMargins left="0.7" right="0.7" top="0.75" bottom="0.75" header="0.3" footer="0.3"/>
  <pageSetup paperSize="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1"/>
  <sheetViews>
    <sheetView workbookViewId="0">
      <selection activeCell="Q31" sqref="Q31"/>
    </sheetView>
  </sheetViews>
  <sheetFormatPr baseColWidth="10" defaultRowHeight="11.25" x14ac:dyDescent="0.2"/>
  <cols>
    <col min="1" max="1" width="2.5703125" style="7" customWidth="1"/>
    <col min="2" max="2" width="12.85546875" style="7" customWidth="1"/>
    <col min="3" max="3" width="4.28515625" style="7" customWidth="1"/>
    <col min="4" max="4" width="7" style="7" customWidth="1"/>
    <col min="5" max="5" width="3.85546875" style="7" customWidth="1"/>
    <col min="6" max="6" width="24.140625" style="7" customWidth="1"/>
    <col min="7" max="7" width="3.42578125" style="7" customWidth="1"/>
    <col min="8" max="8" width="10.5703125" style="7" customWidth="1"/>
    <col min="9" max="9" width="3.7109375" style="7" customWidth="1"/>
    <col min="10" max="10" width="11.5703125" style="7" customWidth="1"/>
    <col min="11" max="11" width="4.7109375" style="7" customWidth="1"/>
    <col min="12" max="12" width="9.28515625" style="7" customWidth="1"/>
    <col min="13" max="13" width="11.42578125" style="7" customWidth="1"/>
    <col min="14" max="14" width="3.7109375" style="7" customWidth="1"/>
    <col min="15" max="15" width="9" style="7" customWidth="1"/>
    <col min="16" max="16384" width="11.42578125" style="7"/>
  </cols>
  <sheetData>
    <row r="1" spans="2:16" x14ac:dyDescent="0.2">
      <c r="O1" s="133" t="s">
        <v>210</v>
      </c>
    </row>
    <row r="2" spans="2:16" x14ac:dyDescent="0.2">
      <c r="B2" s="698" t="s">
        <v>33</v>
      </c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</row>
    <row r="3" spans="2:16" ht="11.25" customHeight="1" x14ac:dyDescent="0.2">
      <c r="B3" s="697" t="s">
        <v>326</v>
      </c>
      <c r="C3" s="697"/>
      <c r="D3" s="697"/>
      <c r="E3" s="697"/>
      <c r="F3" s="697"/>
      <c r="G3" s="697"/>
      <c r="H3" s="697"/>
      <c r="I3" s="697"/>
      <c r="J3" s="697"/>
      <c r="K3" s="697"/>
      <c r="L3" s="697"/>
      <c r="M3" s="697"/>
      <c r="N3" s="697"/>
    </row>
    <row r="4" spans="2:16" ht="11.25" customHeight="1" x14ac:dyDescent="0.2">
      <c r="B4" s="699" t="s">
        <v>34</v>
      </c>
      <c r="C4" s="700"/>
      <c r="D4" s="452"/>
      <c r="E4" s="452"/>
      <c r="F4" s="701" t="s">
        <v>35</v>
      </c>
      <c r="G4" s="702"/>
      <c r="H4" s="703" t="s">
        <v>36</v>
      </c>
      <c r="I4" s="703"/>
      <c r="J4" s="704" t="s">
        <v>37</v>
      </c>
      <c r="K4" s="704"/>
      <c r="L4" s="704"/>
      <c r="M4" s="704"/>
      <c r="N4" s="704"/>
      <c r="O4" s="704"/>
    </row>
    <row r="5" spans="2:16" ht="11.25" customHeight="1" x14ac:dyDescent="0.2">
      <c r="B5" s="707" t="s">
        <v>38</v>
      </c>
      <c r="C5" s="708"/>
      <c r="D5" s="709" t="s">
        <v>39</v>
      </c>
      <c r="E5" s="710"/>
      <c r="F5" s="709" t="s">
        <v>40</v>
      </c>
      <c r="G5" s="710"/>
      <c r="H5" s="711" t="s">
        <v>41</v>
      </c>
      <c r="I5" s="711"/>
      <c r="J5" s="696" t="s">
        <v>42</v>
      </c>
      <c r="K5" s="696"/>
      <c r="L5" s="31" t="s">
        <v>43</v>
      </c>
      <c r="M5" s="32" t="s">
        <v>44</v>
      </c>
      <c r="N5" s="32"/>
      <c r="O5" s="31" t="s">
        <v>45</v>
      </c>
    </row>
    <row r="6" spans="2:16" ht="12" x14ac:dyDescent="0.2">
      <c r="B6" s="33" t="s">
        <v>46</v>
      </c>
      <c r="C6" s="369">
        <v>1</v>
      </c>
      <c r="D6" s="374" t="s">
        <v>47</v>
      </c>
      <c r="E6" s="328">
        <v>13</v>
      </c>
      <c r="F6" s="124" t="s">
        <v>301</v>
      </c>
      <c r="G6" s="329">
        <v>0</v>
      </c>
      <c r="H6" s="331" t="s">
        <v>48</v>
      </c>
      <c r="I6" s="31">
        <v>6</v>
      </c>
      <c r="J6" s="335">
        <v>1142.8599999999999</v>
      </c>
      <c r="K6" s="273">
        <v>5</v>
      </c>
      <c r="L6" s="335">
        <v>1142.8599999999999</v>
      </c>
      <c r="M6" s="335">
        <v>571.42999999999995</v>
      </c>
      <c r="N6" s="339">
        <v>1</v>
      </c>
      <c r="O6" s="335">
        <v>3428.57</v>
      </c>
      <c r="P6" s="130"/>
    </row>
    <row r="7" spans="2:16" ht="12" x14ac:dyDescent="0.2">
      <c r="B7" s="33" t="s">
        <v>49</v>
      </c>
      <c r="C7" s="369">
        <v>4</v>
      </c>
      <c r="D7" s="374" t="s">
        <v>50</v>
      </c>
      <c r="E7" s="328">
        <v>1</v>
      </c>
      <c r="F7" s="269" t="s">
        <v>302</v>
      </c>
      <c r="G7" s="329">
        <f>1</f>
        <v>1</v>
      </c>
      <c r="H7" s="331" t="s">
        <v>51</v>
      </c>
      <c r="I7" s="31">
        <v>7</v>
      </c>
      <c r="J7" s="335">
        <v>2285.71</v>
      </c>
      <c r="K7" s="273">
        <v>7</v>
      </c>
      <c r="L7" s="337"/>
      <c r="M7" s="335">
        <v>1142.8599999999999</v>
      </c>
      <c r="N7" s="339">
        <v>0</v>
      </c>
      <c r="O7" s="337"/>
      <c r="P7" s="130"/>
    </row>
    <row r="8" spans="2:16" ht="12" x14ac:dyDescent="0.2">
      <c r="B8" s="33" t="s">
        <v>52</v>
      </c>
      <c r="C8" s="369">
        <v>1</v>
      </c>
      <c r="D8" s="374" t="s">
        <v>53</v>
      </c>
      <c r="E8" s="328">
        <v>25</v>
      </c>
      <c r="F8" s="269" t="s">
        <v>303</v>
      </c>
      <c r="G8" s="329">
        <f>1+1</f>
        <v>2</v>
      </c>
      <c r="H8" s="331" t="s">
        <v>54</v>
      </c>
      <c r="I8" s="31">
        <v>5</v>
      </c>
      <c r="J8" s="335">
        <v>3428.57</v>
      </c>
      <c r="K8" s="273">
        <v>15</v>
      </c>
      <c r="L8" s="337"/>
      <c r="M8" s="335">
        <v>1714.29</v>
      </c>
      <c r="N8" s="339">
        <v>0</v>
      </c>
      <c r="O8" s="340"/>
      <c r="P8" s="130"/>
    </row>
    <row r="9" spans="2:16" ht="12" x14ac:dyDescent="0.2">
      <c r="B9" s="33" t="s">
        <v>55</v>
      </c>
      <c r="C9" s="369">
        <v>2</v>
      </c>
      <c r="D9" s="374" t="s">
        <v>56</v>
      </c>
      <c r="E9" s="328">
        <v>2</v>
      </c>
      <c r="F9" s="124" t="s">
        <v>262</v>
      </c>
      <c r="G9" s="329">
        <v>0</v>
      </c>
      <c r="H9" s="331" t="s">
        <v>277</v>
      </c>
      <c r="I9" s="31">
        <v>24</v>
      </c>
      <c r="J9" s="335">
        <v>4571.43</v>
      </c>
      <c r="K9" s="273">
        <v>0</v>
      </c>
      <c r="L9" s="337"/>
      <c r="M9" s="453">
        <v>2285.71</v>
      </c>
      <c r="N9" s="339">
        <v>0</v>
      </c>
      <c r="O9" s="340"/>
    </row>
    <row r="10" spans="2:16" ht="12" x14ac:dyDescent="0.2">
      <c r="B10" s="33" t="s">
        <v>57</v>
      </c>
      <c r="C10" s="369">
        <v>4</v>
      </c>
      <c r="D10" s="131" t="s">
        <v>58</v>
      </c>
      <c r="E10" s="328">
        <v>1</v>
      </c>
      <c r="F10" s="124" t="s">
        <v>63</v>
      </c>
      <c r="G10" s="329">
        <f>1</f>
        <v>1</v>
      </c>
      <c r="H10" s="331" t="s">
        <v>278</v>
      </c>
      <c r="I10" s="31">
        <v>1</v>
      </c>
      <c r="J10" s="335">
        <v>5714.29</v>
      </c>
      <c r="K10" s="273">
        <v>2</v>
      </c>
      <c r="L10" s="337"/>
      <c r="M10" s="335">
        <v>2857.14</v>
      </c>
      <c r="N10" s="339">
        <v>1</v>
      </c>
      <c r="O10" s="340"/>
    </row>
    <row r="11" spans="2:16" ht="19.5" x14ac:dyDescent="0.2">
      <c r="B11" s="375" t="s">
        <v>59</v>
      </c>
      <c r="C11" s="470">
        <v>16</v>
      </c>
      <c r="D11" s="131" t="s">
        <v>60</v>
      </c>
      <c r="E11" s="328">
        <v>0</v>
      </c>
      <c r="F11" s="481" t="s">
        <v>263</v>
      </c>
      <c r="G11" s="329">
        <f>1</f>
        <v>1</v>
      </c>
      <c r="H11" s="332"/>
      <c r="I11" s="333"/>
      <c r="J11" s="335">
        <v>6857.14</v>
      </c>
      <c r="K11" s="273">
        <v>0</v>
      </c>
      <c r="L11" s="337"/>
      <c r="M11" s="335">
        <v>3428.57</v>
      </c>
      <c r="N11" s="339">
        <v>1</v>
      </c>
      <c r="O11" s="340"/>
    </row>
    <row r="12" spans="2:16" ht="12" x14ac:dyDescent="0.2">
      <c r="B12" s="375" t="s">
        <v>61</v>
      </c>
      <c r="C12" s="369">
        <v>1</v>
      </c>
      <c r="D12" s="374" t="s">
        <v>199</v>
      </c>
      <c r="E12" s="328">
        <v>1</v>
      </c>
      <c r="F12" s="124" t="s">
        <v>260</v>
      </c>
      <c r="G12" s="329">
        <v>0</v>
      </c>
      <c r="H12" s="332"/>
      <c r="I12" s="333"/>
      <c r="J12" s="335">
        <v>8000</v>
      </c>
      <c r="K12" s="273">
        <v>0</v>
      </c>
      <c r="L12" s="337"/>
      <c r="M12" s="335">
        <v>4571.43</v>
      </c>
      <c r="N12" s="339">
        <v>0</v>
      </c>
      <c r="O12" s="340"/>
    </row>
    <row r="13" spans="2:16" ht="12" x14ac:dyDescent="0.2">
      <c r="B13" s="33" t="s">
        <v>62</v>
      </c>
      <c r="C13" s="369">
        <v>1</v>
      </c>
      <c r="D13" s="374"/>
      <c r="E13" s="275"/>
      <c r="F13" s="277" t="s">
        <v>264</v>
      </c>
      <c r="G13" s="329">
        <v>0</v>
      </c>
      <c r="H13" s="332"/>
      <c r="I13" s="333"/>
      <c r="J13" s="336">
        <v>9142.86</v>
      </c>
      <c r="K13" s="273">
        <v>1</v>
      </c>
      <c r="L13" s="337"/>
      <c r="M13" s="335">
        <v>5714.29</v>
      </c>
      <c r="N13" s="339">
        <v>0</v>
      </c>
      <c r="O13" s="340"/>
    </row>
    <row r="14" spans="2:16" ht="17.25" x14ac:dyDescent="0.2">
      <c r="B14" s="33" t="s">
        <v>64</v>
      </c>
      <c r="C14" s="369">
        <v>1</v>
      </c>
      <c r="D14" s="376"/>
      <c r="E14" s="278"/>
      <c r="F14" s="423" t="s">
        <v>265</v>
      </c>
      <c r="G14" s="329">
        <f>1</f>
        <v>1</v>
      </c>
      <c r="H14" s="332"/>
      <c r="I14" s="333"/>
      <c r="J14" s="454">
        <v>10285.709999999999</v>
      </c>
      <c r="K14" s="281">
        <v>0</v>
      </c>
      <c r="L14" s="337"/>
      <c r="M14" s="335">
        <v>6857.14</v>
      </c>
      <c r="N14" s="339">
        <v>0</v>
      </c>
      <c r="O14" s="340"/>
    </row>
    <row r="15" spans="2:16" ht="12" x14ac:dyDescent="0.2">
      <c r="B15" s="33" t="s">
        <v>65</v>
      </c>
      <c r="C15" s="370">
        <v>0</v>
      </c>
      <c r="D15" s="376"/>
      <c r="E15" s="278"/>
      <c r="F15" s="179" t="s">
        <v>261</v>
      </c>
      <c r="G15" s="329">
        <v>0</v>
      </c>
      <c r="H15" s="332"/>
      <c r="I15" s="333"/>
      <c r="J15" s="455">
        <v>11428.57</v>
      </c>
      <c r="K15" s="273">
        <v>4</v>
      </c>
      <c r="L15" s="337"/>
      <c r="M15" s="335">
        <v>8000</v>
      </c>
      <c r="N15" s="339">
        <v>0</v>
      </c>
      <c r="O15" s="340"/>
    </row>
    <row r="16" spans="2:16" ht="12" x14ac:dyDescent="0.2">
      <c r="B16" s="33" t="s">
        <v>66</v>
      </c>
      <c r="C16" s="369">
        <v>1</v>
      </c>
      <c r="D16" s="376"/>
      <c r="E16" s="278"/>
      <c r="F16" s="124" t="s">
        <v>246</v>
      </c>
      <c r="G16" s="329">
        <f>1</f>
        <v>1</v>
      </c>
      <c r="H16" s="332"/>
      <c r="I16" s="333"/>
      <c r="J16" s="456">
        <v>15000</v>
      </c>
      <c r="K16" s="273">
        <v>0</v>
      </c>
      <c r="L16" s="337"/>
      <c r="M16" s="335">
        <v>9142.86</v>
      </c>
      <c r="N16" s="339">
        <v>0</v>
      </c>
      <c r="O16" s="340"/>
    </row>
    <row r="17" spans="2:17" ht="12" x14ac:dyDescent="0.2">
      <c r="B17" s="33" t="s">
        <v>67</v>
      </c>
      <c r="C17" s="370">
        <v>9</v>
      </c>
      <c r="D17" s="376"/>
      <c r="E17" s="278"/>
      <c r="F17" s="124" t="s">
        <v>266</v>
      </c>
      <c r="G17" s="329">
        <f>1</f>
        <v>1</v>
      </c>
      <c r="H17" s="332"/>
      <c r="I17" s="333"/>
      <c r="J17" s="456">
        <v>20000</v>
      </c>
      <c r="K17" s="273">
        <v>0</v>
      </c>
      <c r="L17" s="337"/>
      <c r="M17" s="335">
        <v>10285.709999999999</v>
      </c>
      <c r="N17" s="339">
        <v>0</v>
      </c>
      <c r="O17" s="340"/>
      <c r="Q17" s="338"/>
    </row>
    <row r="18" spans="2:17" ht="29.25" x14ac:dyDescent="0.2">
      <c r="B18" s="33" t="s">
        <v>68</v>
      </c>
      <c r="C18" s="370">
        <v>0</v>
      </c>
      <c r="D18" s="376"/>
      <c r="E18" s="278"/>
      <c r="F18" s="481" t="s">
        <v>283</v>
      </c>
      <c r="G18" s="329">
        <f>1+1+1+1+1+1+1+1</f>
        <v>8</v>
      </c>
      <c r="H18" s="332"/>
      <c r="I18" s="333"/>
      <c r="J18" s="456">
        <v>25000</v>
      </c>
      <c r="K18" s="273">
        <v>0</v>
      </c>
      <c r="L18" s="337"/>
      <c r="M18" s="335">
        <v>11428.57</v>
      </c>
      <c r="N18" s="339">
        <v>0</v>
      </c>
      <c r="O18" s="340"/>
    </row>
    <row r="19" spans="2:17" ht="16.5" x14ac:dyDescent="0.2">
      <c r="B19" s="33" t="s">
        <v>69</v>
      </c>
      <c r="C19" s="370">
        <v>0</v>
      </c>
      <c r="D19" s="376"/>
      <c r="E19" s="278"/>
      <c r="F19" s="372" t="s">
        <v>304</v>
      </c>
      <c r="G19" s="329">
        <f>1</f>
        <v>1</v>
      </c>
      <c r="H19" s="332"/>
      <c r="I19" s="333"/>
      <c r="J19" s="456">
        <v>30000</v>
      </c>
      <c r="K19" s="273">
        <v>1</v>
      </c>
      <c r="L19" s="337"/>
      <c r="M19" s="335"/>
      <c r="N19" s="275"/>
      <c r="O19" s="340"/>
    </row>
    <row r="20" spans="2:17" ht="12" x14ac:dyDescent="0.2">
      <c r="B20" s="34" t="s">
        <v>247</v>
      </c>
      <c r="C20" s="370">
        <v>2</v>
      </c>
      <c r="D20" s="376"/>
      <c r="E20" s="278"/>
      <c r="F20" s="423" t="s">
        <v>305</v>
      </c>
      <c r="G20" s="329">
        <v>0</v>
      </c>
      <c r="H20" s="332"/>
      <c r="I20" s="333"/>
      <c r="J20" s="276"/>
      <c r="K20" s="341"/>
      <c r="L20" s="342"/>
      <c r="M20" s="343"/>
      <c r="N20" s="275"/>
      <c r="O20" s="344"/>
    </row>
    <row r="21" spans="2:17" ht="12" x14ac:dyDescent="0.2">
      <c r="B21" s="33"/>
      <c r="C21" s="377"/>
      <c r="D21" s="376"/>
      <c r="E21" s="278"/>
      <c r="F21" s="124" t="s">
        <v>72</v>
      </c>
      <c r="G21" s="329">
        <f>1+1+1</f>
        <v>3</v>
      </c>
      <c r="H21" s="332"/>
      <c r="I21" s="333"/>
      <c r="J21" s="276"/>
      <c r="K21" s="341"/>
      <c r="L21" s="342"/>
      <c r="M21" s="343"/>
      <c r="N21" s="275"/>
      <c r="O21" s="344"/>
    </row>
    <row r="22" spans="2:17" ht="12" x14ac:dyDescent="0.2">
      <c r="B22" s="279" t="s">
        <v>0</v>
      </c>
      <c r="C22" s="280">
        <f>SUM(C6:C21)</f>
        <v>43</v>
      </c>
      <c r="D22" s="281"/>
      <c r="E22" s="282">
        <f>SUM(E6:E21)</f>
        <v>43</v>
      </c>
      <c r="F22" s="485"/>
      <c r="G22" s="280">
        <f>SUM(G6:G21)</f>
        <v>20</v>
      </c>
      <c r="H22" s="334"/>
      <c r="I22" s="281">
        <f>SUM(I6:I21)</f>
        <v>43</v>
      </c>
      <c r="J22" s="283"/>
      <c r="K22" s="31">
        <f>SUM(K6:K21)</f>
        <v>35</v>
      </c>
      <c r="L22" s="281">
        <v>12</v>
      </c>
      <c r="M22" s="279"/>
      <c r="N22" s="339">
        <f>SUM(N6:N21)</f>
        <v>3</v>
      </c>
      <c r="O22" s="281">
        <v>14</v>
      </c>
    </row>
    <row r="23" spans="2:17" ht="12.75" customHeight="1" x14ac:dyDescent="0.2">
      <c r="B23" s="132" t="s">
        <v>73</v>
      </c>
      <c r="C23" s="322"/>
      <c r="D23" s="323"/>
      <c r="E23" s="284" t="s">
        <v>74</v>
      </c>
      <c r="F23" s="457"/>
      <c r="G23" s="324"/>
      <c r="H23" s="222" t="s">
        <v>211</v>
      </c>
      <c r="I23" s="325"/>
      <c r="J23" s="285"/>
      <c r="K23" s="325"/>
      <c r="L23" s="326"/>
      <c r="M23" s="330" t="s">
        <v>186</v>
      </c>
      <c r="N23" s="325"/>
      <c r="O23" s="327"/>
    </row>
    <row r="24" spans="2:17" ht="12.75" x14ac:dyDescent="0.2">
      <c r="B24" s="286" t="s">
        <v>75</v>
      </c>
      <c r="C24" s="458">
        <v>25</v>
      </c>
      <c r="D24" s="287"/>
      <c r="E24" s="353" t="s">
        <v>76</v>
      </c>
      <c r="G24" s="351">
        <v>0</v>
      </c>
      <c r="H24" s="350"/>
      <c r="I24" s="3"/>
      <c r="J24" s="288" t="s">
        <v>77</v>
      </c>
      <c r="K24" s="35">
        <v>5</v>
      </c>
      <c r="L24" s="289"/>
      <c r="O24" s="290"/>
    </row>
    <row r="25" spans="2:17" ht="12.75" x14ac:dyDescent="0.2">
      <c r="B25" s="291" t="s">
        <v>78</v>
      </c>
      <c r="C25" s="292">
        <v>33</v>
      </c>
      <c r="D25" s="293"/>
      <c r="E25" s="705" t="s">
        <v>200</v>
      </c>
      <c r="F25" s="706"/>
      <c r="G25" s="482">
        <v>5</v>
      </c>
      <c r="H25" s="295"/>
      <c r="I25" s="3"/>
      <c r="J25" s="288" t="s">
        <v>79</v>
      </c>
      <c r="K25" s="35">
        <v>11</v>
      </c>
      <c r="L25" s="293"/>
      <c r="M25" s="296"/>
      <c r="N25" s="345"/>
      <c r="O25" s="297"/>
    </row>
    <row r="26" spans="2:17" ht="12.75" x14ac:dyDescent="0.2">
      <c r="B26" s="291" t="s">
        <v>80</v>
      </c>
      <c r="C26" s="298">
        <v>27</v>
      </c>
      <c r="D26" s="299"/>
      <c r="E26" s="354"/>
      <c r="F26" s="355"/>
      <c r="G26" s="459">
        <f>SUM(G24:G25)</f>
        <v>5</v>
      </c>
      <c r="H26" s="295"/>
      <c r="I26" s="3"/>
      <c r="J26" s="288" t="s">
        <v>82</v>
      </c>
      <c r="K26" s="35">
        <v>9</v>
      </c>
      <c r="L26" s="293"/>
      <c r="M26" s="296" t="s">
        <v>201</v>
      </c>
      <c r="N26" s="292">
        <v>23</v>
      </c>
      <c r="O26" s="297"/>
    </row>
    <row r="27" spans="2:17" ht="12.75" x14ac:dyDescent="0.2">
      <c r="B27" s="291" t="s">
        <v>83</v>
      </c>
      <c r="C27" s="298">
        <v>25</v>
      </c>
      <c r="D27" s="302"/>
      <c r="E27" s="294"/>
      <c r="G27" s="352"/>
      <c r="H27" s="36"/>
      <c r="I27" s="3"/>
      <c r="J27" s="304" t="s">
        <v>85</v>
      </c>
      <c r="K27" s="35">
        <v>9</v>
      </c>
      <c r="L27" s="293"/>
      <c r="M27" s="296"/>
      <c r="N27" s="347"/>
      <c r="O27" s="297"/>
      <c r="Q27" s="692"/>
    </row>
    <row r="28" spans="2:17" ht="12.75" x14ac:dyDescent="0.2">
      <c r="B28" s="291" t="s">
        <v>86</v>
      </c>
      <c r="C28" s="298">
        <v>34</v>
      </c>
      <c r="D28" s="302"/>
      <c r="E28" s="3"/>
      <c r="F28" s="300" t="s">
        <v>212</v>
      </c>
      <c r="G28" s="301"/>
      <c r="H28" s="306"/>
      <c r="I28" s="3"/>
      <c r="J28" s="304" t="s">
        <v>88</v>
      </c>
      <c r="K28" s="35">
        <v>13</v>
      </c>
      <c r="L28" s="307"/>
      <c r="M28" s="296" t="s">
        <v>202</v>
      </c>
      <c r="N28" s="292">
        <v>0</v>
      </c>
      <c r="O28" s="297"/>
    </row>
    <row r="29" spans="2:17" ht="12.75" x14ac:dyDescent="0.2">
      <c r="B29" s="291" t="s">
        <v>89</v>
      </c>
      <c r="C29" s="298">
        <v>21</v>
      </c>
      <c r="D29" s="302"/>
      <c r="E29" s="3"/>
      <c r="F29" s="303" t="s">
        <v>84</v>
      </c>
      <c r="G29" s="14">
        <v>19</v>
      </c>
      <c r="H29" s="306"/>
      <c r="I29" s="3"/>
      <c r="J29" s="11" t="s">
        <v>91</v>
      </c>
      <c r="K29" s="35">
        <v>4</v>
      </c>
      <c r="L29" s="293"/>
      <c r="M29" s="303"/>
      <c r="N29" s="348"/>
      <c r="O29" s="297"/>
    </row>
    <row r="30" spans="2:17" ht="12.75" x14ac:dyDescent="0.2">
      <c r="B30" s="291" t="s">
        <v>92</v>
      </c>
      <c r="C30" s="298">
        <v>33</v>
      </c>
      <c r="D30" s="302"/>
      <c r="E30" s="3"/>
      <c r="F30" s="303" t="s">
        <v>87</v>
      </c>
      <c r="G30" s="305">
        <v>24</v>
      </c>
      <c r="H30" s="306"/>
      <c r="I30" s="3"/>
      <c r="J30" s="11" t="s">
        <v>93</v>
      </c>
      <c r="K30" s="35">
        <v>12</v>
      </c>
      <c r="L30" s="309"/>
      <c r="M30" s="296" t="s">
        <v>203</v>
      </c>
      <c r="N30" s="292">
        <v>0</v>
      </c>
      <c r="O30" s="297"/>
    </row>
    <row r="31" spans="2:17" ht="12.75" x14ac:dyDescent="0.2">
      <c r="B31" s="291" t="s">
        <v>95</v>
      </c>
      <c r="C31" s="298">
        <v>21</v>
      </c>
      <c r="D31" s="302"/>
      <c r="E31" s="3"/>
      <c r="F31" s="308" t="s">
        <v>90</v>
      </c>
      <c r="G31" s="356">
        <f>SUM(G29:G30)</f>
        <v>43</v>
      </c>
      <c r="H31" s="306"/>
      <c r="I31" s="3"/>
      <c r="J31" s="11" t="s">
        <v>96</v>
      </c>
      <c r="K31" s="35">
        <v>3</v>
      </c>
      <c r="L31" s="36"/>
      <c r="M31" s="296"/>
      <c r="N31" s="524"/>
      <c r="O31" s="310"/>
    </row>
    <row r="32" spans="2:17" ht="26.25" customHeight="1" x14ac:dyDescent="0.2">
      <c r="B32" s="291" t="s">
        <v>97</v>
      </c>
      <c r="C32" s="298">
        <v>43</v>
      </c>
      <c r="D32" s="302"/>
      <c r="E32" s="3"/>
      <c r="F32" s="3"/>
      <c r="G32" s="3"/>
      <c r="H32" s="306"/>
      <c r="I32" s="3"/>
      <c r="J32" s="311" t="s">
        <v>98</v>
      </c>
      <c r="K32" s="35">
        <v>14</v>
      </c>
      <c r="L32" s="36"/>
      <c r="M32" s="313" t="s">
        <v>204</v>
      </c>
      <c r="N32" s="349">
        <v>12</v>
      </c>
      <c r="O32" s="302"/>
    </row>
    <row r="33" spans="2:15" ht="12.75" x14ac:dyDescent="0.2">
      <c r="B33" s="291" t="s">
        <v>99</v>
      </c>
      <c r="C33" s="298"/>
      <c r="D33" s="302"/>
      <c r="E33" s="3"/>
      <c r="F33" s="3"/>
      <c r="G33" s="3"/>
      <c r="H33" s="306"/>
      <c r="I33" s="3"/>
      <c r="J33" s="11" t="s">
        <v>100</v>
      </c>
      <c r="K33" s="35"/>
      <c r="L33" s="302"/>
      <c r="M33" s="460"/>
      <c r="N33" s="365"/>
      <c r="O33" s="297"/>
    </row>
    <row r="34" spans="2:15" ht="26.25" customHeight="1" x14ac:dyDescent="0.2">
      <c r="B34" s="291" t="s">
        <v>101</v>
      </c>
      <c r="C34" s="298"/>
      <c r="D34" s="302"/>
      <c r="E34" s="3" t="s">
        <v>205</v>
      </c>
      <c r="F34" s="523"/>
      <c r="G34" s="3"/>
      <c r="H34" s="306"/>
      <c r="I34" s="3"/>
      <c r="J34" s="11" t="s">
        <v>102</v>
      </c>
      <c r="K34" s="35"/>
      <c r="L34" s="36"/>
      <c r="M34" s="312" t="s">
        <v>206</v>
      </c>
      <c r="N34" s="349">
        <v>3</v>
      </c>
      <c r="O34" s="302"/>
    </row>
    <row r="35" spans="2:15" ht="12.75" x14ac:dyDescent="0.2">
      <c r="B35" s="291" t="s">
        <v>103</v>
      </c>
      <c r="C35" s="298"/>
      <c r="D35" s="302"/>
      <c r="E35" s="3"/>
      <c r="F35" s="119" t="s">
        <v>296</v>
      </c>
      <c r="G35" s="3"/>
      <c r="H35" s="306"/>
      <c r="I35" s="3"/>
      <c r="J35" s="11" t="s">
        <v>105</v>
      </c>
      <c r="K35" s="35"/>
      <c r="L35" s="302" t="s">
        <v>13</v>
      </c>
      <c r="O35" s="297"/>
    </row>
    <row r="36" spans="2:15" ht="12.75" x14ac:dyDescent="0.2">
      <c r="B36" s="314" t="s">
        <v>106</v>
      </c>
      <c r="C36" s="315">
        <f>SUM(C24:C35)</f>
        <v>262</v>
      </c>
      <c r="D36" s="316"/>
      <c r="E36" s="317"/>
      <c r="F36" s="318" t="s">
        <v>104</v>
      </c>
      <c r="G36" s="316"/>
      <c r="H36" s="317"/>
      <c r="I36" s="319"/>
      <c r="J36" s="318" t="s">
        <v>0</v>
      </c>
      <c r="K36" s="320">
        <f>SUM(K24:K35)</f>
        <v>80</v>
      </c>
      <c r="L36" s="483"/>
      <c r="M36" s="484"/>
      <c r="N36" s="320">
        <f>SUM(N24:N35)</f>
        <v>38</v>
      </c>
      <c r="O36" s="316"/>
    </row>
    <row r="37" spans="2:15" ht="10.5" customHeight="1" x14ac:dyDescent="0.2">
      <c r="B37" s="463" t="s">
        <v>325</v>
      </c>
      <c r="C37" s="450"/>
      <c r="D37" s="36"/>
      <c r="E37" s="36"/>
      <c r="F37" s="99"/>
      <c r="G37" s="36"/>
      <c r="H37" s="36"/>
      <c r="I37" s="36"/>
      <c r="J37" s="99"/>
      <c r="K37" s="99"/>
      <c r="L37" s="451"/>
      <c r="N37" s="99"/>
      <c r="O37" s="462" t="s">
        <v>321</v>
      </c>
    </row>
    <row r="38" spans="2:15" ht="10.5" customHeight="1" x14ac:dyDescent="0.2">
      <c r="B38" s="266" t="s">
        <v>208</v>
      </c>
      <c r="C38" s="450"/>
      <c r="D38" s="36"/>
      <c r="E38" s="36"/>
      <c r="F38" s="99"/>
      <c r="G38" s="36"/>
      <c r="H38" s="36"/>
      <c r="I38" s="36"/>
      <c r="J38" s="99"/>
      <c r="K38" s="99"/>
      <c r="L38" s="451"/>
      <c r="N38" s="99"/>
      <c r="O38" s="462"/>
    </row>
    <row r="39" spans="2:15" ht="12.75" x14ac:dyDescent="0.2">
      <c r="B39" s="7" t="s">
        <v>209</v>
      </c>
      <c r="N39" s="5"/>
      <c r="O39" s="3"/>
    </row>
    <row r="40" spans="2:15" ht="12.75" x14ac:dyDescent="0.2">
      <c r="B40" s="7" t="s">
        <v>207</v>
      </c>
      <c r="N40" s="5"/>
      <c r="O40" s="3"/>
    </row>
    <row r="41" spans="2:15" ht="12.75" x14ac:dyDescent="0.2">
      <c r="B41" s="7" t="s">
        <v>214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</sheetData>
  <mergeCells count="12">
    <mergeCell ref="E25:F25"/>
    <mergeCell ref="B5:C5"/>
    <mergeCell ref="D5:E5"/>
    <mergeCell ref="F5:G5"/>
    <mergeCell ref="H5:I5"/>
    <mergeCell ref="J5:K5"/>
    <mergeCell ref="B3:N3"/>
    <mergeCell ref="B2:O2"/>
    <mergeCell ref="B4:C4"/>
    <mergeCell ref="F4:G4"/>
    <mergeCell ref="H4:I4"/>
    <mergeCell ref="J4:O4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workbookViewId="0">
      <selection activeCell="C18" sqref="C18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3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"/>
      <c r="P1" s="35" t="s">
        <v>307</v>
      </c>
    </row>
    <row r="2" spans="1:20" x14ac:dyDescent="0.2">
      <c r="A2" s="3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"/>
      <c r="P2" s="3"/>
    </row>
    <row r="3" spans="1:20" x14ac:dyDescent="0.2">
      <c r="A3" s="3"/>
      <c r="B3" s="694" t="s">
        <v>130</v>
      </c>
      <c r="C3" s="694"/>
      <c r="D3" s="694"/>
      <c r="E3" s="694"/>
      <c r="F3" s="694"/>
      <c r="G3" s="694"/>
      <c r="H3" s="694"/>
      <c r="I3" s="694"/>
      <c r="J3" s="694"/>
      <c r="K3" s="694"/>
      <c r="L3" s="694"/>
      <c r="M3" s="694"/>
      <c r="N3" s="694"/>
      <c r="O3" s="694"/>
      <c r="P3" s="694"/>
    </row>
    <row r="4" spans="1:20" x14ac:dyDescent="0.2">
      <c r="A4" s="3"/>
      <c r="B4" s="694" t="s">
        <v>131</v>
      </c>
      <c r="C4" s="694"/>
      <c r="D4" s="694"/>
      <c r="E4" s="694"/>
      <c r="F4" s="694"/>
      <c r="G4" s="694"/>
      <c r="H4" s="694"/>
      <c r="I4" s="694"/>
      <c r="J4" s="694"/>
      <c r="K4" s="694"/>
      <c r="L4" s="694"/>
      <c r="M4" s="694"/>
      <c r="N4" s="694"/>
      <c r="O4" s="694"/>
      <c r="P4" s="694"/>
    </row>
    <row r="5" spans="1:20" x14ac:dyDescent="0.2">
      <c r="A5" s="3"/>
      <c r="B5" s="694" t="s">
        <v>276</v>
      </c>
      <c r="C5" s="694"/>
      <c r="D5" s="694"/>
      <c r="E5" s="694"/>
      <c r="F5" s="694"/>
      <c r="G5" s="694"/>
      <c r="H5" s="694"/>
      <c r="I5" s="694"/>
      <c r="J5" s="694"/>
      <c r="K5" s="694"/>
      <c r="L5" s="694"/>
      <c r="M5" s="694"/>
      <c r="N5" s="694"/>
      <c r="O5" s="694"/>
      <c r="P5" s="694"/>
    </row>
    <row r="6" spans="1:20" ht="13.5" thickBot="1" x14ac:dyDescent="0.25">
      <c r="A6" s="3"/>
      <c r="B6" s="36"/>
      <c r="C6" s="36"/>
      <c r="D6" s="36"/>
      <c r="E6" s="36"/>
      <c r="F6" s="36"/>
      <c r="G6" s="36"/>
      <c r="H6" s="36"/>
      <c r="I6" s="3"/>
      <c r="J6" s="3"/>
      <c r="K6" s="3"/>
      <c r="L6" s="3"/>
      <c r="M6" s="3"/>
      <c r="N6" s="3"/>
      <c r="O6" s="3"/>
      <c r="P6" s="3"/>
      <c r="Q6" s="3" t="s">
        <v>13</v>
      </c>
    </row>
    <row r="7" spans="1:20" ht="16.5" customHeight="1" thickBot="1" x14ac:dyDescent="0.25">
      <c r="A7" s="3"/>
      <c r="B7" s="77"/>
      <c r="C7" s="716" t="s">
        <v>327</v>
      </c>
      <c r="D7" s="716"/>
      <c r="E7" s="716"/>
      <c r="F7" s="716"/>
      <c r="G7" s="716"/>
      <c r="H7" s="716"/>
      <c r="I7" s="716"/>
      <c r="J7" s="716"/>
      <c r="K7" s="716"/>
      <c r="L7" s="716"/>
      <c r="M7" s="716"/>
      <c r="N7" s="716"/>
      <c r="O7" s="716"/>
      <c r="P7" s="359"/>
      <c r="Q7" s="46"/>
      <c r="R7" s="46"/>
      <c r="S7" s="46"/>
      <c r="T7" s="46"/>
    </row>
    <row r="8" spans="1:20" ht="15" customHeight="1" thickBot="1" x14ac:dyDescent="0.25">
      <c r="A8" s="3"/>
      <c r="B8" s="78"/>
      <c r="C8" s="717" t="s">
        <v>132</v>
      </c>
      <c r="D8" s="718"/>
      <c r="E8" s="718"/>
      <c r="F8" s="718"/>
      <c r="G8" s="719"/>
      <c r="H8" s="79" t="s">
        <v>133</v>
      </c>
      <c r="I8" s="717" t="s">
        <v>134</v>
      </c>
      <c r="J8" s="718"/>
      <c r="K8" s="718"/>
      <c r="L8" s="718"/>
      <c r="M8" s="719"/>
      <c r="N8" s="362"/>
      <c r="O8" s="361"/>
      <c r="P8" s="360" t="s">
        <v>0</v>
      </c>
      <c r="Q8" s="46"/>
      <c r="R8" s="46"/>
      <c r="S8" s="46"/>
      <c r="T8" s="46"/>
    </row>
    <row r="9" spans="1:20" ht="35.25" customHeight="1" thickBot="1" x14ac:dyDescent="0.25">
      <c r="A9" s="3"/>
      <c r="B9" s="80" t="s">
        <v>110</v>
      </c>
      <c r="C9" s="81" t="s">
        <v>135</v>
      </c>
      <c r="D9" s="81" t="s">
        <v>45</v>
      </c>
      <c r="E9" s="81" t="s">
        <v>136</v>
      </c>
      <c r="F9" s="81" t="s">
        <v>44</v>
      </c>
      <c r="G9" s="81" t="s">
        <v>43</v>
      </c>
      <c r="H9" s="139" t="s">
        <v>137</v>
      </c>
      <c r="I9" s="81" t="s">
        <v>138</v>
      </c>
      <c r="J9" s="81" t="s">
        <v>45</v>
      </c>
      <c r="K9" s="81" t="s">
        <v>136</v>
      </c>
      <c r="L9" s="81" t="s">
        <v>44</v>
      </c>
      <c r="M9" s="140" t="s">
        <v>43</v>
      </c>
      <c r="N9" s="139" t="s">
        <v>219</v>
      </c>
      <c r="O9" s="363" t="s">
        <v>218</v>
      </c>
      <c r="P9" s="364" t="s">
        <v>139</v>
      </c>
      <c r="Q9" s="46"/>
      <c r="R9" s="46"/>
      <c r="S9" s="46"/>
      <c r="T9" s="46"/>
    </row>
    <row r="10" spans="1:20" ht="21.95" customHeight="1" thickBot="1" x14ac:dyDescent="0.25">
      <c r="A10" s="3"/>
      <c r="B10" s="528" t="s">
        <v>77</v>
      </c>
      <c r="C10" s="529">
        <v>7</v>
      </c>
      <c r="D10" s="530">
        <v>2</v>
      </c>
      <c r="E10" s="530">
        <v>7</v>
      </c>
      <c r="F10" s="530">
        <v>0</v>
      </c>
      <c r="G10" s="531">
        <v>2</v>
      </c>
      <c r="H10" s="471">
        <f>SUM(D10:G10)</f>
        <v>11</v>
      </c>
      <c r="I10" s="532">
        <v>18</v>
      </c>
      <c r="J10" s="530">
        <v>3</v>
      </c>
      <c r="K10" s="530">
        <v>18</v>
      </c>
      <c r="L10" s="530">
        <v>0</v>
      </c>
      <c r="M10" s="530">
        <v>5</v>
      </c>
      <c r="N10" s="471">
        <f>SUM(J10:M10)</f>
        <v>26</v>
      </c>
      <c r="O10" s="533">
        <f>+C10+I10</f>
        <v>25</v>
      </c>
      <c r="P10" s="534">
        <f t="shared" ref="P10:P21" si="0">+N10+H10</f>
        <v>37</v>
      </c>
      <c r="Q10" s="82"/>
      <c r="R10" s="82"/>
      <c r="S10" s="51"/>
      <c r="T10" s="51"/>
    </row>
    <row r="11" spans="1:20" ht="21.95" customHeight="1" thickBot="1" x14ac:dyDescent="0.25">
      <c r="A11" s="3"/>
      <c r="B11" s="495" t="s">
        <v>79</v>
      </c>
      <c r="C11" s="134">
        <v>5</v>
      </c>
      <c r="D11" s="135">
        <f>1+1</f>
        <v>2</v>
      </c>
      <c r="E11" s="135">
        <f>1+1+1+1</f>
        <v>4</v>
      </c>
      <c r="F11" s="135">
        <v>0</v>
      </c>
      <c r="G11" s="135">
        <f>1</f>
        <v>1</v>
      </c>
      <c r="H11" s="471">
        <f t="shared" ref="H11:H21" si="1">SUM(D11:G11)</f>
        <v>7</v>
      </c>
      <c r="I11" s="137">
        <v>28</v>
      </c>
      <c r="J11" s="135">
        <f>1+1+1+1+1+1+1+1+1</f>
        <v>9</v>
      </c>
      <c r="K11" s="135">
        <f>1+1+1+1+1+1+1+1+1+1+1+1+1+1+1+1+1+1+1+1+1+1+1+1+1+1+1+1</f>
        <v>28</v>
      </c>
      <c r="L11" s="527">
        <v>0</v>
      </c>
      <c r="M11" s="135">
        <f>1+1+1+1+1+1+1+1+1+1+1</f>
        <v>11</v>
      </c>
      <c r="N11" s="471">
        <f t="shared" ref="N11:N21" si="2">SUM(J11:M11)</f>
        <v>48</v>
      </c>
      <c r="O11" s="535">
        <f t="shared" ref="O11:O21" si="3">+C11+I11</f>
        <v>33</v>
      </c>
      <c r="P11" s="534">
        <f t="shared" si="0"/>
        <v>55</v>
      </c>
      <c r="Q11" s="83"/>
      <c r="R11" s="51"/>
      <c r="S11" s="51"/>
      <c r="T11" s="51"/>
    </row>
    <row r="12" spans="1:20" ht="21.95" customHeight="1" thickBot="1" x14ac:dyDescent="0.25">
      <c r="A12" s="3"/>
      <c r="B12" s="495" t="s">
        <v>82</v>
      </c>
      <c r="C12" s="536">
        <v>7</v>
      </c>
      <c r="D12" s="537">
        <v>4</v>
      </c>
      <c r="E12" s="537">
        <v>6</v>
      </c>
      <c r="F12" s="537">
        <v>0</v>
      </c>
      <c r="G12" s="538">
        <v>1</v>
      </c>
      <c r="H12" s="471">
        <f>SUM(D12:G12)</f>
        <v>11</v>
      </c>
      <c r="I12" s="539">
        <v>20</v>
      </c>
      <c r="J12" s="527">
        <v>5</v>
      </c>
      <c r="K12" s="527">
        <v>19</v>
      </c>
      <c r="L12" s="527">
        <v>0</v>
      </c>
      <c r="M12" s="527">
        <v>6</v>
      </c>
      <c r="N12" s="471">
        <f t="shared" si="2"/>
        <v>30</v>
      </c>
      <c r="O12" s="535">
        <f t="shared" si="3"/>
        <v>27</v>
      </c>
      <c r="P12" s="534">
        <f t="shared" si="0"/>
        <v>41</v>
      </c>
      <c r="Q12" s="83"/>
      <c r="R12" s="51"/>
      <c r="S12" s="51" t="s">
        <v>140</v>
      </c>
      <c r="T12" s="51"/>
    </row>
    <row r="13" spans="1:20" ht="21.95" customHeight="1" thickBot="1" x14ac:dyDescent="0.25">
      <c r="A13" s="3"/>
      <c r="B13" s="495" t="s">
        <v>85</v>
      </c>
      <c r="C13" s="134">
        <v>8</v>
      </c>
      <c r="D13" s="135">
        <f>1+1+1+1+1+1</f>
        <v>6</v>
      </c>
      <c r="E13" s="135">
        <f>2+1+1+1+1+1+1</f>
        <v>8</v>
      </c>
      <c r="F13" s="135">
        <v>0</v>
      </c>
      <c r="G13" s="136">
        <f>2+1+1+1</f>
        <v>5</v>
      </c>
      <c r="H13" s="471">
        <f t="shared" si="1"/>
        <v>19</v>
      </c>
      <c r="I13" s="137">
        <v>17</v>
      </c>
      <c r="J13" s="138">
        <f>2+1</f>
        <v>3</v>
      </c>
      <c r="K13" s="138">
        <f>1+13</f>
        <v>14</v>
      </c>
      <c r="L13" s="138">
        <v>1</v>
      </c>
      <c r="M13" s="138">
        <v>3</v>
      </c>
      <c r="N13" s="471">
        <f t="shared" si="2"/>
        <v>21</v>
      </c>
      <c r="O13" s="535">
        <f t="shared" si="3"/>
        <v>25</v>
      </c>
      <c r="P13" s="534">
        <f t="shared" si="0"/>
        <v>40</v>
      </c>
      <c r="Q13" s="83"/>
      <c r="R13" s="51"/>
      <c r="S13" s="51"/>
      <c r="T13" s="51"/>
    </row>
    <row r="14" spans="1:20" ht="21.95" customHeight="1" thickBot="1" x14ac:dyDescent="0.25">
      <c r="A14" s="3"/>
      <c r="B14" s="495" t="s">
        <v>88</v>
      </c>
      <c r="C14" s="134">
        <v>8</v>
      </c>
      <c r="D14" s="135">
        <f>1+1+1+1</f>
        <v>4</v>
      </c>
      <c r="E14" s="135">
        <f>1+1+1+1+1+1</f>
        <v>6</v>
      </c>
      <c r="F14" s="135">
        <v>0</v>
      </c>
      <c r="G14" s="136">
        <v>1</v>
      </c>
      <c r="H14" s="471">
        <f t="shared" si="1"/>
        <v>11</v>
      </c>
      <c r="I14" s="137">
        <v>26</v>
      </c>
      <c r="J14" s="138">
        <f>1+1+1+1+1+1+1+1+1</f>
        <v>9</v>
      </c>
      <c r="K14" s="138">
        <v>23</v>
      </c>
      <c r="L14" s="138">
        <v>2</v>
      </c>
      <c r="M14" s="138">
        <v>8</v>
      </c>
      <c r="N14" s="471">
        <f t="shared" si="2"/>
        <v>42</v>
      </c>
      <c r="O14" s="535">
        <f>+C14+I14</f>
        <v>34</v>
      </c>
      <c r="P14" s="540">
        <f t="shared" si="0"/>
        <v>53</v>
      </c>
      <c r="Q14" s="83"/>
      <c r="R14" s="51"/>
      <c r="S14" s="51"/>
      <c r="T14" s="51"/>
    </row>
    <row r="15" spans="1:20" ht="21.95" customHeight="1" thickBot="1" x14ac:dyDescent="0.25">
      <c r="A15" s="3"/>
      <c r="B15" s="495" t="s">
        <v>91</v>
      </c>
      <c r="C15" s="134">
        <v>9</v>
      </c>
      <c r="D15" s="135">
        <v>4</v>
      </c>
      <c r="E15" s="135">
        <v>8</v>
      </c>
      <c r="F15" s="135">
        <v>0</v>
      </c>
      <c r="G15" s="136">
        <v>4</v>
      </c>
      <c r="H15" s="471">
        <f t="shared" si="1"/>
        <v>16</v>
      </c>
      <c r="I15" s="137">
        <v>12</v>
      </c>
      <c r="J15" s="527">
        <v>0</v>
      </c>
      <c r="K15" s="527">
        <v>12</v>
      </c>
      <c r="L15" s="527">
        <v>0</v>
      </c>
      <c r="M15" s="527">
        <v>2</v>
      </c>
      <c r="N15" s="471">
        <f t="shared" si="2"/>
        <v>14</v>
      </c>
      <c r="O15" s="535">
        <f t="shared" si="3"/>
        <v>21</v>
      </c>
      <c r="P15" s="540">
        <f t="shared" si="0"/>
        <v>30</v>
      </c>
      <c r="Q15" s="83"/>
      <c r="R15" s="51"/>
      <c r="S15" s="51"/>
      <c r="T15" s="51"/>
    </row>
    <row r="16" spans="1:20" ht="21.95" customHeight="1" thickBot="1" x14ac:dyDescent="0.25">
      <c r="A16" s="3"/>
      <c r="B16" s="495" t="s">
        <v>93</v>
      </c>
      <c r="C16" s="134">
        <v>16</v>
      </c>
      <c r="D16" s="135">
        <v>8</v>
      </c>
      <c r="E16" s="135">
        <v>12</v>
      </c>
      <c r="F16" s="135">
        <v>1</v>
      </c>
      <c r="G16" s="136">
        <v>2</v>
      </c>
      <c r="H16" s="471">
        <f t="shared" si="1"/>
        <v>23</v>
      </c>
      <c r="I16" s="137">
        <v>17</v>
      </c>
      <c r="J16" s="527">
        <v>4</v>
      </c>
      <c r="K16" s="527">
        <v>16</v>
      </c>
      <c r="L16" s="527">
        <v>1</v>
      </c>
      <c r="M16" s="527">
        <v>3</v>
      </c>
      <c r="N16" s="471">
        <f t="shared" si="2"/>
        <v>24</v>
      </c>
      <c r="O16" s="535">
        <f t="shared" si="3"/>
        <v>33</v>
      </c>
      <c r="P16" s="540">
        <f t="shared" si="0"/>
        <v>47</v>
      </c>
      <c r="Q16" s="84"/>
      <c r="R16" s="84"/>
      <c r="S16" s="51"/>
      <c r="T16" s="51"/>
    </row>
    <row r="17" spans="1:20" ht="21.95" customHeight="1" thickBot="1" x14ac:dyDescent="0.25">
      <c r="A17" s="3"/>
      <c r="B17" s="541" t="s">
        <v>96</v>
      </c>
      <c r="C17" s="536">
        <v>12</v>
      </c>
      <c r="D17" s="537">
        <v>3</v>
      </c>
      <c r="E17" s="537">
        <v>12</v>
      </c>
      <c r="F17" s="537">
        <v>0</v>
      </c>
      <c r="G17" s="538">
        <v>5</v>
      </c>
      <c r="H17" s="471">
        <f t="shared" si="1"/>
        <v>20</v>
      </c>
      <c r="I17" s="539">
        <v>9</v>
      </c>
      <c r="J17" s="527">
        <v>0</v>
      </c>
      <c r="K17" s="527">
        <v>9</v>
      </c>
      <c r="L17" s="527">
        <v>0</v>
      </c>
      <c r="M17" s="527">
        <v>1</v>
      </c>
      <c r="N17" s="471">
        <f t="shared" si="2"/>
        <v>10</v>
      </c>
      <c r="O17" s="535">
        <f t="shared" si="3"/>
        <v>21</v>
      </c>
      <c r="P17" s="540">
        <f t="shared" si="0"/>
        <v>30</v>
      </c>
      <c r="Q17" s="84"/>
      <c r="R17" s="84"/>
      <c r="S17" s="51"/>
      <c r="T17" s="51"/>
    </row>
    <row r="18" spans="1:20" ht="21.95" customHeight="1" thickBot="1" x14ac:dyDescent="0.25">
      <c r="A18" s="3"/>
      <c r="B18" s="542" t="s">
        <v>217</v>
      </c>
      <c r="C18" s="543">
        <f>'3. ESTADÍSTICAS'!G29</f>
        <v>19</v>
      </c>
      <c r="D18" s="544">
        <v>5</v>
      </c>
      <c r="E18" s="544">
        <v>16</v>
      </c>
      <c r="F18" s="544">
        <v>0</v>
      </c>
      <c r="G18" s="545">
        <v>8</v>
      </c>
      <c r="H18" s="471">
        <f t="shared" si="1"/>
        <v>29</v>
      </c>
      <c r="I18" s="546">
        <f>'3. ESTADÍSTICAS'!G30</f>
        <v>24</v>
      </c>
      <c r="J18" s="547">
        <v>9</v>
      </c>
      <c r="K18" s="547">
        <v>19</v>
      </c>
      <c r="L18" s="547">
        <v>3</v>
      </c>
      <c r="M18" s="547">
        <v>4</v>
      </c>
      <c r="N18" s="471">
        <f t="shared" si="2"/>
        <v>35</v>
      </c>
      <c r="O18" s="535">
        <f t="shared" si="3"/>
        <v>43</v>
      </c>
      <c r="P18" s="548">
        <f t="shared" si="0"/>
        <v>64</v>
      </c>
      <c r="Q18" s="84"/>
      <c r="R18" s="84"/>
      <c r="S18" s="51"/>
      <c r="T18" s="51"/>
    </row>
    <row r="19" spans="1:20" ht="21.95" customHeight="1" thickBot="1" x14ac:dyDescent="0.25">
      <c r="A19" s="3"/>
      <c r="B19" s="549" t="s">
        <v>100</v>
      </c>
      <c r="C19" s="550"/>
      <c r="D19" s="551"/>
      <c r="E19" s="551"/>
      <c r="F19" s="551"/>
      <c r="G19" s="552"/>
      <c r="H19" s="471">
        <f t="shared" si="1"/>
        <v>0</v>
      </c>
      <c r="I19" s="553"/>
      <c r="J19" s="554"/>
      <c r="K19" s="554"/>
      <c r="L19" s="554"/>
      <c r="M19" s="554"/>
      <c r="N19" s="471">
        <f t="shared" si="2"/>
        <v>0</v>
      </c>
      <c r="O19" s="535">
        <f t="shared" si="3"/>
        <v>0</v>
      </c>
      <c r="P19" s="548">
        <f t="shared" si="0"/>
        <v>0</v>
      </c>
      <c r="Q19" s="84"/>
      <c r="R19" s="84"/>
      <c r="S19" s="51"/>
      <c r="T19" s="51"/>
    </row>
    <row r="20" spans="1:20" ht="21.95" customHeight="1" thickBot="1" x14ac:dyDescent="0.25">
      <c r="A20" s="3"/>
      <c r="B20" s="555" t="s">
        <v>102</v>
      </c>
      <c r="C20" s="556"/>
      <c r="D20" s="557"/>
      <c r="E20" s="557"/>
      <c r="F20" s="557"/>
      <c r="G20" s="558"/>
      <c r="H20" s="471">
        <f t="shared" si="1"/>
        <v>0</v>
      </c>
      <c r="I20" s="559"/>
      <c r="J20" s="560"/>
      <c r="K20" s="560"/>
      <c r="L20" s="560"/>
      <c r="M20" s="560"/>
      <c r="N20" s="471">
        <f t="shared" si="2"/>
        <v>0</v>
      </c>
      <c r="O20" s="535">
        <f t="shared" si="3"/>
        <v>0</v>
      </c>
      <c r="P20" s="548">
        <f t="shared" si="0"/>
        <v>0</v>
      </c>
      <c r="Q20" s="84"/>
      <c r="R20" s="84"/>
      <c r="S20" s="51"/>
      <c r="T20" s="51"/>
    </row>
    <row r="21" spans="1:20" ht="21.95" customHeight="1" thickBot="1" x14ac:dyDescent="0.25">
      <c r="A21" s="3"/>
      <c r="B21" s="561" t="s">
        <v>105</v>
      </c>
      <c r="C21" s="562"/>
      <c r="D21" s="563"/>
      <c r="E21" s="563"/>
      <c r="F21" s="563"/>
      <c r="G21" s="564"/>
      <c r="H21" s="471">
        <f t="shared" si="1"/>
        <v>0</v>
      </c>
      <c r="I21" s="565"/>
      <c r="J21" s="566"/>
      <c r="K21" s="566"/>
      <c r="L21" s="566"/>
      <c r="M21" s="566"/>
      <c r="N21" s="567">
        <f t="shared" si="2"/>
        <v>0</v>
      </c>
      <c r="O21" s="568">
        <f t="shared" si="3"/>
        <v>0</v>
      </c>
      <c r="P21" s="569">
        <f t="shared" si="0"/>
        <v>0</v>
      </c>
      <c r="Q21" s="84"/>
      <c r="R21" s="84"/>
      <c r="S21" s="51"/>
      <c r="T21" s="51"/>
    </row>
    <row r="22" spans="1:20" ht="17.25" customHeight="1" thickBot="1" x14ac:dyDescent="0.25">
      <c r="A22" s="3"/>
      <c r="B22" s="570" t="s">
        <v>141</v>
      </c>
      <c r="C22" s="571">
        <f>SUM(C10:C21)</f>
        <v>91</v>
      </c>
      <c r="D22" s="571">
        <f t="shared" ref="D22:P22" si="4">SUM(D10:D21)</f>
        <v>38</v>
      </c>
      <c r="E22" s="571">
        <f t="shared" si="4"/>
        <v>79</v>
      </c>
      <c r="F22" s="571">
        <f t="shared" si="4"/>
        <v>1</v>
      </c>
      <c r="G22" s="572">
        <f t="shared" si="4"/>
        <v>29</v>
      </c>
      <c r="H22" s="573">
        <f t="shared" si="4"/>
        <v>147</v>
      </c>
      <c r="I22" s="574">
        <f t="shared" si="4"/>
        <v>171</v>
      </c>
      <c r="J22" s="575">
        <f t="shared" si="4"/>
        <v>42</v>
      </c>
      <c r="K22" s="575">
        <f t="shared" si="4"/>
        <v>158</v>
      </c>
      <c r="L22" s="575">
        <f t="shared" si="4"/>
        <v>7</v>
      </c>
      <c r="M22" s="575">
        <f t="shared" si="4"/>
        <v>43</v>
      </c>
      <c r="N22" s="573">
        <f t="shared" si="4"/>
        <v>250</v>
      </c>
      <c r="O22" s="576">
        <f t="shared" si="4"/>
        <v>262</v>
      </c>
      <c r="P22" s="573">
        <f t="shared" si="4"/>
        <v>397</v>
      </c>
      <c r="Q22" s="84"/>
      <c r="R22" s="84"/>
      <c r="S22" s="51"/>
      <c r="T22" s="51"/>
    </row>
    <row r="23" spans="1:20" ht="14.25" customHeight="1" x14ac:dyDescent="0.2">
      <c r="A23" s="3"/>
      <c r="B23" s="465" t="s">
        <v>248</v>
      </c>
      <c r="C23" s="3"/>
      <c r="D23" s="3"/>
      <c r="E23" s="3"/>
      <c r="F23" s="3"/>
      <c r="G23" s="3"/>
      <c r="H23" s="3"/>
      <c r="I23" s="62"/>
      <c r="J23" s="62"/>
      <c r="K23" s="62"/>
      <c r="L23" s="62"/>
      <c r="M23" s="62"/>
      <c r="N23" s="62"/>
      <c r="O23" s="3"/>
      <c r="P23" s="9" t="s">
        <v>321</v>
      </c>
    </row>
    <row r="24" spans="1:20" x14ac:dyDescent="0.2">
      <c r="A24" s="3"/>
      <c r="B24" s="85" t="s">
        <v>142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20" x14ac:dyDescent="0.2">
      <c r="A25" s="3"/>
      <c r="B25" s="7"/>
      <c r="C25" s="4"/>
      <c r="D25" s="4"/>
      <c r="E25" s="4"/>
      <c r="F25" s="4"/>
      <c r="G25" s="4"/>
      <c r="H25" s="4"/>
      <c r="I25" s="3"/>
      <c r="J25" s="3"/>
      <c r="K25" s="3"/>
      <c r="L25" s="3"/>
      <c r="M25" s="3"/>
      <c r="N25" s="3"/>
      <c r="O25" s="3"/>
      <c r="P25" s="3"/>
      <c r="Q25" s="2"/>
    </row>
    <row r="26" spans="1:20" x14ac:dyDescent="0.2">
      <c r="A26" s="3"/>
      <c r="B26" s="7"/>
      <c r="C26" s="4"/>
      <c r="D26" s="4"/>
      <c r="E26" s="4"/>
      <c r="F26" s="4"/>
      <c r="G26" s="4"/>
      <c r="H26" s="4"/>
      <c r="I26" s="3"/>
      <c r="J26" s="3"/>
      <c r="K26" s="3"/>
      <c r="L26" s="3"/>
      <c r="M26" s="3"/>
      <c r="N26" s="3"/>
      <c r="O26" s="3"/>
      <c r="P26" s="3"/>
      <c r="Q26" s="2"/>
    </row>
    <row r="27" spans="1:20" x14ac:dyDescent="0.2">
      <c r="A27" s="3"/>
      <c r="B27" s="3"/>
      <c r="C27" s="66"/>
      <c r="D27" s="3"/>
      <c r="E27" s="3"/>
      <c r="F27" s="3"/>
      <c r="G27" s="3"/>
      <c r="H27" s="3"/>
      <c r="I27" s="3"/>
      <c r="J27" s="3"/>
      <c r="K27" s="3"/>
      <c r="L27" s="3"/>
      <c r="M27" s="3"/>
      <c r="N27" s="3" t="s">
        <v>18</v>
      </c>
      <c r="O27" s="3"/>
      <c r="P27" s="3"/>
      <c r="Q27" s="2"/>
    </row>
    <row r="28" spans="1:20" x14ac:dyDescent="0.2">
      <c r="A28" s="3"/>
      <c r="B28" s="3"/>
      <c r="C28" s="66"/>
      <c r="D28" s="3"/>
      <c r="E28" s="3"/>
      <c r="F28" s="3"/>
      <c r="G28" s="3"/>
      <c r="H28" s="3"/>
      <c r="I28" s="3"/>
      <c r="J28" s="3"/>
      <c r="K28" s="3"/>
      <c r="L28" s="3"/>
      <c r="M28" s="3"/>
      <c r="N28" s="11" t="s">
        <v>127</v>
      </c>
      <c r="O28" s="3"/>
      <c r="P28" s="3"/>
      <c r="Q28" s="3"/>
    </row>
    <row r="29" spans="1:20" x14ac:dyDescent="0.2">
      <c r="A29" s="3"/>
      <c r="B29" s="86"/>
      <c r="C29" s="87"/>
      <c r="D29" s="87"/>
      <c r="E29" s="3"/>
      <c r="F29" s="3"/>
      <c r="G29" s="3"/>
      <c r="H29" s="7"/>
      <c r="I29" s="7"/>
      <c r="J29" s="7"/>
      <c r="K29" s="7"/>
      <c r="L29" s="7"/>
      <c r="M29" s="3"/>
      <c r="N29" s="3" t="s">
        <v>104</v>
      </c>
      <c r="O29" s="7"/>
      <c r="P29" s="7"/>
      <c r="Q29" s="7"/>
    </row>
    <row r="30" spans="1:20" x14ac:dyDescent="0.2">
      <c r="C30" s="6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P30" s="66"/>
      <c r="Q30" s="2"/>
    </row>
    <row r="31" spans="1:20" x14ac:dyDescent="0.2">
      <c r="C31" s="6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P31" s="66"/>
      <c r="Q31" s="2"/>
    </row>
    <row r="32" spans="1:20" ht="15.95" customHeight="1" x14ac:dyDescent="0.2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Q32" s="2"/>
    </row>
    <row r="33" spans="1:17" ht="15.95" customHeight="1" x14ac:dyDescent="0.2">
      <c r="B33" s="694"/>
      <c r="C33" s="694"/>
      <c r="D33" s="694"/>
      <c r="E33" s="694"/>
      <c r="F33" s="694"/>
      <c r="G33" s="694"/>
      <c r="H33" s="694"/>
      <c r="I33" s="694"/>
      <c r="J33" s="694"/>
      <c r="K33" s="694"/>
      <c r="L33" s="694"/>
      <c r="M33" s="694"/>
      <c r="N33" s="694"/>
      <c r="O33" s="694"/>
      <c r="P33" s="694"/>
      <c r="Q33" s="2"/>
    </row>
    <row r="34" spans="1:17" ht="15.95" customHeight="1" x14ac:dyDescent="0.2">
      <c r="B34" s="694"/>
      <c r="C34" s="694"/>
      <c r="D34" s="694"/>
      <c r="E34" s="694"/>
      <c r="F34" s="694"/>
      <c r="G34" s="694"/>
      <c r="H34" s="694"/>
      <c r="I34" s="694"/>
      <c r="J34" s="694"/>
      <c r="K34" s="694"/>
      <c r="L34" s="694"/>
      <c r="M34" s="694"/>
      <c r="N34" s="694"/>
      <c r="O34" s="694"/>
      <c r="P34" s="694"/>
      <c r="Q34" s="2"/>
    </row>
    <row r="35" spans="1:17" ht="15.95" customHeight="1" x14ac:dyDescent="0.2">
      <c r="B35" s="694"/>
      <c r="C35" s="694"/>
      <c r="D35" s="694"/>
      <c r="E35" s="694"/>
      <c r="F35" s="694"/>
      <c r="G35" s="694"/>
      <c r="H35" s="694"/>
      <c r="I35" s="694"/>
      <c r="J35" s="694"/>
      <c r="K35" s="694"/>
      <c r="L35" s="694"/>
      <c r="M35" s="694"/>
      <c r="N35" s="694"/>
      <c r="O35" s="694"/>
      <c r="P35" s="694"/>
    </row>
    <row r="36" spans="1:17" ht="15.95" customHeight="1" x14ac:dyDescent="0.2">
      <c r="B36" s="36"/>
      <c r="C36" s="36"/>
      <c r="D36" s="36"/>
      <c r="E36" s="36"/>
      <c r="F36" s="36"/>
      <c r="G36" s="36"/>
      <c r="H36" s="36"/>
      <c r="I36" s="3"/>
      <c r="J36" s="3"/>
      <c r="K36" s="3"/>
      <c r="L36" s="3"/>
      <c r="M36" s="3"/>
      <c r="N36" s="3"/>
      <c r="O36" s="3"/>
      <c r="P36" s="3"/>
    </row>
    <row r="37" spans="1:17" ht="21.95" customHeight="1" x14ac:dyDescent="0.2">
      <c r="B37" s="88"/>
      <c r="C37" s="720"/>
      <c r="D37" s="720"/>
      <c r="E37" s="720"/>
      <c r="F37" s="720"/>
      <c r="G37" s="720"/>
      <c r="H37" s="720"/>
      <c r="I37" s="720"/>
      <c r="J37" s="720"/>
      <c r="K37" s="720"/>
      <c r="L37" s="720"/>
      <c r="M37" s="720"/>
      <c r="N37" s="720"/>
      <c r="O37" s="720"/>
      <c r="P37" s="89"/>
    </row>
    <row r="38" spans="1:17" ht="21.95" customHeight="1" x14ac:dyDescent="0.2">
      <c r="B38" s="88"/>
      <c r="C38" s="721"/>
      <c r="D38" s="721"/>
      <c r="E38" s="721"/>
      <c r="F38" s="721"/>
      <c r="G38" s="721"/>
      <c r="H38" s="90"/>
      <c r="I38" s="721"/>
      <c r="J38" s="721"/>
      <c r="K38" s="721"/>
      <c r="L38" s="721"/>
      <c r="M38" s="721"/>
      <c r="N38" s="90"/>
      <c r="O38" s="91"/>
      <c r="P38" s="91"/>
    </row>
    <row r="39" spans="1:17" ht="34.5" customHeight="1" x14ac:dyDescent="0.2">
      <c r="B39" s="88"/>
      <c r="C39" s="46"/>
      <c r="D39" s="92"/>
      <c r="E39" s="92"/>
      <c r="F39" s="92"/>
      <c r="G39" s="92"/>
      <c r="H39" s="46"/>
      <c r="I39" s="93"/>
      <c r="J39" s="92"/>
      <c r="K39" s="92"/>
      <c r="L39" s="92"/>
      <c r="M39" s="92"/>
      <c r="N39" s="46"/>
      <c r="O39" s="94"/>
      <c r="P39" s="91"/>
    </row>
    <row r="40" spans="1:17" ht="21.95" customHeight="1" x14ac:dyDescent="0.2">
      <c r="B40" s="95"/>
      <c r="C40" s="96"/>
      <c r="D40" s="97"/>
      <c r="E40" s="97"/>
      <c r="F40" s="97"/>
      <c r="G40" s="97"/>
      <c r="H40" s="97"/>
      <c r="I40" s="96"/>
      <c r="J40" s="97"/>
      <c r="K40" s="97"/>
      <c r="L40" s="97"/>
      <c r="M40" s="97"/>
      <c r="N40" s="97"/>
      <c r="O40" s="96"/>
      <c r="P40" s="98"/>
    </row>
    <row r="41" spans="1:17" ht="21.95" customHeight="1" x14ac:dyDescent="0.2">
      <c r="B41" s="95"/>
      <c r="C41" s="96"/>
      <c r="D41" s="97"/>
      <c r="E41" s="97"/>
      <c r="F41" s="97"/>
      <c r="G41" s="97"/>
      <c r="H41" s="97"/>
      <c r="I41" s="96"/>
      <c r="J41" s="97"/>
      <c r="K41" s="97"/>
      <c r="L41" s="97"/>
      <c r="M41" s="97"/>
      <c r="N41" s="97"/>
      <c r="O41" s="96"/>
      <c r="P41" s="98"/>
    </row>
    <row r="42" spans="1:17" ht="21.95" customHeight="1" x14ac:dyDescent="0.2">
      <c r="B42" s="95"/>
      <c r="C42" s="96"/>
      <c r="D42" s="97"/>
      <c r="E42" s="97"/>
      <c r="F42" s="97"/>
      <c r="G42" s="97"/>
      <c r="H42" s="97"/>
      <c r="I42" s="96"/>
      <c r="J42" s="97"/>
      <c r="K42" s="97"/>
      <c r="L42" s="97"/>
      <c r="M42" s="97"/>
      <c r="N42" s="97"/>
      <c r="O42" s="96"/>
      <c r="P42" s="98"/>
    </row>
    <row r="43" spans="1:17" ht="21.95" customHeight="1" x14ac:dyDescent="0.2">
      <c r="B43" s="95"/>
      <c r="C43" s="99"/>
      <c r="D43" s="100"/>
      <c r="E43" s="100"/>
      <c r="F43" s="100"/>
      <c r="G43" s="100"/>
      <c r="H43" s="97"/>
      <c r="I43" s="99"/>
      <c r="J43" s="100"/>
      <c r="K43" s="100"/>
      <c r="L43" s="100"/>
      <c r="M43" s="100"/>
      <c r="N43" s="97"/>
      <c r="O43" s="99"/>
      <c r="P43" s="98"/>
    </row>
    <row r="44" spans="1:17" ht="21.95" customHeight="1" x14ac:dyDescent="0.2">
      <c r="B44" s="95"/>
      <c r="C44" s="99"/>
      <c r="D44" s="100"/>
      <c r="E44" s="100"/>
      <c r="F44" s="100"/>
      <c r="G44" s="100"/>
      <c r="H44" s="97"/>
      <c r="I44" s="99"/>
      <c r="J44" s="100"/>
      <c r="K44" s="100"/>
      <c r="L44" s="100"/>
      <c r="M44" s="100"/>
      <c r="N44" s="97"/>
      <c r="O44" s="99"/>
      <c r="P44" s="98"/>
    </row>
    <row r="45" spans="1:17" ht="21.95" customHeight="1" x14ac:dyDescent="0.2">
      <c r="B45" s="95"/>
      <c r="C45" s="96"/>
      <c r="D45" s="97"/>
      <c r="E45" s="97"/>
      <c r="F45" s="97"/>
      <c r="G45" s="97"/>
      <c r="H45" s="97"/>
      <c r="I45" s="96"/>
      <c r="J45" s="97"/>
      <c r="K45" s="97"/>
      <c r="L45" s="97"/>
      <c r="M45" s="97"/>
      <c r="N45" s="97"/>
      <c r="O45" s="99"/>
      <c r="P45" s="98"/>
    </row>
    <row r="46" spans="1:17" ht="21.95" customHeight="1" x14ac:dyDescent="0.2">
      <c r="A46" t="s">
        <v>140</v>
      </c>
      <c r="B46" s="95"/>
      <c r="C46" s="96"/>
      <c r="D46" s="97"/>
      <c r="E46" s="97"/>
      <c r="F46" s="97"/>
      <c r="G46" s="97"/>
      <c r="H46" s="97"/>
      <c r="I46" s="96"/>
      <c r="J46" s="97"/>
      <c r="K46" s="97"/>
      <c r="L46" s="97"/>
      <c r="M46" s="97"/>
      <c r="N46" s="97"/>
      <c r="O46" s="96"/>
      <c r="P46" s="98"/>
    </row>
    <row r="47" spans="1:17" ht="21.95" customHeight="1" x14ac:dyDescent="0.2">
      <c r="B47" s="95"/>
      <c r="C47" s="96"/>
      <c r="D47" s="97"/>
      <c r="E47" s="97"/>
      <c r="F47" s="97"/>
      <c r="G47" s="97"/>
      <c r="H47" s="97"/>
      <c r="I47" s="96"/>
      <c r="J47" s="97"/>
      <c r="K47" s="97"/>
      <c r="L47" s="97"/>
      <c r="M47" s="97"/>
      <c r="N47" s="97"/>
      <c r="O47" s="96"/>
      <c r="P47" s="98"/>
    </row>
    <row r="48" spans="1:17" ht="21.95" customHeight="1" x14ac:dyDescent="0.2">
      <c r="B48" s="95"/>
      <c r="C48" s="96"/>
      <c r="D48" s="97"/>
      <c r="E48" s="97"/>
      <c r="F48" s="97"/>
      <c r="G48" s="97"/>
      <c r="H48" s="97"/>
      <c r="I48" s="96"/>
      <c r="J48" s="97"/>
      <c r="K48" s="97"/>
      <c r="L48" s="97"/>
      <c r="M48" s="97"/>
      <c r="N48" s="97"/>
      <c r="O48" s="96"/>
      <c r="P48" s="97"/>
    </row>
    <row r="49" spans="2:16" ht="21.95" customHeight="1" x14ac:dyDescent="0.2">
      <c r="B49" s="95"/>
      <c r="C49" s="96"/>
      <c r="D49" s="97"/>
      <c r="E49" s="97"/>
      <c r="F49" s="97"/>
      <c r="G49" s="97"/>
      <c r="H49" s="97"/>
      <c r="I49" s="96"/>
      <c r="J49" s="97"/>
      <c r="K49" s="97"/>
      <c r="L49" s="97"/>
      <c r="M49" s="97"/>
      <c r="N49" s="97"/>
      <c r="O49" s="96"/>
      <c r="P49" s="97"/>
    </row>
    <row r="50" spans="2:16" ht="21.95" customHeight="1" x14ac:dyDescent="0.2">
      <c r="B50" s="95"/>
      <c r="C50" s="96"/>
      <c r="D50" s="97"/>
      <c r="E50" s="97"/>
      <c r="F50" s="97"/>
      <c r="G50" s="97"/>
      <c r="H50" s="97"/>
      <c r="I50" s="96"/>
      <c r="J50" s="97"/>
      <c r="K50" s="97"/>
      <c r="L50" s="97"/>
      <c r="M50" s="97"/>
      <c r="N50" s="97"/>
      <c r="O50" s="96"/>
      <c r="P50" s="97"/>
    </row>
    <row r="51" spans="2:16" ht="21.95" customHeight="1" x14ac:dyDescent="0.2">
      <c r="B51" s="95"/>
      <c r="C51" s="96"/>
      <c r="D51" s="97"/>
      <c r="E51" s="97"/>
      <c r="F51" s="97"/>
      <c r="G51" s="97"/>
      <c r="H51" s="100"/>
      <c r="I51" s="96"/>
      <c r="J51" s="97"/>
      <c r="K51" s="97"/>
      <c r="L51" s="97"/>
      <c r="M51" s="97"/>
      <c r="N51" s="100"/>
      <c r="O51" s="96"/>
      <c r="P51" s="97"/>
    </row>
    <row r="52" spans="2:16" ht="21.95" customHeight="1" x14ac:dyDescent="0.25">
      <c r="B52" s="101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102"/>
      <c r="P52" s="102"/>
    </row>
    <row r="53" spans="2:16" x14ac:dyDescent="0.2">
      <c r="B53" s="103"/>
      <c r="C53" s="36"/>
      <c r="D53" s="36"/>
      <c r="E53" s="36"/>
      <c r="F53" s="36"/>
      <c r="G53" s="36"/>
      <c r="H53" s="36"/>
      <c r="I53" s="104"/>
      <c r="J53" s="104"/>
      <c r="K53" s="104"/>
      <c r="L53" s="104"/>
      <c r="M53" s="104"/>
      <c r="N53" s="104"/>
      <c r="O53" s="17"/>
      <c r="P53" s="105"/>
    </row>
    <row r="54" spans="2:16" x14ac:dyDescent="0.2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</row>
    <row r="55" spans="2:16" x14ac:dyDescent="0.2">
      <c r="B55" s="7"/>
      <c r="C55" s="4"/>
      <c r="D55" s="4"/>
      <c r="E55" s="4"/>
      <c r="F55" s="4"/>
      <c r="G55" s="4"/>
      <c r="H55" s="4"/>
      <c r="I55" s="3"/>
      <c r="J55" s="3"/>
      <c r="K55" s="3"/>
      <c r="L55" s="3"/>
      <c r="M55" s="3"/>
      <c r="N55" s="3"/>
      <c r="O55" s="3"/>
      <c r="P55" s="3"/>
    </row>
    <row r="56" spans="2:16" x14ac:dyDescent="0.2">
      <c r="B56" s="3"/>
      <c r="C56" s="6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2:16" x14ac:dyDescent="0.2">
      <c r="B57" s="3"/>
      <c r="C57" s="66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2:16" x14ac:dyDescent="0.2">
      <c r="B58" s="87"/>
      <c r="C58" s="87"/>
      <c r="D58" s="87"/>
      <c r="F58" s="3"/>
      <c r="G58" s="3"/>
      <c r="H58" s="3"/>
      <c r="I58" s="3"/>
      <c r="J58" s="3"/>
      <c r="K58" s="3"/>
      <c r="L58" s="3"/>
      <c r="M58" s="3"/>
      <c r="N58" s="3"/>
      <c r="O58" s="66"/>
      <c r="P58" s="3"/>
    </row>
    <row r="59" spans="2:16" x14ac:dyDescent="0.2">
      <c r="C59" s="6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P59" s="66"/>
    </row>
    <row r="60" spans="2:16" x14ac:dyDescent="0.2">
      <c r="C60" s="6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P60" s="66"/>
    </row>
    <row r="61" spans="2:16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2:16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16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16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x14ac:dyDescent="0.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</sheetData>
  <mergeCells count="12">
    <mergeCell ref="B33:P33"/>
    <mergeCell ref="B34:P34"/>
    <mergeCell ref="B35:P35"/>
    <mergeCell ref="C37:O37"/>
    <mergeCell ref="C38:G38"/>
    <mergeCell ref="I38:M38"/>
    <mergeCell ref="B3:P3"/>
    <mergeCell ref="B4:P4"/>
    <mergeCell ref="B5:P5"/>
    <mergeCell ref="C7:O7"/>
    <mergeCell ref="C8:G8"/>
    <mergeCell ref="I8:M8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52"/>
  <sheetViews>
    <sheetView workbookViewId="0">
      <selection activeCell="E36" sqref="A1:F36"/>
    </sheetView>
  </sheetViews>
  <sheetFormatPr baseColWidth="10" defaultRowHeight="15" x14ac:dyDescent="0.2"/>
  <cols>
    <col min="1" max="1" width="12.28515625" style="141" customWidth="1"/>
    <col min="2" max="2" width="13.7109375" style="141" customWidth="1"/>
    <col min="3" max="3" width="14.28515625" style="141" customWidth="1"/>
    <col min="4" max="4" width="19.7109375" style="141" customWidth="1"/>
    <col min="5" max="5" width="14.7109375" style="141" customWidth="1"/>
    <col min="6" max="16384" width="11.42578125" style="141"/>
  </cols>
  <sheetData>
    <row r="5" spans="1:8" x14ac:dyDescent="0.2">
      <c r="E5" s="272" t="s">
        <v>239</v>
      </c>
      <c r="F5" s="271" t="s">
        <v>148</v>
      </c>
    </row>
    <row r="6" spans="1:8" x14ac:dyDescent="0.2">
      <c r="B6" s="142"/>
      <c r="C6" s="142"/>
      <c r="D6" s="142"/>
    </row>
    <row r="7" spans="1:8" x14ac:dyDescent="0.2">
      <c r="B7" s="142"/>
      <c r="C7" s="142"/>
      <c r="D7" s="142"/>
    </row>
    <row r="8" spans="1:8" x14ac:dyDescent="0.2">
      <c r="B8" s="142"/>
      <c r="C8" s="142"/>
      <c r="D8" s="142"/>
    </row>
    <row r="9" spans="1:8" x14ac:dyDescent="0.2">
      <c r="B9" s="142"/>
      <c r="C9" s="142"/>
      <c r="D9" s="142"/>
    </row>
    <row r="10" spans="1:8" ht="12.75" customHeight="1" x14ac:dyDescent="0.2">
      <c r="A10" s="694" t="s">
        <v>143</v>
      </c>
      <c r="B10" s="694"/>
      <c r="C10" s="694"/>
      <c r="D10" s="694"/>
      <c r="E10" s="694"/>
      <c r="F10" s="694"/>
    </row>
    <row r="11" spans="1:8" x14ac:dyDescent="0.2">
      <c r="A11" s="694" t="s">
        <v>144</v>
      </c>
      <c r="B11" s="694"/>
      <c r="C11" s="694"/>
      <c r="D11" s="694"/>
      <c r="E11" s="694"/>
      <c r="F11" s="694"/>
    </row>
    <row r="12" spans="1:8" ht="16.5" thickBot="1" x14ac:dyDescent="0.25">
      <c r="F12" s="143"/>
      <c r="G12" s="143"/>
      <c r="H12" s="143"/>
    </row>
    <row r="13" spans="1:8" ht="26.25" customHeight="1" thickBot="1" x14ac:dyDescent="0.25">
      <c r="B13" s="156"/>
      <c r="C13" s="722" t="s">
        <v>327</v>
      </c>
      <c r="D13" s="723"/>
      <c r="E13" s="724"/>
      <c r="G13" s="143"/>
      <c r="H13" s="143"/>
    </row>
    <row r="14" spans="1:8" ht="15.75" thickBot="1" x14ac:dyDescent="0.25">
      <c r="B14" s="157" t="s">
        <v>110</v>
      </c>
      <c r="C14" s="158" t="s">
        <v>84</v>
      </c>
      <c r="D14" s="158" t="s">
        <v>87</v>
      </c>
      <c r="E14" s="159" t="s">
        <v>0</v>
      </c>
      <c r="G14" s="144"/>
      <c r="H14" s="144"/>
    </row>
    <row r="15" spans="1:8" x14ac:dyDescent="0.2">
      <c r="B15" s="145" t="s">
        <v>77</v>
      </c>
      <c r="C15" s="146">
        <v>7</v>
      </c>
      <c r="D15" s="146">
        <v>18</v>
      </c>
      <c r="E15" s="147">
        <f t="shared" ref="E15:E26" si="0">SUM(C15:D15)</f>
        <v>25</v>
      </c>
      <c r="G15" s="144"/>
      <c r="H15" s="144"/>
    </row>
    <row r="16" spans="1:8" x14ac:dyDescent="0.2">
      <c r="B16" s="148" t="s">
        <v>79</v>
      </c>
      <c r="C16" s="149">
        <v>5</v>
      </c>
      <c r="D16" s="149">
        <v>28</v>
      </c>
      <c r="E16" s="147">
        <f t="shared" si="0"/>
        <v>33</v>
      </c>
      <c r="G16" s="144" t="s">
        <v>140</v>
      </c>
      <c r="H16" s="144"/>
    </row>
    <row r="17" spans="2:8" x14ac:dyDescent="0.2">
      <c r="B17" s="148" t="s">
        <v>82</v>
      </c>
      <c r="C17" s="150">
        <v>7</v>
      </c>
      <c r="D17" s="150">
        <v>20</v>
      </c>
      <c r="E17" s="147">
        <f t="shared" si="0"/>
        <v>27</v>
      </c>
      <c r="G17" s="144"/>
      <c r="H17" s="144"/>
    </row>
    <row r="18" spans="2:8" x14ac:dyDescent="0.2">
      <c r="B18" s="148" t="s">
        <v>85</v>
      </c>
      <c r="C18" s="151">
        <v>8</v>
      </c>
      <c r="D18" s="151">
        <v>17</v>
      </c>
      <c r="E18" s="147">
        <f t="shared" si="0"/>
        <v>25</v>
      </c>
      <c r="G18" s="144"/>
      <c r="H18" s="144"/>
    </row>
    <row r="19" spans="2:8" x14ac:dyDescent="0.2">
      <c r="B19" s="148" t="s">
        <v>88</v>
      </c>
      <c r="C19" s="151">
        <v>8</v>
      </c>
      <c r="D19" s="151">
        <v>26</v>
      </c>
      <c r="E19" s="147">
        <f t="shared" si="0"/>
        <v>34</v>
      </c>
      <c r="G19" s="144"/>
      <c r="H19" s="144"/>
    </row>
    <row r="20" spans="2:8" x14ac:dyDescent="0.2">
      <c r="B20" s="148" t="s">
        <v>91</v>
      </c>
      <c r="C20" s="149">
        <v>9</v>
      </c>
      <c r="D20" s="149">
        <v>12</v>
      </c>
      <c r="E20" s="147">
        <f t="shared" si="0"/>
        <v>21</v>
      </c>
      <c r="G20" s="144"/>
      <c r="H20" s="144"/>
    </row>
    <row r="21" spans="2:8" x14ac:dyDescent="0.2">
      <c r="B21" s="148" t="s">
        <v>93</v>
      </c>
      <c r="C21" s="149">
        <v>16</v>
      </c>
      <c r="D21" s="149">
        <v>17</v>
      </c>
      <c r="E21" s="147">
        <f t="shared" si="0"/>
        <v>33</v>
      </c>
      <c r="G21" s="144"/>
      <c r="H21" s="144"/>
    </row>
    <row r="22" spans="2:8" x14ac:dyDescent="0.2">
      <c r="B22" s="148" t="s">
        <v>96</v>
      </c>
      <c r="C22" s="149">
        <v>12</v>
      </c>
      <c r="D22" s="149">
        <v>9</v>
      </c>
      <c r="E22" s="147">
        <f t="shared" si="0"/>
        <v>21</v>
      </c>
      <c r="G22" s="144"/>
      <c r="H22" s="144"/>
    </row>
    <row r="23" spans="2:8" x14ac:dyDescent="0.2">
      <c r="B23" s="152" t="s">
        <v>115</v>
      </c>
      <c r="C23" s="150">
        <f>'3. ESTADÍSTICAS'!G29</f>
        <v>19</v>
      </c>
      <c r="D23" s="150">
        <f>'3. ESTADÍSTICAS'!G30</f>
        <v>24</v>
      </c>
      <c r="E23" s="147">
        <f t="shared" si="0"/>
        <v>43</v>
      </c>
      <c r="G23" s="144"/>
      <c r="H23" s="144"/>
    </row>
    <row r="24" spans="2:8" x14ac:dyDescent="0.2">
      <c r="B24" s="152" t="s">
        <v>100</v>
      </c>
      <c r="C24" s="150"/>
      <c r="D24" s="150"/>
      <c r="E24" s="147">
        <f t="shared" si="0"/>
        <v>0</v>
      </c>
      <c r="G24" s="144"/>
      <c r="H24" s="144"/>
    </row>
    <row r="25" spans="2:8" x14ac:dyDescent="0.2">
      <c r="B25" s="152" t="s">
        <v>102</v>
      </c>
      <c r="C25" s="150"/>
      <c r="D25" s="150"/>
      <c r="E25" s="147">
        <f t="shared" si="0"/>
        <v>0</v>
      </c>
      <c r="G25" s="144"/>
      <c r="H25" s="144"/>
    </row>
    <row r="26" spans="2:8" x14ac:dyDescent="0.2">
      <c r="B26" s="152" t="s">
        <v>105</v>
      </c>
      <c r="C26" s="150"/>
      <c r="D26" s="150"/>
      <c r="E26" s="147">
        <f t="shared" si="0"/>
        <v>0</v>
      </c>
      <c r="G26" s="144"/>
      <c r="H26" s="144"/>
    </row>
    <row r="27" spans="2:8" ht="16.5" thickBot="1" x14ac:dyDescent="0.3">
      <c r="B27" s="153" t="s">
        <v>141</v>
      </c>
      <c r="C27" s="467">
        <f>SUM(C15:C26)</f>
        <v>91</v>
      </c>
      <c r="D27" s="467">
        <f>SUM(D15:D26)</f>
        <v>171</v>
      </c>
      <c r="E27" s="154">
        <f>SUM(E15:E26)</f>
        <v>262</v>
      </c>
    </row>
    <row r="28" spans="2:8" x14ac:dyDescent="0.2">
      <c r="B28" s="464" t="s">
        <v>325</v>
      </c>
      <c r="D28" s="11"/>
      <c r="E28" s="10" t="s">
        <v>321</v>
      </c>
    </row>
    <row r="31" spans="2:8" ht="15.75" x14ac:dyDescent="0.25">
      <c r="B31" s="155" t="s">
        <v>13</v>
      </c>
      <c r="C31" s="155"/>
    </row>
    <row r="34" spans="1:6" x14ac:dyDescent="0.2">
      <c r="B34" s="142"/>
      <c r="D34" s="3" t="s">
        <v>145</v>
      </c>
    </row>
    <row r="35" spans="1:6" x14ac:dyDescent="0.2">
      <c r="A35" s="142"/>
      <c r="D35" s="3" t="s">
        <v>146</v>
      </c>
      <c r="F35" s="142"/>
    </row>
    <row r="36" spans="1:6" x14ac:dyDescent="0.2">
      <c r="D36" s="3" t="s">
        <v>147</v>
      </c>
      <c r="F36" s="142"/>
    </row>
    <row r="37" spans="1:6" x14ac:dyDescent="0.2">
      <c r="F37" s="142"/>
    </row>
    <row r="38" spans="1:6" x14ac:dyDescent="0.2">
      <c r="F38" s="142"/>
    </row>
    <row r="52" spans="1:1" x14ac:dyDescent="0.2">
      <c r="A52" s="141" t="s">
        <v>140</v>
      </c>
    </row>
  </sheetData>
  <mergeCells count="3">
    <mergeCell ref="A10:F10"/>
    <mergeCell ref="A11:F11"/>
    <mergeCell ref="C13:E1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6"/>
  <sheetViews>
    <sheetView workbookViewId="0">
      <selection activeCell="E43" sqref="A1:E43"/>
    </sheetView>
  </sheetViews>
  <sheetFormatPr baseColWidth="10" defaultRowHeight="12.75" x14ac:dyDescent="0.2"/>
  <cols>
    <col min="1" max="1" width="12.42578125" customWidth="1"/>
    <col min="2" max="2" width="17.7109375" customWidth="1"/>
    <col min="3" max="3" width="15.7109375" customWidth="1"/>
    <col min="4" max="4" width="20" customWidth="1"/>
    <col min="5" max="5" width="19.7109375" customWidth="1"/>
    <col min="6" max="6" width="13" customWidth="1"/>
    <col min="7" max="7" width="10.5703125" customWidth="1"/>
    <col min="8" max="8" width="8.7109375" customWidth="1"/>
    <col min="9" max="9" width="17.5703125" customWidth="1"/>
    <col min="10" max="10" width="15.85546875" customWidth="1"/>
    <col min="11" max="11" width="16.85546875" customWidth="1"/>
    <col min="12" max="12" width="19" customWidth="1"/>
  </cols>
  <sheetData>
    <row r="3" spans="2:14" x14ac:dyDescent="0.2">
      <c r="H3" s="17"/>
      <c r="I3" s="17"/>
      <c r="J3" s="17"/>
      <c r="K3" s="17"/>
      <c r="L3" s="17"/>
      <c r="M3" s="17"/>
      <c r="N3" s="17"/>
    </row>
    <row r="4" spans="2:14" x14ac:dyDescent="0.2">
      <c r="E4" s="272" t="s">
        <v>194</v>
      </c>
      <c r="H4" s="17"/>
      <c r="I4" s="106"/>
      <c r="J4" s="106"/>
      <c r="K4" s="106"/>
      <c r="L4" s="17"/>
      <c r="M4" s="17"/>
      <c r="N4" s="17"/>
    </row>
    <row r="5" spans="2:14" x14ac:dyDescent="0.2">
      <c r="B5" s="38"/>
      <c r="C5" s="38"/>
      <c r="D5" s="38"/>
      <c r="F5" s="270" t="s">
        <v>194</v>
      </c>
      <c r="H5" s="17"/>
      <c r="I5" s="106"/>
      <c r="J5" s="106"/>
      <c r="K5" s="106"/>
      <c r="L5" s="17"/>
      <c r="M5" s="17"/>
      <c r="N5" s="17"/>
    </row>
    <row r="6" spans="2:14" x14ac:dyDescent="0.2">
      <c r="B6" s="38"/>
      <c r="C6" s="38"/>
      <c r="D6" s="38"/>
      <c r="H6" s="17"/>
      <c r="I6" s="106"/>
      <c r="J6" s="106"/>
      <c r="K6" s="106"/>
      <c r="L6" s="17"/>
      <c r="M6" s="17"/>
      <c r="N6" s="17"/>
    </row>
    <row r="7" spans="2:14" x14ac:dyDescent="0.2">
      <c r="B7" s="38"/>
      <c r="C7" s="38"/>
      <c r="D7" s="38"/>
      <c r="H7" s="17"/>
      <c r="I7" s="106"/>
      <c r="J7" s="106"/>
      <c r="K7" s="106"/>
      <c r="L7" s="17"/>
      <c r="M7" s="17"/>
      <c r="N7" s="17"/>
    </row>
    <row r="8" spans="2:14" x14ac:dyDescent="0.2">
      <c r="B8" s="38"/>
      <c r="C8" s="38"/>
      <c r="D8" s="38"/>
      <c r="H8" s="17"/>
      <c r="I8" s="106"/>
      <c r="J8" s="106"/>
      <c r="K8" s="106"/>
      <c r="L8" s="17"/>
      <c r="M8" s="17"/>
      <c r="N8" s="17"/>
    </row>
    <row r="9" spans="2:14" x14ac:dyDescent="0.2">
      <c r="B9" s="38"/>
      <c r="C9" s="38"/>
      <c r="D9" s="38"/>
      <c r="H9" s="17"/>
      <c r="I9" s="725"/>
      <c r="J9" s="725"/>
      <c r="K9" s="725"/>
      <c r="L9" s="725"/>
      <c r="M9" s="17"/>
      <c r="N9" s="17"/>
    </row>
    <row r="10" spans="2:14" x14ac:dyDescent="0.2">
      <c r="B10" s="694" t="s">
        <v>215</v>
      </c>
      <c r="C10" s="694"/>
      <c r="D10" s="694"/>
      <c r="E10" s="694"/>
      <c r="F10" s="3"/>
      <c r="H10" s="17"/>
      <c r="I10" s="725"/>
      <c r="J10" s="725"/>
      <c r="K10" s="725"/>
      <c r="L10" s="725"/>
      <c r="M10" s="17"/>
      <c r="N10" s="17"/>
    </row>
    <row r="11" spans="2:14" x14ac:dyDescent="0.2">
      <c r="B11" s="694" t="s">
        <v>216</v>
      </c>
      <c r="C11" s="694"/>
      <c r="D11" s="694"/>
      <c r="E11" s="694"/>
      <c r="F11" s="3"/>
      <c r="H11" s="17"/>
      <c r="I11" s="36"/>
      <c r="J11" s="36"/>
      <c r="K11" s="36"/>
      <c r="L11" s="36"/>
      <c r="M11" s="17"/>
      <c r="N11" s="17"/>
    </row>
    <row r="12" spans="2:14" ht="13.5" thickBot="1" x14ac:dyDescent="0.25">
      <c r="B12" s="36"/>
      <c r="C12" s="36"/>
      <c r="D12" s="3"/>
      <c r="E12" s="3"/>
      <c r="F12" s="3"/>
      <c r="G12" s="46"/>
      <c r="H12" s="17"/>
      <c r="I12" s="88"/>
      <c r="J12" s="720"/>
      <c r="K12" s="720"/>
      <c r="L12" s="720"/>
      <c r="M12" s="17"/>
      <c r="N12" s="17"/>
    </row>
    <row r="13" spans="2:14" ht="16.5" customHeight="1" thickBot="1" x14ac:dyDescent="0.25">
      <c r="B13" s="77"/>
      <c r="C13" s="722" t="s">
        <v>328</v>
      </c>
      <c r="D13" s="723"/>
      <c r="E13" s="724"/>
      <c r="F13" s="88"/>
      <c r="G13" s="46"/>
      <c r="H13" s="17"/>
      <c r="I13" s="89"/>
      <c r="J13" s="88"/>
      <c r="K13" s="88"/>
      <c r="L13" s="88"/>
      <c r="M13" s="17"/>
      <c r="N13" s="17"/>
    </row>
    <row r="14" spans="2:14" ht="21.95" customHeight="1" thickBot="1" x14ac:dyDescent="0.25">
      <c r="B14" s="120" t="s">
        <v>149</v>
      </c>
      <c r="C14" s="108" t="s">
        <v>84</v>
      </c>
      <c r="D14" s="108" t="s">
        <v>87</v>
      </c>
      <c r="E14" s="108" t="s">
        <v>0</v>
      </c>
      <c r="F14" s="88"/>
      <c r="G14" s="117"/>
      <c r="H14" s="17"/>
      <c r="I14" s="95"/>
      <c r="J14" s="97"/>
      <c r="K14" s="97"/>
      <c r="L14" s="121"/>
      <c r="M14" s="17"/>
      <c r="N14" s="17"/>
    </row>
    <row r="15" spans="2:14" ht="26.25" customHeight="1" x14ac:dyDescent="0.2">
      <c r="B15" s="109" t="s">
        <v>46</v>
      </c>
      <c r="C15" s="113">
        <f>1</f>
        <v>1</v>
      </c>
      <c r="D15" s="113">
        <v>0</v>
      </c>
      <c r="E15" s="522">
        <f t="shared" ref="E15:E21" si="0">+C15+D15</f>
        <v>1</v>
      </c>
      <c r="F15" s="117"/>
      <c r="G15" s="83"/>
      <c r="H15" s="17"/>
      <c r="I15" s="95"/>
      <c r="J15" s="97"/>
      <c r="K15" s="97"/>
      <c r="L15" s="121"/>
      <c r="M15" s="17"/>
      <c r="N15" s="17"/>
    </row>
    <row r="16" spans="2:14" ht="21.95" customHeight="1" x14ac:dyDescent="0.2">
      <c r="B16" s="110" t="s">
        <v>129</v>
      </c>
      <c r="C16" s="113">
        <f>1</f>
        <v>1</v>
      </c>
      <c r="D16" s="113">
        <f>1+1+1</f>
        <v>3</v>
      </c>
      <c r="E16" s="357">
        <f t="shared" si="0"/>
        <v>4</v>
      </c>
      <c r="F16" s="100"/>
      <c r="G16" s="83"/>
      <c r="H16" s="17"/>
      <c r="I16" s="95"/>
      <c r="J16" s="97"/>
      <c r="K16" s="97"/>
      <c r="L16" s="121"/>
      <c r="M16" s="17"/>
      <c r="N16" s="17"/>
    </row>
    <row r="17" spans="2:14" ht="21.95" customHeight="1" x14ac:dyDescent="0.2">
      <c r="B17" s="110" t="s">
        <v>52</v>
      </c>
      <c r="C17" s="113">
        <f>1</f>
        <v>1</v>
      </c>
      <c r="D17" s="113">
        <v>0</v>
      </c>
      <c r="E17" s="357">
        <f t="shared" si="0"/>
        <v>1</v>
      </c>
      <c r="F17" s="100"/>
      <c r="G17" s="83"/>
      <c r="H17" s="17"/>
      <c r="I17" s="95"/>
      <c r="J17" s="97"/>
      <c r="K17" s="97"/>
      <c r="L17" s="121"/>
      <c r="M17" s="17"/>
      <c r="N17" s="17"/>
    </row>
    <row r="18" spans="2:14" ht="21.95" customHeight="1" x14ac:dyDescent="0.2">
      <c r="B18" s="110" t="s">
        <v>55</v>
      </c>
      <c r="C18" s="113">
        <f>1</f>
        <v>1</v>
      </c>
      <c r="D18" s="113">
        <f>1</f>
        <v>1</v>
      </c>
      <c r="E18" s="357">
        <f>+C18+D18</f>
        <v>2</v>
      </c>
      <c r="F18" s="100"/>
      <c r="G18" s="83"/>
      <c r="H18" s="17"/>
      <c r="I18" s="95"/>
      <c r="J18" s="100"/>
      <c r="K18" s="100"/>
      <c r="L18" s="121"/>
      <c r="M18" s="17"/>
      <c r="N18" s="17"/>
    </row>
    <row r="19" spans="2:14" ht="21.95" customHeight="1" x14ac:dyDescent="0.2">
      <c r="B19" s="110" t="s">
        <v>150</v>
      </c>
      <c r="C19" s="113">
        <f>1+1</f>
        <v>2</v>
      </c>
      <c r="D19" s="113">
        <f>1+1</f>
        <v>2</v>
      </c>
      <c r="E19" s="357">
        <f t="shared" si="0"/>
        <v>4</v>
      </c>
      <c r="F19" s="100"/>
      <c r="G19" s="83"/>
      <c r="H19" s="17"/>
      <c r="I19" s="95"/>
      <c r="J19" s="100"/>
      <c r="K19" s="100"/>
      <c r="L19" s="121"/>
      <c r="M19" s="17"/>
      <c r="N19" s="17"/>
    </row>
    <row r="20" spans="2:14" ht="21.95" customHeight="1" x14ac:dyDescent="0.2">
      <c r="B20" s="110" t="s">
        <v>128</v>
      </c>
      <c r="C20" s="113">
        <f>1+1+1+1+1+1+1+1</f>
        <v>8</v>
      </c>
      <c r="D20" s="113">
        <f>1+1+1+1+1+1+1+1</f>
        <v>8</v>
      </c>
      <c r="E20" s="357">
        <f>+C20+D20</f>
        <v>16</v>
      </c>
      <c r="F20" s="100"/>
      <c r="G20" s="83"/>
      <c r="H20" s="17"/>
      <c r="I20" s="95"/>
      <c r="J20" s="100"/>
      <c r="K20" s="100"/>
      <c r="L20" s="121"/>
      <c r="M20" s="17"/>
      <c r="N20" s="17"/>
    </row>
    <row r="21" spans="2:14" ht="21.95" customHeight="1" x14ac:dyDescent="0.2">
      <c r="B21" s="110" t="s">
        <v>151</v>
      </c>
      <c r="C21" s="115">
        <v>0</v>
      </c>
      <c r="D21" s="115">
        <f>1</f>
        <v>1</v>
      </c>
      <c r="E21" s="357">
        <f t="shared" si="0"/>
        <v>1</v>
      </c>
      <c r="F21" s="100"/>
      <c r="G21" s="83"/>
      <c r="H21" s="17"/>
      <c r="I21" s="95"/>
      <c r="J21" s="100"/>
      <c r="K21" s="100"/>
      <c r="L21" s="121"/>
      <c r="M21" s="17"/>
      <c r="N21" s="17"/>
    </row>
    <row r="22" spans="2:14" ht="21.95" customHeight="1" x14ac:dyDescent="0.2">
      <c r="B22" s="116" t="s">
        <v>62</v>
      </c>
      <c r="C22" s="113">
        <v>0</v>
      </c>
      <c r="D22" s="113">
        <f>1</f>
        <v>1</v>
      </c>
      <c r="E22" s="357">
        <f>+C22+D22</f>
        <v>1</v>
      </c>
      <c r="F22" s="100"/>
      <c r="G22" s="84"/>
      <c r="H22" s="17"/>
      <c r="I22" s="95"/>
      <c r="J22" s="97"/>
      <c r="K22" s="97"/>
      <c r="L22" s="121"/>
      <c r="M22" s="17"/>
      <c r="N22" s="17"/>
    </row>
    <row r="23" spans="2:14" ht="21.95" customHeight="1" x14ac:dyDescent="0.2">
      <c r="B23" s="116" t="s">
        <v>64</v>
      </c>
      <c r="C23" s="113">
        <v>0</v>
      </c>
      <c r="D23" s="113">
        <f>1</f>
        <v>1</v>
      </c>
      <c r="E23" s="357">
        <f t="shared" ref="E23:E28" si="1">+C23+D23</f>
        <v>1</v>
      </c>
      <c r="F23" s="99"/>
      <c r="G23" s="84"/>
      <c r="H23" s="17"/>
      <c r="I23" s="95"/>
      <c r="J23" s="97"/>
      <c r="K23" s="97"/>
      <c r="L23" s="121"/>
      <c r="M23" s="17"/>
      <c r="N23" s="17"/>
    </row>
    <row r="24" spans="2:14" ht="21.95" customHeight="1" x14ac:dyDescent="0.2">
      <c r="B24" s="116" t="s">
        <v>65</v>
      </c>
      <c r="C24" s="113">
        <v>0</v>
      </c>
      <c r="D24" s="113">
        <v>0</v>
      </c>
      <c r="E24" s="357">
        <f t="shared" si="1"/>
        <v>0</v>
      </c>
      <c r="F24" s="99"/>
      <c r="G24" s="84"/>
      <c r="H24" s="17"/>
      <c r="I24" s="95"/>
      <c r="J24" s="97"/>
      <c r="K24" s="97"/>
      <c r="L24" s="121"/>
      <c r="M24" s="17"/>
      <c r="N24" s="17"/>
    </row>
    <row r="25" spans="2:14" ht="21.95" customHeight="1" x14ac:dyDescent="0.2">
      <c r="B25" s="116" t="s">
        <v>66</v>
      </c>
      <c r="C25" s="113">
        <v>0</v>
      </c>
      <c r="D25" s="113">
        <f>1</f>
        <v>1</v>
      </c>
      <c r="E25" s="357">
        <f t="shared" si="1"/>
        <v>1</v>
      </c>
      <c r="F25" s="99"/>
      <c r="G25" s="84"/>
      <c r="H25" s="17"/>
      <c r="I25" s="95"/>
      <c r="J25" s="97"/>
      <c r="K25" s="97"/>
      <c r="L25" s="121"/>
      <c r="M25" s="17"/>
      <c r="N25" s="17"/>
    </row>
    <row r="26" spans="2:14" ht="21.95" customHeight="1" x14ac:dyDescent="0.2">
      <c r="B26" s="116" t="s">
        <v>67</v>
      </c>
      <c r="C26" s="113">
        <f>1+1+1+1+1</f>
        <v>5</v>
      </c>
      <c r="D26" s="113">
        <f>1+1+1+1</f>
        <v>4</v>
      </c>
      <c r="E26" s="357">
        <f>+C26+D26</f>
        <v>9</v>
      </c>
      <c r="F26" s="99"/>
      <c r="G26" s="84"/>
      <c r="H26" s="17"/>
      <c r="I26" s="95"/>
      <c r="J26" s="97"/>
      <c r="K26" s="97"/>
      <c r="L26" s="121"/>
      <c r="M26" s="17"/>
      <c r="N26" s="17"/>
    </row>
    <row r="27" spans="2:14" ht="21.95" customHeight="1" x14ac:dyDescent="0.2">
      <c r="B27" s="116" t="s">
        <v>68</v>
      </c>
      <c r="C27" s="113">
        <v>0</v>
      </c>
      <c r="D27" s="113">
        <v>0</v>
      </c>
      <c r="E27" s="357">
        <f t="shared" si="1"/>
        <v>0</v>
      </c>
      <c r="F27" s="99"/>
      <c r="G27" s="84"/>
      <c r="H27" s="17"/>
      <c r="I27" s="95"/>
      <c r="J27" s="97"/>
      <c r="K27" s="97"/>
      <c r="L27" s="121"/>
      <c r="M27" s="17"/>
      <c r="N27" s="17"/>
    </row>
    <row r="28" spans="2:14" ht="22.5" customHeight="1" x14ac:dyDescent="0.2">
      <c r="B28" s="116" t="s">
        <v>69</v>
      </c>
      <c r="C28" s="113">
        <v>0</v>
      </c>
      <c r="D28" s="113">
        <v>0</v>
      </c>
      <c r="E28" s="357">
        <f t="shared" si="1"/>
        <v>0</v>
      </c>
      <c r="F28" s="99"/>
      <c r="G28" s="84"/>
      <c r="H28" s="17"/>
      <c r="I28" s="122"/>
      <c r="J28" s="96"/>
      <c r="K28" s="96"/>
      <c r="L28" s="96"/>
      <c r="M28" s="17"/>
      <c r="N28" s="17"/>
    </row>
    <row r="29" spans="2:14" ht="22.5" customHeight="1" x14ac:dyDescent="0.2">
      <c r="B29" s="116" t="s">
        <v>297</v>
      </c>
      <c r="C29" s="113">
        <v>0</v>
      </c>
      <c r="D29" s="113">
        <f>1+1</f>
        <v>2</v>
      </c>
      <c r="E29" s="357">
        <f>C29+D29</f>
        <v>2</v>
      </c>
      <c r="F29" s="579"/>
      <c r="G29" s="84"/>
      <c r="H29" s="17"/>
      <c r="I29" s="122"/>
      <c r="J29" s="96"/>
      <c r="K29" s="96"/>
      <c r="L29" s="96"/>
      <c r="M29" s="17"/>
      <c r="N29" s="17"/>
    </row>
    <row r="30" spans="2:14" ht="14.25" customHeight="1" thickBot="1" x14ac:dyDescent="0.25">
      <c r="B30" s="111" t="s">
        <v>141</v>
      </c>
      <c r="C30" s="112">
        <f>SUM(C15:C29)</f>
        <v>19</v>
      </c>
      <c r="D30" s="112">
        <f>SUM(D15:D29)</f>
        <v>24</v>
      </c>
      <c r="E30" s="114">
        <f>SUM(E15:E29)</f>
        <v>43</v>
      </c>
      <c r="F30" s="99"/>
      <c r="J30" s="3"/>
      <c r="K30" s="62"/>
      <c r="L30" s="9"/>
    </row>
    <row r="31" spans="2:14" ht="20.25" customHeight="1" x14ac:dyDescent="0.2">
      <c r="B31" s="464" t="s">
        <v>324</v>
      </c>
      <c r="C31" s="3"/>
      <c r="D31" s="11"/>
      <c r="E31" s="10" t="s">
        <v>321</v>
      </c>
      <c r="F31" s="3"/>
      <c r="I31" s="107"/>
      <c r="J31" s="3"/>
      <c r="K31" s="3"/>
      <c r="L31" s="3"/>
    </row>
    <row r="32" spans="2:14" x14ac:dyDescent="0.2">
      <c r="B32" s="107"/>
      <c r="C32" s="3"/>
      <c r="D32" s="3"/>
      <c r="E32" s="3"/>
      <c r="F32" s="3"/>
      <c r="I32" s="107"/>
      <c r="J32" s="3"/>
      <c r="K32" s="3"/>
      <c r="L32" s="3"/>
    </row>
    <row r="33" spans="1:12" x14ac:dyDescent="0.2">
      <c r="B33" s="5" t="s">
        <v>298</v>
      </c>
      <c r="C33" s="3"/>
      <c r="D33" s="3"/>
      <c r="E33" s="3"/>
      <c r="F33" s="3"/>
      <c r="I33" s="107"/>
      <c r="J33" s="3"/>
      <c r="K33" s="3"/>
      <c r="L33" s="3"/>
    </row>
    <row r="34" spans="1:12" x14ac:dyDescent="0.2">
      <c r="B34" s="5" t="s">
        <v>299</v>
      </c>
      <c r="C34" s="3"/>
      <c r="D34" s="3"/>
      <c r="E34" s="3"/>
      <c r="F34" s="3"/>
      <c r="I34" s="107"/>
      <c r="J34" s="3"/>
      <c r="K34" s="3"/>
      <c r="L34" s="3"/>
    </row>
    <row r="35" spans="1:12" x14ac:dyDescent="0.2">
      <c r="B35" s="5" t="s">
        <v>300</v>
      </c>
      <c r="C35" s="3"/>
      <c r="D35" s="3"/>
      <c r="E35" s="3"/>
      <c r="F35" s="3"/>
      <c r="I35" s="107"/>
      <c r="J35" s="3"/>
      <c r="K35" s="3"/>
      <c r="L35" s="3"/>
    </row>
    <row r="36" spans="1:12" x14ac:dyDescent="0.2">
      <c r="B36" s="5"/>
      <c r="C36" s="3"/>
      <c r="D36" s="3"/>
      <c r="E36" s="3"/>
      <c r="F36" s="3"/>
      <c r="G36" s="2"/>
      <c r="I36" s="7"/>
      <c r="J36" s="3"/>
      <c r="K36" s="3"/>
      <c r="L36" s="3"/>
    </row>
    <row r="37" spans="1:12" x14ac:dyDescent="0.2">
      <c r="B37" s="5"/>
      <c r="C37" s="3"/>
      <c r="D37" s="3"/>
      <c r="E37" s="3"/>
      <c r="F37" s="3"/>
      <c r="G37" s="2"/>
      <c r="H37" s="3"/>
      <c r="I37" s="3"/>
      <c r="J37" s="3"/>
    </row>
    <row r="38" spans="1:12" x14ac:dyDescent="0.2">
      <c r="B38" s="5"/>
      <c r="C38" s="3"/>
      <c r="D38" s="3"/>
      <c r="E38" s="3"/>
      <c r="F38" s="3"/>
      <c r="G38" s="2"/>
      <c r="H38" s="3"/>
      <c r="I38" s="66"/>
      <c r="J38" s="3"/>
    </row>
    <row r="39" spans="1:12" x14ac:dyDescent="0.2">
      <c r="B39" s="5"/>
      <c r="C39" s="3"/>
      <c r="D39" s="3"/>
      <c r="E39" s="3"/>
      <c r="F39" s="3"/>
      <c r="G39" s="2"/>
      <c r="H39" s="66"/>
      <c r="J39" s="3"/>
      <c r="K39" s="7"/>
    </row>
    <row r="40" spans="1:12" x14ac:dyDescent="0.2">
      <c r="B40" s="5"/>
      <c r="C40" s="3"/>
      <c r="D40" s="3"/>
      <c r="E40" s="3"/>
      <c r="F40" s="3"/>
      <c r="G40" s="2"/>
      <c r="I40" s="7"/>
      <c r="J40" s="3"/>
      <c r="K40" s="3"/>
    </row>
    <row r="41" spans="1:12" x14ac:dyDescent="0.2">
      <c r="A41" s="66"/>
      <c r="B41" s="3"/>
      <c r="C41" s="3"/>
      <c r="D41" s="5" t="s">
        <v>152</v>
      </c>
      <c r="E41" s="5"/>
      <c r="F41" s="3"/>
      <c r="G41" s="2"/>
      <c r="J41" s="3"/>
      <c r="K41" s="3"/>
      <c r="L41" s="3"/>
    </row>
    <row r="42" spans="1:12" x14ac:dyDescent="0.2">
      <c r="B42" s="66"/>
      <c r="C42" s="3"/>
      <c r="D42" s="5" t="s">
        <v>153</v>
      </c>
      <c r="E42" s="118"/>
      <c r="F42" s="66"/>
      <c r="G42" s="2"/>
      <c r="I42" s="3"/>
      <c r="J42" s="3"/>
      <c r="K42" s="3"/>
      <c r="L42" s="3"/>
    </row>
    <row r="43" spans="1:12" x14ac:dyDescent="0.2">
      <c r="B43" s="3"/>
      <c r="C43" s="3"/>
      <c r="D43" s="5" t="s">
        <v>154</v>
      </c>
      <c r="E43" s="5"/>
      <c r="F43" s="66"/>
      <c r="G43" s="2"/>
      <c r="I43" s="3"/>
      <c r="J43" s="5"/>
      <c r="K43" s="5"/>
      <c r="L43" s="3"/>
    </row>
    <row r="44" spans="1:12" x14ac:dyDescent="0.2">
      <c r="C44" s="3"/>
      <c r="D44" s="3"/>
      <c r="E44" s="3"/>
      <c r="F44" s="66"/>
      <c r="G44" s="2"/>
      <c r="I44" s="5"/>
      <c r="J44" s="5"/>
      <c r="K44" s="118"/>
      <c r="L44" s="3"/>
    </row>
    <row r="45" spans="1:12" x14ac:dyDescent="0.2">
      <c r="B45" s="3"/>
      <c r="E45" s="3"/>
      <c r="F45" s="3"/>
      <c r="I45" s="3"/>
      <c r="J45" s="7"/>
      <c r="K45" s="5"/>
      <c r="L45" s="3"/>
    </row>
    <row r="46" spans="1:12" x14ac:dyDescent="0.2">
      <c r="B46" s="3"/>
      <c r="C46" s="3"/>
      <c r="D46" s="3"/>
      <c r="E46" s="3"/>
      <c r="F46" s="3"/>
      <c r="I46" s="3"/>
      <c r="J46" s="3"/>
      <c r="K46" s="3"/>
      <c r="L46" s="3"/>
    </row>
    <row r="47" spans="1:12" x14ac:dyDescent="0.2">
      <c r="B47" s="3"/>
      <c r="C47" s="3"/>
      <c r="D47" s="3"/>
      <c r="E47" s="3"/>
      <c r="F47" s="3"/>
      <c r="I47" s="3"/>
      <c r="J47" s="3"/>
      <c r="K47" s="3"/>
      <c r="L47" s="3"/>
    </row>
    <row r="48" spans="1:12" x14ac:dyDescent="0.2">
      <c r="B48" s="3"/>
      <c r="C48" s="3"/>
      <c r="D48" s="3"/>
      <c r="E48" s="3"/>
      <c r="F48" s="3"/>
    </row>
    <row r="49" spans="1:6" x14ac:dyDescent="0.2">
      <c r="B49" s="3"/>
      <c r="C49" s="3"/>
      <c r="D49" s="3"/>
      <c r="E49" s="3"/>
      <c r="F49" s="3"/>
    </row>
    <row r="50" spans="1:6" x14ac:dyDescent="0.2">
      <c r="B50" s="3"/>
      <c r="C50" s="3"/>
      <c r="D50" s="3"/>
      <c r="E50" s="3"/>
      <c r="F50" s="3"/>
    </row>
    <row r="51" spans="1:6" x14ac:dyDescent="0.2">
      <c r="B51" s="3"/>
      <c r="C51" s="3"/>
      <c r="D51" s="3"/>
      <c r="E51" s="3"/>
      <c r="F51" s="3"/>
    </row>
    <row r="52" spans="1:6" x14ac:dyDescent="0.2">
      <c r="B52" s="3"/>
      <c r="C52" s="3"/>
      <c r="D52" s="3"/>
      <c r="E52" s="3"/>
      <c r="F52" s="3"/>
    </row>
    <row r="53" spans="1:6" x14ac:dyDescent="0.2">
      <c r="B53" s="3"/>
      <c r="C53" s="3"/>
      <c r="D53" s="3"/>
      <c r="E53" s="3"/>
      <c r="F53" s="3"/>
    </row>
    <row r="54" spans="1:6" x14ac:dyDescent="0.2">
      <c r="B54" s="3"/>
      <c r="C54" s="3"/>
      <c r="D54" s="3"/>
      <c r="E54" s="3"/>
      <c r="F54" s="3"/>
    </row>
    <row r="55" spans="1:6" x14ac:dyDescent="0.2">
      <c r="B55" s="3"/>
      <c r="C55" s="3"/>
      <c r="D55" s="3"/>
      <c r="E55" s="3"/>
      <c r="F55" s="3"/>
    </row>
    <row r="56" spans="1:6" x14ac:dyDescent="0.2">
      <c r="A56" t="s">
        <v>140</v>
      </c>
      <c r="B56" s="3"/>
      <c r="C56" s="3"/>
      <c r="D56" s="3"/>
      <c r="E56" s="3"/>
      <c r="F56" s="3"/>
    </row>
    <row r="57" spans="1:6" x14ac:dyDescent="0.2">
      <c r="B57" s="3"/>
      <c r="C57" s="3"/>
      <c r="D57" s="3"/>
      <c r="E57" s="3"/>
      <c r="F57" s="3"/>
    </row>
    <row r="58" spans="1:6" x14ac:dyDescent="0.2">
      <c r="B58" s="3"/>
      <c r="C58" s="3"/>
      <c r="D58" s="3"/>
      <c r="E58" s="3"/>
      <c r="F58" s="3"/>
    </row>
    <row r="59" spans="1:6" x14ac:dyDescent="0.2">
      <c r="B59" s="3"/>
      <c r="C59" s="3"/>
      <c r="D59" s="3"/>
      <c r="E59" s="3"/>
      <c r="F59" s="3"/>
    </row>
    <row r="60" spans="1:6" x14ac:dyDescent="0.2">
      <c r="B60" s="3"/>
      <c r="C60" s="3"/>
      <c r="D60" s="3"/>
      <c r="E60" s="3"/>
      <c r="F60" s="3"/>
    </row>
    <row r="61" spans="1:6" x14ac:dyDescent="0.2">
      <c r="B61" s="3"/>
      <c r="C61" s="3"/>
      <c r="D61" s="3"/>
      <c r="E61" s="3"/>
      <c r="F61" s="3"/>
    </row>
    <row r="62" spans="1:6" x14ac:dyDescent="0.2">
      <c r="B62" s="3"/>
      <c r="C62" s="3"/>
      <c r="D62" s="3"/>
      <c r="E62" s="3"/>
      <c r="F62" s="3"/>
    </row>
    <row r="63" spans="1:6" x14ac:dyDescent="0.2">
      <c r="B63" s="3"/>
      <c r="C63" s="3"/>
      <c r="D63" s="3"/>
      <c r="E63" s="3"/>
      <c r="F63" s="3"/>
    </row>
    <row r="64" spans="1:6" x14ac:dyDescent="0.2">
      <c r="B64" s="3"/>
      <c r="C64" s="3"/>
      <c r="D64" s="3"/>
      <c r="E64" s="3"/>
      <c r="F64" s="3"/>
    </row>
    <row r="65" spans="2:6" x14ac:dyDescent="0.2">
      <c r="B65" s="3"/>
      <c r="C65" s="3"/>
      <c r="D65" s="3"/>
      <c r="E65" s="3"/>
      <c r="F65" s="3"/>
    </row>
    <row r="66" spans="2:6" x14ac:dyDescent="0.2">
      <c r="B66" s="3"/>
      <c r="C66" s="3"/>
      <c r="D66" s="3"/>
      <c r="E66" s="3"/>
      <c r="F66" s="3"/>
    </row>
    <row r="67" spans="2:6" x14ac:dyDescent="0.2">
      <c r="B67" s="3"/>
      <c r="C67" s="3"/>
      <c r="D67" s="3"/>
      <c r="E67" s="3"/>
      <c r="F67" s="3"/>
    </row>
    <row r="68" spans="2:6" x14ac:dyDescent="0.2">
      <c r="B68" s="3"/>
      <c r="C68" s="3"/>
      <c r="D68" s="3"/>
      <c r="E68" s="3"/>
      <c r="F68" s="3"/>
    </row>
    <row r="69" spans="2:6" x14ac:dyDescent="0.2">
      <c r="B69" s="3"/>
      <c r="C69" s="3"/>
      <c r="D69" s="3"/>
      <c r="E69" s="3"/>
      <c r="F69" s="3"/>
    </row>
    <row r="70" spans="2:6" x14ac:dyDescent="0.2">
      <c r="B70" s="3"/>
      <c r="C70" s="3"/>
      <c r="D70" s="3"/>
      <c r="E70" s="3"/>
      <c r="F70" s="3"/>
    </row>
    <row r="71" spans="2:6" x14ac:dyDescent="0.2">
      <c r="B71" s="3"/>
      <c r="C71" s="3"/>
      <c r="D71" s="3"/>
      <c r="E71" s="3"/>
      <c r="F71" s="3"/>
    </row>
    <row r="72" spans="2:6" x14ac:dyDescent="0.2">
      <c r="B72" s="3"/>
      <c r="C72" s="3"/>
      <c r="D72" s="3"/>
      <c r="E72" s="3"/>
      <c r="F72" s="3"/>
    </row>
    <row r="73" spans="2:6" x14ac:dyDescent="0.2">
      <c r="B73" s="3"/>
      <c r="C73" s="3"/>
      <c r="D73" s="3"/>
      <c r="E73" s="3"/>
      <c r="F73" s="3"/>
    </row>
    <row r="74" spans="2:6" x14ac:dyDescent="0.2">
      <c r="B74" s="3"/>
      <c r="C74" s="3"/>
      <c r="D74" s="3"/>
      <c r="E74" s="3"/>
      <c r="F74" s="3"/>
    </row>
    <row r="75" spans="2:6" x14ac:dyDescent="0.2">
      <c r="B75" s="3"/>
      <c r="C75" s="3"/>
      <c r="D75" s="3"/>
      <c r="E75" s="3"/>
      <c r="F75" s="3"/>
    </row>
    <row r="76" spans="2:6" x14ac:dyDescent="0.2">
      <c r="B76" s="3"/>
      <c r="C76" s="3"/>
      <c r="D76" s="3"/>
      <c r="E76" s="3"/>
      <c r="F76" s="3"/>
    </row>
    <row r="77" spans="2:6" x14ac:dyDescent="0.2">
      <c r="B77" s="3"/>
      <c r="C77" s="3"/>
      <c r="D77" s="3"/>
      <c r="E77" s="3"/>
      <c r="F77" s="3"/>
    </row>
    <row r="78" spans="2:6" x14ac:dyDescent="0.2">
      <c r="B78" s="3"/>
      <c r="C78" s="3"/>
      <c r="D78" s="3"/>
      <c r="E78" s="3"/>
      <c r="F78" s="3"/>
    </row>
    <row r="79" spans="2:6" x14ac:dyDescent="0.2">
      <c r="B79" s="3"/>
      <c r="C79" s="3"/>
      <c r="D79" s="3"/>
      <c r="E79" s="3"/>
      <c r="F79" s="3"/>
    </row>
    <row r="80" spans="2:6" x14ac:dyDescent="0.2">
      <c r="B80" s="3"/>
      <c r="C80" s="3"/>
      <c r="D80" s="3"/>
      <c r="E80" s="3"/>
      <c r="F80" s="3"/>
    </row>
    <row r="81" spans="2:6" x14ac:dyDescent="0.2">
      <c r="B81" s="3"/>
      <c r="C81" s="3"/>
      <c r="D81" s="3"/>
      <c r="E81" s="3"/>
      <c r="F81" s="3"/>
    </row>
    <row r="82" spans="2:6" x14ac:dyDescent="0.2">
      <c r="B82" s="3"/>
      <c r="C82" s="3"/>
      <c r="D82" s="3"/>
      <c r="E82" s="3"/>
      <c r="F82" s="3"/>
    </row>
    <row r="83" spans="2:6" x14ac:dyDescent="0.2">
      <c r="B83" s="3"/>
      <c r="C83" s="3"/>
      <c r="D83" s="3"/>
      <c r="E83" s="3"/>
      <c r="F83" s="3"/>
    </row>
    <row r="84" spans="2:6" x14ac:dyDescent="0.2">
      <c r="B84" s="3"/>
      <c r="C84" s="3"/>
      <c r="D84" s="3"/>
      <c r="E84" s="3"/>
      <c r="F84" s="3"/>
    </row>
    <row r="85" spans="2:6" x14ac:dyDescent="0.2">
      <c r="B85" s="3"/>
      <c r="C85" s="3"/>
      <c r="D85" s="3"/>
      <c r="E85" s="3"/>
      <c r="F85" s="3"/>
    </row>
    <row r="86" spans="2:6" x14ac:dyDescent="0.2">
      <c r="B86" s="3"/>
      <c r="C86" s="3"/>
      <c r="D86" s="3"/>
      <c r="E86" s="3"/>
      <c r="F86" s="3"/>
    </row>
    <row r="87" spans="2:6" x14ac:dyDescent="0.2">
      <c r="B87" s="3"/>
      <c r="C87" s="3"/>
      <c r="D87" s="3"/>
      <c r="E87" s="3"/>
      <c r="F87" s="3"/>
    </row>
    <row r="88" spans="2:6" x14ac:dyDescent="0.2">
      <c r="B88" s="3"/>
      <c r="C88" s="3"/>
      <c r="D88" s="3"/>
      <c r="E88" s="3"/>
      <c r="F88" s="3"/>
    </row>
    <row r="89" spans="2:6" x14ac:dyDescent="0.2">
      <c r="B89" s="3"/>
      <c r="C89" s="3"/>
      <c r="D89" s="3"/>
      <c r="E89" s="3"/>
      <c r="F89" s="3"/>
    </row>
    <row r="90" spans="2:6" x14ac:dyDescent="0.2">
      <c r="B90" s="3"/>
      <c r="C90" s="3"/>
      <c r="D90" s="3"/>
      <c r="E90" s="3"/>
      <c r="F90" s="3"/>
    </row>
    <row r="91" spans="2:6" x14ac:dyDescent="0.2">
      <c r="B91" s="3"/>
      <c r="C91" s="3"/>
      <c r="D91" s="3"/>
      <c r="E91" s="3"/>
      <c r="F91" s="3"/>
    </row>
    <row r="92" spans="2:6" x14ac:dyDescent="0.2">
      <c r="B92" s="3"/>
      <c r="C92" s="3"/>
      <c r="D92" s="3"/>
      <c r="E92" s="3"/>
      <c r="F92" s="3"/>
    </row>
    <row r="93" spans="2:6" x14ac:dyDescent="0.2">
      <c r="B93" s="3"/>
      <c r="C93" s="3"/>
      <c r="D93" s="3"/>
      <c r="E93" s="3"/>
      <c r="F93" s="3"/>
    </row>
    <row r="94" spans="2:6" x14ac:dyDescent="0.2">
      <c r="B94" s="3"/>
      <c r="C94" s="3"/>
      <c r="D94" s="3"/>
      <c r="E94" s="3"/>
      <c r="F94" s="3"/>
    </row>
    <row r="95" spans="2:6" x14ac:dyDescent="0.2">
      <c r="B95" s="3"/>
      <c r="C95" s="3"/>
      <c r="D95" s="3"/>
      <c r="E95" s="3"/>
      <c r="F95" s="3"/>
    </row>
    <row r="96" spans="2:6" x14ac:dyDescent="0.2">
      <c r="B96" s="3"/>
    </row>
  </sheetData>
  <mergeCells count="6">
    <mergeCell ref="C13:E13"/>
    <mergeCell ref="J12:L12"/>
    <mergeCell ref="I9:L9"/>
    <mergeCell ref="I10:L10"/>
    <mergeCell ref="B11:E11"/>
    <mergeCell ref="B10:E1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F45"/>
  <sheetViews>
    <sheetView topLeftCell="O3" zoomScale="142" zoomScaleNormal="142" workbookViewId="0">
      <selection activeCell="N14" sqref="N14"/>
    </sheetView>
  </sheetViews>
  <sheetFormatPr baseColWidth="10" defaultRowHeight="8.25" x14ac:dyDescent="0.15"/>
  <cols>
    <col min="1" max="1" width="4" style="161" customWidth="1"/>
    <col min="2" max="2" width="3.7109375" style="161" customWidth="1"/>
    <col min="3" max="3" width="3.5703125" style="161" customWidth="1"/>
    <col min="4" max="4" width="3.42578125" style="161" customWidth="1"/>
    <col min="5" max="5" width="3.7109375" style="161" customWidth="1"/>
    <col min="6" max="6" width="2.85546875" style="161" customWidth="1"/>
    <col min="7" max="7" width="3" style="161" customWidth="1"/>
    <col min="8" max="8" width="3.28515625" style="161" customWidth="1"/>
    <col min="9" max="9" width="3.42578125" style="161" customWidth="1"/>
    <col min="10" max="10" width="3" style="161" customWidth="1"/>
    <col min="11" max="11" width="3.28515625" style="161" customWidth="1"/>
    <col min="12" max="13" width="7.5703125" style="161" customWidth="1"/>
    <col min="14" max="14" width="8.5703125" style="161" customWidth="1"/>
    <col min="15" max="15" width="8.42578125" style="161" customWidth="1"/>
    <col min="16" max="16" width="6.28515625" style="161" customWidth="1"/>
    <col min="17" max="18" width="7.140625" style="161" customWidth="1"/>
    <col min="19" max="19" width="8" style="161" customWidth="1"/>
    <col min="20" max="22" width="7" style="161" customWidth="1"/>
    <col min="23" max="23" width="7.28515625" style="161" customWidth="1"/>
    <col min="24" max="24" width="4.28515625" style="161" customWidth="1"/>
    <col min="25" max="25" width="6.28515625" style="161" customWidth="1"/>
    <col min="26" max="26" width="6.42578125" style="161" customWidth="1"/>
    <col min="27" max="27" width="4.5703125" style="161" customWidth="1"/>
    <col min="28" max="28" width="8.85546875" style="161" customWidth="1"/>
    <col min="29" max="29" width="8.42578125" style="161" customWidth="1"/>
    <col min="30" max="16384" width="11.42578125" style="161"/>
  </cols>
  <sheetData>
    <row r="3" spans="1:32" x14ac:dyDescent="0.15">
      <c r="AC3" s="198" t="s">
        <v>240</v>
      </c>
    </row>
    <row r="6" spans="1:32" x14ac:dyDescent="0.15">
      <c r="A6" s="726" t="s">
        <v>155</v>
      </c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26"/>
      <c r="AA6" s="726"/>
      <c r="AB6" s="726"/>
      <c r="AC6" s="160"/>
    </row>
    <row r="7" spans="1:32" x14ac:dyDescent="0.15">
      <c r="A7" s="726" t="s">
        <v>156</v>
      </c>
      <c r="B7" s="726"/>
      <c r="C7" s="726"/>
      <c r="D7" s="726"/>
      <c r="E7" s="726"/>
      <c r="F7" s="726"/>
      <c r="G7" s="726"/>
      <c r="H7" s="726"/>
      <c r="I7" s="726"/>
      <c r="J7" s="726"/>
      <c r="K7" s="726"/>
      <c r="L7" s="726"/>
      <c r="M7" s="726"/>
      <c r="N7" s="726"/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6"/>
      <c r="Z7" s="726"/>
      <c r="AA7" s="726"/>
      <c r="AB7" s="726"/>
      <c r="AC7" s="160"/>
    </row>
    <row r="8" spans="1:32" ht="9" thickBot="1" x14ac:dyDescent="0.2"/>
    <row r="9" spans="1:32" ht="117.75" customHeight="1" thickBot="1" x14ac:dyDescent="0.2">
      <c r="A9" s="439" t="s">
        <v>8</v>
      </c>
      <c r="B9" s="668" t="s">
        <v>25</v>
      </c>
      <c r="C9" s="668" t="s">
        <v>284</v>
      </c>
      <c r="D9" s="668" t="s">
        <v>26</v>
      </c>
      <c r="E9" s="668" t="s">
        <v>157</v>
      </c>
      <c r="F9" s="669" t="s">
        <v>270</v>
      </c>
      <c r="G9" s="669" t="s">
        <v>269</v>
      </c>
      <c r="H9" s="669" t="s">
        <v>241</v>
      </c>
      <c r="I9" s="669" t="s">
        <v>242</v>
      </c>
      <c r="J9" s="669" t="s">
        <v>243</v>
      </c>
      <c r="K9" s="669" t="s">
        <v>244</v>
      </c>
      <c r="L9" s="669" t="s">
        <v>158</v>
      </c>
      <c r="M9" s="669" t="s">
        <v>159</v>
      </c>
      <c r="N9" s="669" t="s">
        <v>160</v>
      </c>
      <c r="O9" s="671" t="s">
        <v>161</v>
      </c>
      <c r="P9" s="669" t="s">
        <v>162</v>
      </c>
      <c r="Q9" s="669" t="s">
        <v>163</v>
      </c>
      <c r="R9" s="669" t="s">
        <v>228</v>
      </c>
      <c r="S9" s="669" t="s">
        <v>164</v>
      </c>
      <c r="T9" s="669" t="s">
        <v>165</v>
      </c>
      <c r="U9" s="669" t="s">
        <v>166</v>
      </c>
      <c r="V9" s="669" t="s">
        <v>167</v>
      </c>
      <c r="W9" s="669" t="s">
        <v>168</v>
      </c>
      <c r="X9" s="669" t="s">
        <v>230</v>
      </c>
      <c r="Y9" s="669" t="s">
        <v>229</v>
      </c>
      <c r="Z9" s="669" t="s">
        <v>317</v>
      </c>
      <c r="AA9" s="669" t="s">
        <v>318</v>
      </c>
      <c r="AB9" s="669" t="s">
        <v>226</v>
      </c>
      <c r="AC9" s="670" t="s">
        <v>227</v>
      </c>
      <c r="AD9" s="1"/>
      <c r="AE9" s="1"/>
    </row>
    <row r="10" spans="1:32" x14ac:dyDescent="0.15">
      <c r="A10" s="436" t="s">
        <v>3</v>
      </c>
      <c r="B10" s="475">
        <v>0</v>
      </c>
      <c r="C10" s="162">
        <v>0</v>
      </c>
      <c r="D10" s="162">
        <v>20</v>
      </c>
      <c r="E10" s="162">
        <v>19</v>
      </c>
      <c r="F10" s="440">
        <v>42</v>
      </c>
      <c r="G10" s="440">
        <v>52</v>
      </c>
      <c r="H10" s="440">
        <v>11</v>
      </c>
      <c r="I10" s="440">
        <v>9</v>
      </c>
      <c r="J10" s="440">
        <v>9</v>
      </c>
      <c r="K10" s="440">
        <v>10</v>
      </c>
      <c r="L10" s="672">
        <v>24342.84</v>
      </c>
      <c r="M10" s="672">
        <v>27257.13</v>
      </c>
      <c r="N10" s="672">
        <v>96414.28</v>
      </c>
      <c r="O10" s="672">
        <v>89471.65</v>
      </c>
      <c r="P10" s="672">
        <v>0</v>
      </c>
      <c r="Q10" s="672">
        <v>0</v>
      </c>
      <c r="R10" s="672">
        <v>8000.02</v>
      </c>
      <c r="S10" s="441">
        <v>18285.759999999998</v>
      </c>
      <c r="T10" s="672">
        <v>5142.87</v>
      </c>
      <c r="U10" s="672">
        <v>5523.84</v>
      </c>
      <c r="V10" s="672">
        <v>0</v>
      </c>
      <c r="W10" s="672">
        <v>11428.57</v>
      </c>
      <c r="X10" s="672">
        <v>0</v>
      </c>
      <c r="Y10" s="672">
        <v>0</v>
      </c>
      <c r="Z10" s="672">
        <v>0</v>
      </c>
      <c r="AA10" s="672">
        <v>0</v>
      </c>
      <c r="AB10" s="672">
        <f t="shared" ref="AB10:AB15" si="0">L10+N10+P10+R10+T10+V10</f>
        <v>133900.01</v>
      </c>
      <c r="AC10" s="673">
        <f>+W10+U10+S10+Q10+O10+M10+Y10</f>
        <v>151966.94999999998</v>
      </c>
    </row>
    <row r="11" spans="1:32" x14ac:dyDescent="0.15">
      <c r="A11" s="437" t="s">
        <v>4</v>
      </c>
      <c r="B11" s="165">
        <v>0</v>
      </c>
      <c r="C11" s="165">
        <v>0</v>
      </c>
      <c r="D11" s="165">
        <v>21</v>
      </c>
      <c r="E11" s="165">
        <v>26</v>
      </c>
      <c r="F11" s="440">
        <v>44</v>
      </c>
      <c r="G11" s="440">
        <v>63</v>
      </c>
      <c r="H11" s="440">
        <v>9</v>
      </c>
      <c r="I11" s="440">
        <v>16</v>
      </c>
      <c r="J11" s="440">
        <v>12</v>
      </c>
      <c r="K11" s="440">
        <v>10</v>
      </c>
      <c r="L11" s="672">
        <v>29142.85</v>
      </c>
      <c r="M11" s="672">
        <v>23999.99</v>
      </c>
      <c r="N11" s="672">
        <v>86685.59</v>
      </c>
      <c r="O11" s="672">
        <v>52739.22</v>
      </c>
      <c r="P11" s="672">
        <v>0</v>
      </c>
      <c r="Q11" s="672">
        <v>0</v>
      </c>
      <c r="R11" s="672">
        <v>12571.46</v>
      </c>
      <c r="S11" s="441">
        <v>5714.3</v>
      </c>
      <c r="T11" s="672">
        <v>11171.45</v>
      </c>
      <c r="U11" s="672">
        <v>5600.02</v>
      </c>
      <c r="V11" s="672">
        <v>20000</v>
      </c>
      <c r="W11" s="672">
        <v>0</v>
      </c>
      <c r="X11" s="672">
        <v>0</v>
      </c>
      <c r="Y11" s="672">
        <v>0</v>
      </c>
      <c r="Z11" s="672">
        <v>0</v>
      </c>
      <c r="AA11" s="672">
        <v>0</v>
      </c>
      <c r="AB11" s="672">
        <f t="shared" si="0"/>
        <v>159571.35</v>
      </c>
      <c r="AC11" s="673">
        <f t="shared" ref="AC11:AC16" si="1">+W11+U11+S11+Q11+O11+M11+Y11</f>
        <v>88053.53</v>
      </c>
    </row>
    <row r="12" spans="1:32" x14ac:dyDescent="0.15">
      <c r="A12" s="437" t="s">
        <v>231</v>
      </c>
      <c r="B12" s="168">
        <v>0</v>
      </c>
      <c r="C12" s="165">
        <v>13</v>
      </c>
      <c r="D12" s="165">
        <v>28</v>
      </c>
      <c r="E12" s="165">
        <v>13</v>
      </c>
      <c r="F12" s="440">
        <v>81</v>
      </c>
      <c r="G12" s="440">
        <v>45</v>
      </c>
      <c r="H12" s="440">
        <v>12</v>
      </c>
      <c r="I12" s="440">
        <v>15</v>
      </c>
      <c r="J12" s="440">
        <v>16</v>
      </c>
      <c r="K12" s="440">
        <v>11</v>
      </c>
      <c r="L12" s="672">
        <v>44399.99</v>
      </c>
      <c r="M12" s="672">
        <v>26057.13</v>
      </c>
      <c r="N12" s="672">
        <v>144628.53</v>
      </c>
      <c r="O12" s="672">
        <v>122548.54</v>
      </c>
      <c r="P12" s="672">
        <v>0</v>
      </c>
      <c r="Q12" s="672">
        <v>0</v>
      </c>
      <c r="R12" s="672">
        <v>8000.02</v>
      </c>
      <c r="S12" s="441">
        <v>4571.4399999999996</v>
      </c>
      <c r="T12" s="672">
        <v>4190.49</v>
      </c>
      <c r="U12" s="672">
        <v>5714.3</v>
      </c>
      <c r="V12" s="672">
        <v>0</v>
      </c>
      <c r="W12" s="672">
        <v>0</v>
      </c>
      <c r="X12" s="672">
        <v>0</v>
      </c>
      <c r="Y12" s="672">
        <v>0</v>
      </c>
      <c r="Z12" s="672">
        <v>0</v>
      </c>
      <c r="AA12" s="672">
        <v>0</v>
      </c>
      <c r="AB12" s="672">
        <f t="shared" si="0"/>
        <v>201219.02999999997</v>
      </c>
      <c r="AC12" s="673">
        <f t="shared" si="1"/>
        <v>158891.41</v>
      </c>
      <c r="AD12" s="166"/>
      <c r="AE12" s="166"/>
      <c r="AF12" s="166"/>
    </row>
    <row r="13" spans="1:32" x14ac:dyDescent="0.15">
      <c r="A13" s="437" t="s">
        <v>6</v>
      </c>
      <c r="B13" s="165">
        <v>22</v>
      </c>
      <c r="C13" s="167">
        <v>17</v>
      </c>
      <c r="D13" s="167">
        <v>12</v>
      </c>
      <c r="E13" s="167">
        <v>9</v>
      </c>
      <c r="F13" s="440">
        <v>69</v>
      </c>
      <c r="G13" s="440">
        <v>34</v>
      </c>
      <c r="H13" s="440">
        <v>23</v>
      </c>
      <c r="I13" s="440">
        <v>15</v>
      </c>
      <c r="J13" s="440">
        <v>11</v>
      </c>
      <c r="K13" s="440">
        <v>11</v>
      </c>
      <c r="L13" s="672">
        <v>23622.85</v>
      </c>
      <c r="M13" s="672">
        <v>22285.7</v>
      </c>
      <c r="N13" s="672">
        <v>144645.71</v>
      </c>
      <c r="O13" s="672">
        <v>81693.27</v>
      </c>
      <c r="P13" s="672">
        <v>0</v>
      </c>
      <c r="Q13" s="672">
        <v>2674.29</v>
      </c>
      <c r="R13" s="672">
        <v>9142.8799999999992</v>
      </c>
      <c r="S13" s="441">
        <v>8000.02</v>
      </c>
      <c r="T13" s="672">
        <v>11009.54</v>
      </c>
      <c r="U13" s="672">
        <v>6114.28</v>
      </c>
      <c r="V13" s="672">
        <v>0</v>
      </c>
      <c r="W13" s="672">
        <v>3428.57</v>
      </c>
      <c r="X13" s="672">
        <v>0</v>
      </c>
      <c r="Y13" s="672">
        <v>0</v>
      </c>
      <c r="Z13" s="672">
        <v>0</v>
      </c>
      <c r="AA13" s="672">
        <v>0</v>
      </c>
      <c r="AB13" s="672">
        <f t="shared" si="0"/>
        <v>188420.98</v>
      </c>
      <c r="AC13" s="673">
        <f t="shared" si="1"/>
        <v>124196.13</v>
      </c>
    </row>
    <row r="14" spans="1:32" x14ac:dyDescent="0.15">
      <c r="A14" s="437" t="s">
        <v>7</v>
      </c>
      <c r="B14" s="165">
        <v>32</v>
      </c>
      <c r="C14" s="440">
        <v>18</v>
      </c>
      <c r="D14" s="440">
        <v>7</v>
      </c>
      <c r="E14" s="440">
        <v>5</v>
      </c>
      <c r="F14" s="440">
        <v>74</v>
      </c>
      <c r="G14" s="440">
        <v>46</v>
      </c>
      <c r="H14" s="440">
        <v>32</v>
      </c>
      <c r="I14" s="440">
        <v>16</v>
      </c>
      <c r="J14" s="440">
        <v>7</v>
      </c>
      <c r="K14" s="440">
        <v>7</v>
      </c>
      <c r="L14" s="672">
        <v>33428.559999999998</v>
      </c>
      <c r="M14" s="672">
        <v>10285.709999999999</v>
      </c>
      <c r="N14" s="672">
        <v>145066.65</v>
      </c>
      <c r="O14" s="672">
        <v>105832.3</v>
      </c>
      <c r="P14" s="672">
        <v>0</v>
      </c>
      <c r="Q14" s="672">
        <v>1142.8599999999999</v>
      </c>
      <c r="R14" s="672">
        <v>9142.8799999999992</v>
      </c>
      <c r="S14" s="441">
        <v>12571.46</v>
      </c>
      <c r="T14" s="672">
        <v>3914.29</v>
      </c>
      <c r="U14" s="672">
        <v>8628.59</v>
      </c>
      <c r="V14" s="672">
        <v>0</v>
      </c>
      <c r="W14" s="672">
        <v>3428.57</v>
      </c>
      <c r="X14" s="672">
        <v>0</v>
      </c>
      <c r="Y14" s="672">
        <v>0</v>
      </c>
      <c r="Z14" s="672">
        <v>0</v>
      </c>
      <c r="AA14" s="672">
        <v>0</v>
      </c>
      <c r="AB14" s="672">
        <f t="shared" si="0"/>
        <v>191552.38</v>
      </c>
      <c r="AC14" s="673">
        <f t="shared" si="1"/>
        <v>141889.49</v>
      </c>
    </row>
    <row r="15" spans="1:32" x14ac:dyDescent="0.15">
      <c r="A15" s="437" t="s">
        <v>9</v>
      </c>
      <c r="B15" s="165">
        <v>31</v>
      </c>
      <c r="C15" s="168">
        <v>26</v>
      </c>
      <c r="D15" s="168">
        <v>4</v>
      </c>
      <c r="E15" s="168">
        <v>4</v>
      </c>
      <c r="F15" s="440">
        <v>75</v>
      </c>
      <c r="G15" s="440">
        <v>62</v>
      </c>
      <c r="H15" s="440">
        <v>21</v>
      </c>
      <c r="I15" s="440">
        <v>18</v>
      </c>
      <c r="J15" s="440">
        <v>14</v>
      </c>
      <c r="K15" s="440">
        <v>12</v>
      </c>
      <c r="L15" s="672">
        <v>32777.129999999997</v>
      </c>
      <c r="M15" s="672">
        <v>33428.559999999998</v>
      </c>
      <c r="N15" s="672">
        <v>114971.41</v>
      </c>
      <c r="O15" s="672">
        <v>70777.37</v>
      </c>
      <c r="P15" s="672">
        <v>0</v>
      </c>
      <c r="Q15" s="672">
        <v>3428.57</v>
      </c>
      <c r="R15" s="672">
        <v>6857.16</v>
      </c>
      <c r="S15" s="441">
        <v>6857.16</v>
      </c>
      <c r="T15" s="672">
        <v>5314.3</v>
      </c>
      <c r="U15" s="672">
        <v>6400</v>
      </c>
      <c r="V15" s="672">
        <v>11428.57</v>
      </c>
      <c r="W15" s="672">
        <v>0</v>
      </c>
      <c r="X15" s="672">
        <v>0</v>
      </c>
      <c r="Y15" s="672">
        <v>0</v>
      </c>
      <c r="Z15" s="672">
        <v>0</v>
      </c>
      <c r="AA15" s="672">
        <v>0</v>
      </c>
      <c r="AB15" s="672">
        <f t="shared" si="0"/>
        <v>171348.57</v>
      </c>
      <c r="AC15" s="673">
        <f t="shared" si="1"/>
        <v>120891.65999999999</v>
      </c>
    </row>
    <row r="16" spans="1:32" x14ac:dyDescent="0.15">
      <c r="A16" s="437" t="s">
        <v>10</v>
      </c>
      <c r="B16" s="165">
        <v>35</v>
      </c>
      <c r="C16" s="165">
        <v>34</v>
      </c>
      <c r="D16" s="165">
        <v>4</v>
      </c>
      <c r="E16" s="165">
        <v>6</v>
      </c>
      <c r="F16" s="440">
        <v>83</v>
      </c>
      <c r="G16" s="440">
        <v>80</v>
      </c>
      <c r="H16" s="440">
        <v>27</v>
      </c>
      <c r="I16" s="440">
        <v>20</v>
      </c>
      <c r="J16" s="440">
        <v>12</v>
      </c>
      <c r="K16" s="440">
        <v>20</v>
      </c>
      <c r="L16" s="672">
        <f>'[1]1. RESUMEN DE PAGADOS '!G16</f>
        <v>37028.550000000003</v>
      </c>
      <c r="M16" s="672">
        <v>57599.98</v>
      </c>
      <c r="N16" s="672">
        <f>'[1]1. RESUMEN DE PAGADOS '!H16</f>
        <v>162254.36000000002</v>
      </c>
      <c r="O16" s="672">
        <v>172942.81</v>
      </c>
      <c r="P16" s="672">
        <f>'[1]1. RESUMEN DE PAGADOS '!J16</f>
        <v>1142.8599999999999</v>
      </c>
      <c r="Q16" s="672">
        <v>2285.71</v>
      </c>
      <c r="R16" s="672">
        <f>'[1]1. RESUMEN DE PAGADOS '!L16</f>
        <v>6857.16</v>
      </c>
      <c r="S16" s="441">
        <v>3428.58</v>
      </c>
      <c r="T16" s="672">
        <f>'[1]2. RESUMEN PAG VRS APORTES'!D15</f>
        <v>4171.4399999999996</v>
      </c>
      <c r="U16" s="672">
        <v>571.42999999999995</v>
      </c>
      <c r="V16" s="672">
        <v>0</v>
      </c>
      <c r="W16" s="672">
        <v>11428.57</v>
      </c>
      <c r="X16" s="672">
        <v>0</v>
      </c>
      <c r="Y16" s="672">
        <v>0</v>
      </c>
      <c r="Z16" s="672">
        <v>0</v>
      </c>
      <c r="AA16" s="672">
        <v>0</v>
      </c>
      <c r="AB16" s="672">
        <f>L16+N16+P16+R16+T16+V16</f>
        <v>211454.37000000002</v>
      </c>
      <c r="AC16" s="673">
        <f t="shared" si="1"/>
        <v>248257.08000000002</v>
      </c>
    </row>
    <row r="17" spans="1:32" x14ac:dyDescent="0.15">
      <c r="A17" s="437" t="s">
        <v>11</v>
      </c>
      <c r="B17" s="165">
        <f>'1. RESUMEN DE PAGADOS '!B17</f>
        <v>33</v>
      </c>
      <c r="C17" s="165">
        <v>24</v>
      </c>
      <c r="D17" s="165">
        <f>'1. RESUMEN DE PAGADOS '!C17</f>
        <v>7</v>
      </c>
      <c r="E17" s="165">
        <v>3</v>
      </c>
      <c r="F17" s="440">
        <f>'1. RESUMEN DE PAGADOS '!D17</f>
        <v>69</v>
      </c>
      <c r="G17" s="440">
        <v>62</v>
      </c>
      <c r="H17" s="440">
        <f>'1. RESUMEN DE PAGADOS '!E17</f>
        <v>30</v>
      </c>
      <c r="I17" s="440">
        <v>16</v>
      </c>
      <c r="J17" s="440">
        <f>'1. RESUMEN DE PAGADOS '!F17</f>
        <v>10</v>
      </c>
      <c r="K17" s="440">
        <v>11</v>
      </c>
      <c r="L17" s="672">
        <f>'1. RESUMEN DE PAGADOS '!G17</f>
        <v>26502.84</v>
      </c>
      <c r="M17" s="672">
        <v>43131.41</v>
      </c>
      <c r="N17" s="672">
        <f>'1. RESUMEN DE PAGADOS '!H17</f>
        <v>123702.84999999999</v>
      </c>
      <c r="O17" s="672">
        <v>77085.83</v>
      </c>
      <c r="P17" s="672">
        <v>0</v>
      </c>
      <c r="Q17" s="672">
        <v>1142.8599999999999</v>
      </c>
      <c r="R17" s="672">
        <f>'2. RESUMEN PAG VRS APORTES'!M16</f>
        <v>5714.2999999999993</v>
      </c>
      <c r="S17" s="441">
        <v>6857.16</v>
      </c>
      <c r="T17" s="672">
        <f>'1. RESUMEN DE PAGADOS '!M17</f>
        <v>6628.59</v>
      </c>
      <c r="U17" s="672">
        <v>4171.4399999999996</v>
      </c>
      <c r="V17" s="672">
        <f>'1. RESUMEN DE PAGADOS '!N17</f>
        <v>3428.57</v>
      </c>
      <c r="W17" s="672">
        <v>2742.85</v>
      </c>
      <c r="X17" s="672">
        <v>0</v>
      </c>
      <c r="Y17" s="672">
        <v>0</v>
      </c>
      <c r="Z17" s="672">
        <f>'1. RESUMEN DE PAGADOS '!Q17</f>
        <v>4001.98</v>
      </c>
      <c r="AA17" s="672">
        <v>0</v>
      </c>
      <c r="AB17" s="672">
        <f>L17+N17+P17+R17+T17+V17+Z17</f>
        <v>169979.13</v>
      </c>
      <c r="AC17" s="673">
        <f>+W17+U17+S17+Q17+O17+M17+Y17+AA17</f>
        <v>135131.54999999999</v>
      </c>
    </row>
    <row r="18" spans="1:32" x14ac:dyDescent="0.15">
      <c r="A18" s="442" t="s">
        <v>14</v>
      </c>
      <c r="B18" s="165">
        <f>'1. RESUMEN DE PAGADOS '!B18</f>
        <v>35</v>
      </c>
      <c r="C18" s="167">
        <v>19</v>
      </c>
      <c r="D18" s="165">
        <f>'1. RESUMEN DE PAGADOS '!C18</f>
        <v>6</v>
      </c>
      <c r="E18" s="167">
        <v>2</v>
      </c>
      <c r="F18" s="440">
        <f>'1. RESUMEN DE PAGADOS '!D18</f>
        <v>90</v>
      </c>
      <c r="G18" s="440">
        <v>36</v>
      </c>
      <c r="H18" s="440">
        <f>'1. RESUMEN DE PAGADOS '!E18</f>
        <v>21</v>
      </c>
      <c r="I18" s="440">
        <v>13</v>
      </c>
      <c r="J18" s="440">
        <f>'1. RESUMEN DE PAGADOS '!F18</f>
        <v>20</v>
      </c>
      <c r="K18" s="440">
        <v>8</v>
      </c>
      <c r="L18" s="672">
        <f>'1. RESUMEN DE PAGADOS '!G18</f>
        <v>53828.540000000015</v>
      </c>
      <c r="M18" s="672">
        <v>50571.41</v>
      </c>
      <c r="N18" s="672">
        <f>'1. RESUMEN DE PAGADOS '!H18</f>
        <v>149045.68000000002</v>
      </c>
      <c r="O18" s="672">
        <v>55622.82</v>
      </c>
      <c r="P18" s="672">
        <f>'1. RESUMEN DE PAGADOS '!J18</f>
        <v>3428.5799999999995</v>
      </c>
      <c r="Q18" s="672">
        <v>1142.8599999999999</v>
      </c>
      <c r="R18" s="672">
        <f>'2. RESUMEN PAG VRS APORTES'!M17</f>
        <v>13714.32</v>
      </c>
      <c r="S18" s="441">
        <v>10285.74</v>
      </c>
      <c r="T18" s="672">
        <f>'1. RESUMEN DE PAGADOS '!M18</f>
        <v>6057.16</v>
      </c>
      <c r="U18" s="672">
        <v>8028.58</v>
      </c>
      <c r="V18" s="672">
        <f>'1. RESUMEN DE PAGADOS '!N18</f>
        <v>0</v>
      </c>
      <c r="W18" s="672">
        <v>0</v>
      </c>
      <c r="X18" s="672">
        <v>0</v>
      </c>
      <c r="Y18" s="672">
        <v>0</v>
      </c>
      <c r="Z18" s="672">
        <f>'1. RESUMEN DE PAGADOS '!Q18</f>
        <v>0</v>
      </c>
      <c r="AA18" s="672">
        <v>0</v>
      </c>
      <c r="AB18" s="672">
        <f t="shared" ref="AB18:AB21" si="2">L18+N18+P18+R18+T18+V18+Z18</f>
        <v>226074.28000000003</v>
      </c>
      <c r="AC18" s="673">
        <f t="shared" ref="AC18:AC21" si="3">+W18+U18+S18+Q18+O18+M18+Y18+AA18</f>
        <v>125651.41</v>
      </c>
    </row>
    <row r="19" spans="1:32" x14ac:dyDescent="0.15">
      <c r="A19" s="443" t="s">
        <v>232</v>
      </c>
      <c r="B19" s="444"/>
      <c r="C19" s="444">
        <v>20</v>
      </c>
      <c r="D19" s="444"/>
      <c r="E19" s="444">
        <v>3</v>
      </c>
      <c r="F19" s="440"/>
      <c r="G19" s="440">
        <v>46</v>
      </c>
      <c r="H19" s="440"/>
      <c r="I19" s="440">
        <v>9</v>
      </c>
      <c r="J19" s="440"/>
      <c r="K19" s="440">
        <v>14</v>
      </c>
      <c r="L19" s="672"/>
      <c r="M19" s="672">
        <v>18685.71</v>
      </c>
      <c r="N19" s="672"/>
      <c r="O19" s="672">
        <v>63931.41</v>
      </c>
      <c r="P19" s="672"/>
      <c r="Q19" s="672">
        <v>0</v>
      </c>
      <c r="R19" s="672"/>
      <c r="S19" s="441">
        <v>9142.8799999999992</v>
      </c>
      <c r="T19" s="672"/>
      <c r="U19" s="672">
        <v>7657.16</v>
      </c>
      <c r="V19" s="672"/>
      <c r="W19" s="672">
        <v>0</v>
      </c>
      <c r="X19" s="672"/>
      <c r="Y19" s="672">
        <v>0</v>
      </c>
      <c r="Z19" s="672"/>
      <c r="AA19" s="672">
        <v>0</v>
      </c>
      <c r="AB19" s="672">
        <f t="shared" si="2"/>
        <v>0</v>
      </c>
      <c r="AC19" s="673">
        <f t="shared" si="3"/>
        <v>99417.16</v>
      </c>
    </row>
    <row r="20" spans="1:32" x14ac:dyDescent="0.15">
      <c r="A20" s="445" t="s">
        <v>233</v>
      </c>
      <c r="B20" s="440"/>
      <c r="C20" s="440">
        <v>24</v>
      </c>
      <c r="D20" s="440"/>
      <c r="E20" s="440">
        <v>3</v>
      </c>
      <c r="F20" s="440"/>
      <c r="G20" s="440">
        <v>42</v>
      </c>
      <c r="H20" s="440"/>
      <c r="I20" s="440">
        <v>16</v>
      </c>
      <c r="J20" s="440"/>
      <c r="K20" s="440">
        <v>11</v>
      </c>
      <c r="L20" s="672"/>
      <c r="M20" s="672">
        <v>26845.72</v>
      </c>
      <c r="N20" s="672"/>
      <c r="O20" s="672">
        <v>101514.19</v>
      </c>
      <c r="P20" s="672"/>
      <c r="Q20" s="672">
        <v>0</v>
      </c>
      <c r="R20" s="672"/>
      <c r="S20" s="441">
        <v>11428.6</v>
      </c>
      <c r="T20" s="672"/>
      <c r="U20" s="672">
        <v>6838.1</v>
      </c>
      <c r="V20" s="672"/>
      <c r="W20" s="672">
        <v>8380.9500000000007</v>
      </c>
      <c r="X20" s="672"/>
      <c r="Y20" s="672">
        <v>4571.43</v>
      </c>
      <c r="Z20" s="672"/>
      <c r="AA20" s="672">
        <v>0</v>
      </c>
      <c r="AB20" s="672">
        <f t="shared" si="2"/>
        <v>0</v>
      </c>
      <c r="AC20" s="673">
        <f t="shared" si="3"/>
        <v>159578.99</v>
      </c>
      <c r="AD20" s="170"/>
    </row>
    <row r="21" spans="1:32" ht="9" thickBot="1" x14ac:dyDescent="0.2">
      <c r="A21" s="446" t="s">
        <v>234</v>
      </c>
      <c r="B21" s="447"/>
      <c r="C21" s="447">
        <v>18</v>
      </c>
      <c r="D21" s="447"/>
      <c r="E21" s="447">
        <v>1</v>
      </c>
      <c r="F21" s="447"/>
      <c r="G21" s="447">
        <v>39</v>
      </c>
      <c r="H21" s="447"/>
      <c r="I21" s="447">
        <v>12</v>
      </c>
      <c r="J21" s="447"/>
      <c r="K21" s="447">
        <v>7</v>
      </c>
      <c r="L21" s="672"/>
      <c r="M21" s="675">
        <v>19714.28</v>
      </c>
      <c r="N21" s="672"/>
      <c r="O21" s="675">
        <v>87965.72</v>
      </c>
      <c r="P21" s="675"/>
      <c r="Q21" s="675">
        <v>16715.61</v>
      </c>
      <c r="R21" s="675"/>
      <c r="S21" s="448">
        <v>4571.4399999999996</v>
      </c>
      <c r="T21" s="675"/>
      <c r="U21" s="675">
        <v>3157.15</v>
      </c>
      <c r="V21" s="672"/>
      <c r="W21" s="675">
        <v>0</v>
      </c>
      <c r="X21" s="675"/>
      <c r="Y21" s="675">
        <v>0</v>
      </c>
      <c r="Z21" s="672"/>
      <c r="AA21" s="675">
        <v>0</v>
      </c>
      <c r="AB21" s="672">
        <f t="shared" si="2"/>
        <v>0</v>
      </c>
      <c r="AC21" s="673">
        <f t="shared" si="3"/>
        <v>132124.20000000001</v>
      </c>
      <c r="AD21" s="170"/>
    </row>
    <row r="22" spans="1:32" ht="14.25" customHeight="1" thickBot="1" x14ac:dyDescent="0.2">
      <c r="A22" s="438" t="s">
        <v>0</v>
      </c>
      <c r="B22" s="438">
        <f t="shared" ref="B22:H22" si="4">SUM(B10:B21)</f>
        <v>188</v>
      </c>
      <c r="C22" s="438">
        <f>SUM(C10:C21)</f>
        <v>213</v>
      </c>
      <c r="D22" s="438">
        <f t="shared" si="4"/>
        <v>109</v>
      </c>
      <c r="E22" s="438">
        <f>SUM(E10:E21)</f>
        <v>94</v>
      </c>
      <c r="F22" s="438">
        <f t="shared" si="4"/>
        <v>627</v>
      </c>
      <c r="G22" s="438">
        <f>SUM(G10:G21)</f>
        <v>607</v>
      </c>
      <c r="H22" s="438">
        <f t="shared" si="4"/>
        <v>186</v>
      </c>
      <c r="I22" s="438">
        <f>SUM(I10:I21)</f>
        <v>175</v>
      </c>
      <c r="J22" s="438">
        <f t="shared" ref="J22:X22" si="5">SUM(J10:J21)</f>
        <v>111</v>
      </c>
      <c r="K22" s="438">
        <f>SUM(K10:K21)</f>
        <v>132</v>
      </c>
      <c r="L22" s="674">
        <f t="shared" si="5"/>
        <v>305074.15000000002</v>
      </c>
      <c r="M22" s="674">
        <f>SUM(M10:M21)</f>
        <v>359862.7300000001</v>
      </c>
      <c r="N22" s="674">
        <f t="shared" si="5"/>
        <v>1167415.06</v>
      </c>
      <c r="O22" s="674">
        <f>SUM(O10:O21)</f>
        <v>1082125.1299999999</v>
      </c>
      <c r="P22" s="674">
        <f t="shared" si="5"/>
        <v>4571.4399999999996</v>
      </c>
      <c r="Q22" s="674">
        <f>SUM(Q10:Q21)</f>
        <v>28532.760000000002</v>
      </c>
      <c r="R22" s="674">
        <f t="shared" si="5"/>
        <v>80000.200000000012</v>
      </c>
      <c r="S22" s="449">
        <f t="shared" si="5"/>
        <v>101714.54000000002</v>
      </c>
      <c r="T22" s="674">
        <f t="shared" si="5"/>
        <v>57600.130000000005</v>
      </c>
      <c r="U22" s="674">
        <f t="shared" si="5"/>
        <v>68404.89</v>
      </c>
      <c r="V22" s="674">
        <f>SUM(V10:V21)</f>
        <v>34857.14</v>
      </c>
      <c r="W22" s="674">
        <f t="shared" si="5"/>
        <v>40838.080000000002</v>
      </c>
      <c r="X22" s="674">
        <f t="shared" si="5"/>
        <v>0</v>
      </c>
      <c r="Y22" s="674">
        <f>SUM(Y10:Y21)</f>
        <v>4571.43</v>
      </c>
      <c r="Z22" s="674">
        <f>SUM(Z10:Z21)</f>
        <v>4001.98</v>
      </c>
      <c r="AA22" s="674">
        <f t="shared" ref="AA22" si="6">SUM(AA10:AA21)</f>
        <v>0</v>
      </c>
      <c r="AB22" s="674">
        <f>SUM(AB10:AB21)</f>
        <v>1653520.1000000003</v>
      </c>
      <c r="AC22" s="674">
        <f>SUM(AC10:AC21)</f>
        <v>1686049.5599999998</v>
      </c>
    </row>
    <row r="23" spans="1:32" ht="12" customHeight="1" thickTop="1" x14ac:dyDescent="0.15">
      <c r="A23" s="472" t="s">
        <v>325</v>
      </c>
      <c r="N23" s="171"/>
      <c r="O23" s="171"/>
      <c r="P23" s="171"/>
      <c r="Q23" s="171"/>
      <c r="AB23" s="172"/>
      <c r="AC23" s="172" t="s">
        <v>321</v>
      </c>
      <c r="AD23" s="173"/>
      <c r="AE23" s="161" t="s">
        <v>13</v>
      </c>
    </row>
    <row r="24" spans="1:32" x14ac:dyDescent="0.15">
      <c r="A24" s="174"/>
      <c r="D24" s="174"/>
      <c r="E24" s="174"/>
      <c r="F24" s="174"/>
      <c r="G24" s="174"/>
      <c r="H24" s="174"/>
      <c r="I24" s="174"/>
      <c r="J24" s="174"/>
      <c r="K24" s="174"/>
      <c r="N24" s="174"/>
      <c r="O24" s="174"/>
      <c r="AB24" s="175"/>
      <c r="AC24" s="175"/>
      <c r="AD24" s="173"/>
    </row>
    <row r="25" spans="1:32" x14ac:dyDescent="0.15">
      <c r="A25" s="174" t="s">
        <v>169</v>
      </c>
      <c r="B25" s="161" t="s">
        <v>250</v>
      </c>
      <c r="D25" s="174"/>
      <c r="E25" s="174"/>
      <c r="F25" s="174"/>
      <c r="G25" s="174"/>
      <c r="H25" s="174"/>
      <c r="I25" s="174"/>
      <c r="J25" s="174"/>
      <c r="K25" s="174"/>
      <c r="N25" s="174"/>
      <c r="O25" s="174"/>
      <c r="AB25" s="175"/>
      <c r="AC25" s="175"/>
      <c r="AD25" s="173"/>
    </row>
    <row r="26" spans="1:32" x14ac:dyDescent="0.15">
      <c r="A26" s="174"/>
      <c r="D26" s="174"/>
      <c r="E26" s="174"/>
      <c r="F26" s="174"/>
      <c r="G26" s="174"/>
      <c r="H26" s="174"/>
      <c r="I26" s="174"/>
      <c r="J26" s="174"/>
      <c r="K26" s="174"/>
      <c r="N26" s="174"/>
      <c r="O26" s="174"/>
      <c r="AB26" s="175"/>
      <c r="AC26" s="175"/>
      <c r="AD26" s="173"/>
    </row>
    <row r="27" spans="1:32" x14ac:dyDescent="0.15">
      <c r="A27" s="174"/>
      <c r="D27" s="174"/>
      <c r="E27" s="174"/>
      <c r="F27" s="174"/>
      <c r="G27" s="174"/>
      <c r="H27" s="174"/>
      <c r="I27" s="174"/>
      <c r="J27" s="174"/>
      <c r="K27" s="174"/>
      <c r="N27" s="174"/>
      <c r="O27" s="174"/>
      <c r="AB27" s="175"/>
      <c r="AC27" s="175"/>
      <c r="AD27" s="173"/>
    </row>
    <row r="28" spans="1:32" x14ac:dyDescent="0.15">
      <c r="A28" s="174"/>
      <c r="D28" s="174"/>
      <c r="E28" s="174"/>
      <c r="F28" s="174"/>
      <c r="G28" s="174"/>
      <c r="H28" s="174"/>
      <c r="I28" s="174"/>
      <c r="J28" s="174"/>
      <c r="K28" s="174"/>
      <c r="N28" s="174"/>
      <c r="O28" s="174"/>
      <c r="AB28" s="175"/>
      <c r="AC28" s="175"/>
      <c r="AD28" s="173"/>
    </row>
    <row r="29" spans="1:32" x14ac:dyDescent="0.15">
      <c r="A29" s="174"/>
      <c r="D29" s="174"/>
      <c r="E29" s="174"/>
      <c r="F29" s="174"/>
      <c r="G29" s="174"/>
      <c r="H29" s="174"/>
      <c r="I29" s="174"/>
      <c r="J29" s="174"/>
      <c r="K29" s="174"/>
      <c r="N29" s="174"/>
      <c r="O29" s="174"/>
      <c r="AB29" s="175"/>
      <c r="AC29" s="175"/>
      <c r="AD29" s="173"/>
    </row>
    <row r="30" spans="1:32" x14ac:dyDescent="0.15">
      <c r="A30" s="174"/>
      <c r="D30" s="174"/>
      <c r="E30" s="174"/>
      <c r="F30" s="174"/>
      <c r="G30" s="174"/>
      <c r="H30" s="174"/>
      <c r="I30" s="174"/>
      <c r="J30" s="174"/>
      <c r="K30" s="174"/>
      <c r="N30" s="174"/>
      <c r="O30" s="174"/>
      <c r="Y30" s="172" t="s">
        <v>170</v>
      </c>
      <c r="AB30" s="175"/>
      <c r="AC30" s="175"/>
      <c r="AD30" s="173"/>
    </row>
    <row r="31" spans="1:32" x14ac:dyDescent="0.15">
      <c r="A31" s="174"/>
      <c r="D31" s="174"/>
      <c r="E31" s="174"/>
      <c r="F31" s="174"/>
      <c r="G31" s="174"/>
      <c r="H31" s="174"/>
      <c r="I31" s="174"/>
      <c r="J31" s="174"/>
      <c r="K31" s="174"/>
      <c r="N31" s="174"/>
      <c r="O31" s="174"/>
      <c r="Z31" s="161" t="s">
        <v>171</v>
      </c>
      <c r="AB31" s="175"/>
      <c r="AC31" s="175"/>
      <c r="AD31" s="173"/>
    </row>
    <row r="32" spans="1:32" x14ac:dyDescent="0.15">
      <c r="Z32" s="161" t="s">
        <v>172</v>
      </c>
      <c r="AF32" s="161" t="s">
        <v>13</v>
      </c>
    </row>
    <row r="33" spans="1:29" x14ac:dyDescent="0.15">
      <c r="A33" s="171"/>
      <c r="B33" s="172"/>
      <c r="C33" s="172"/>
    </row>
    <row r="34" spans="1:29" x14ac:dyDescent="0.15">
      <c r="A34" s="171"/>
    </row>
    <row r="35" spans="1:29" x14ac:dyDescent="0.15">
      <c r="AB35" s="176"/>
      <c r="AC35" s="176"/>
    </row>
    <row r="36" spans="1:29" x14ac:dyDescent="0.15">
      <c r="AB36" s="176"/>
      <c r="AC36" s="176"/>
    </row>
    <row r="37" spans="1:29" x14ac:dyDescent="0.15">
      <c r="AB37" s="176"/>
      <c r="AC37" s="176"/>
    </row>
    <row r="40" spans="1:29" x14ac:dyDescent="0.15">
      <c r="L40" s="173"/>
      <c r="M40" s="173"/>
    </row>
    <row r="41" spans="1:29" x14ac:dyDescent="0.15">
      <c r="L41" s="173"/>
      <c r="M41" s="173"/>
    </row>
    <row r="45" spans="1:29" x14ac:dyDescent="0.15">
      <c r="B45" s="171"/>
      <c r="C45" s="171"/>
    </row>
  </sheetData>
  <mergeCells count="2">
    <mergeCell ref="A6:AB6"/>
    <mergeCell ref="A7:AB7"/>
  </mergeCells>
  <pageMargins left="0.11811023622047245" right="0.11811023622047245" top="0.74803149606299213" bottom="0.74803149606299213" header="0.31496062992125984" footer="0.31496062992125984"/>
  <pageSetup paperSize="4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2"/>
  <sheetViews>
    <sheetView workbookViewId="0">
      <selection activeCell="W1" sqref="A1:W49"/>
    </sheetView>
  </sheetViews>
  <sheetFormatPr baseColWidth="10" defaultRowHeight="12.75" x14ac:dyDescent="0.2"/>
  <cols>
    <col min="1" max="1" width="3.140625" style="3" customWidth="1"/>
    <col min="2" max="2" width="10.140625" style="3" customWidth="1"/>
    <col min="3" max="3" width="4.140625" style="3" customWidth="1"/>
    <col min="4" max="4" width="4.85546875" style="3" customWidth="1"/>
    <col min="5" max="5" width="8.28515625" style="3" customWidth="1"/>
    <col min="6" max="6" width="3.42578125" style="3" customWidth="1"/>
    <col min="7" max="7" width="4.85546875" style="3" customWidth="1"/>
    <col min="8" max="8" width="28" style="3" customWidth="1"/>
    <col min="9" max="10" width="4.28515625" style="3" customWidth="1"/>
    <col min="11" max="11" width="8.7109375" style="3" customWidth="1"/>
    <col min="12" max="13" width="3.85546875" style="3" customWidth="1"/>
    <col min="14" max="14" width="8.5703125" style="3" customWidth="1"/>
    <col min="15" max="15" width="4.140625" style="3" customWidth="1"/>
    <col min="16" max="16" width="6" style="3" customWidth="1"/>
    <col min="17" max="18" width="6.42578125" style="3" customWidth="1"/>
    <col min="19" max="19" width="10" style="3" customWidth="1"/>
    <col min="20" max="20" width="4.42578125" style="3" customWidth="1"/>
    <col min="21" max="21" width="3.28515625" style="3" customWidth="1"/>
    <col min="22" max="23" width="7.140625" style="3" customWidth="1"/>
    <col min="24" max="16384" width="11.42578125" style="3"/>
  </cols>
  <sheetData>
    <row r="1" spans="1:34" ht="12" customHeight="1" x14ac:dyDescent="0.2">
      <c r="B1" s="727" t="s">
        <v>33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727"/>
      <c r="T1" s="727"/>
      <c r="U1" s="727"/>
      <c r="V1" s="727"/>
      <c r="W1" s="3" t="s">
        <v>190</v>
      </c>
    </row>
    <row r="2" spans="1:34" x14ac:dyDescent="0.2">
      <c r="B2" s="727" t="s">
        <v>329</v>
      </c>
      <c r="C2" s="727"/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  <c r="O2" s="727"/>
      <c r="P2" s="727"/>
      <c r="Q2" s="727"/>
      <c r="R2" s="727"/>
      <c r="S2" s="727"/>
      <c r="T2" s="727"/>
      <c r="U2" s="727"/>
      <c r="V2" s="727"/>
    </row>
    <row r="3" spans="1:34" x14ac:dyDescent="0.2">
      <c r="B3" s="699" t="s">
        <v>34</v>
      </c>
      <c r="C3" s="728"/>
      <c r="D3" s="366"/>
      <c r="E3" s="346"/>
      <c r="F3" s="346"/>
      <c r="G3" s="346"/>
      <c r="H3" s="699" t="s">
        <v>35</v>
      </c>
      <c r="I3" s="728"/>
      <c r="J3" s="366"/>
      <c r="K3" s="700" t="s">
        <v>36</v>
      </c>
      <c r="L3" s="699"/>
      <c r="M3" s="346"/>
      <c r="N3" s="729" t="s">
        <v>37</v>
      </c>
      <c r="O3" s="730"/>
      <c r="P3" s="730"/>
      <c r="Q3" s="730"/>
      <c r="R3" s="730"/>
      <c r="S3" s="730"/>
      <c r="T3" s="730"/>
      <c r="U3" s="730"/>
      <c r="V3" s="728"/>
      <c r="W3" s="434"/>
    </row>
    <row r="4" spans="1:34" ht="21.75" customHeight="1" x14ac:dyDescent="0.2">
      <c r="B4" s="736" t="s">
        <v>38</v>
      </c>
      <c r="C4" s="737"/>
      <c r="D4" s="367"/>
      <c r="E4" s="697" t="s">
        <v>39</v>
      </c>
      <c r="F4" s="697"/>
      <c r="G4" s="737"/>
      <c r="H4" s="736" t="s">
        <v>40</v>
      </c>
      <c r="I4" s="697"/>
      <c r="J4" s="367"/>
      <c r="K4" s="737" t="s">
        <v>41</v>
      </c>
      <c r="L4" s="736"/>
      <c r="M4" s="367"/>
      <c r="N4" s="738" t="s">
        <v>42</v>
      </c>
      <c r="O4" s="739"/>
      <c r="P4" s="435"/>
      <c r="Q4" s="732" t="s">
        <v>43</v>
      </c>
      <c r="R4" s="733"/>
      <c r="S4" s="729" t="s">
        <v>44</v>
      </c>
      <c r="T4" s="730"/>
      <c r="U4" s="731"/>
      <c r="V4" s="732" t="s">
        <v>45</v>
      </c>
      <c r="W4" s="733"/>
    </row>
    <row r="5" spans="1:34" ht="21" customHeight="1" x14ac:dyDescent="0.2">
      <c r="B5" s="425"/>
      <c r="C5" s="426">
        <v>2019</v>
      </c>
      <c r="D5" s="427">
        <v>2018</v>
      </c>
      <c r="E5" s="428"/>
      <c r="F5" s="426">
        <v>2019</v>
      </c>
      <c r="G5" s="426">
        <v>2018</v>
      </c>
      <c r="H5" s="425"/>
      <c r="I5" s="429">
        <v>2019</v>
      </c>
      <c r="J5" s="430">
        <v>2018</v>
      </c>
      <c r="K5" s="431"/>
      <c r="L5" s="429">
        <v>2019</v>
      </c>
      <c r="M5" s="430">
        <v>2018</v>
      </c>
      <c r="N5" s="432"/>
      <c r="O5" s="429">
        <v>2019</v>
      </c>
      <c r="P5" s="430">
        <v>2018</v>
      </c>
      <c r="Q5" s="31">
        <v>2019</v>
      </c>
      <c r="R5" s="31">
        <v>2018</v>
      </c>
      <c r="S5" s="433"/>
      <c r="T5" s="429">
        <v>2019</v>
      </c>
      <c r="U5" s="430">
        <v>2018</v>
      </c>
      <c r="V5" s="123">
        <v>2019</v>
      </c>
      <c r="W5" s="56">
        <v>2018</v>
      </c>
    </row>
    <row r="6" spans="1:34" ht="18.75" customHeight="1" x14ac:dyDescent="0.2">
      <c r="B6" s="177" t="s">
        <v>46</v>
      </c>
      <c r="C6" s="178">
        <f>1+1+2+1+1</f>
        <v>6</v>
      </c>
      <c r="D6" s="178">
        <v>2</v>
      </c>
      <c r="E6" s="179" t="s">
        <v>173</v>
      </c>
      <c r="F6" s="180">
        <f>3+10+9+9+12+3+10+3+13</f>
        <v>72</v>
      </c>
      <c r="G6" s="180">
        <v>97</v>
      </c>
      <c r="H6" s="423" t="s">
        <v>174</v>
      </c>
      <c r="I6" s="178">
        <f>3+1+3</f>
        <v>7</v>
      </c>
      <c r="J6" s="178">
        <v>1</v>
      </c>
      <c r="K6" s="178" t="s">
        <v>289</v>
      </c>
      <c r="L6" s="181">
        <f>2+5+2+2+1+6</f>
        <v>18</v>
      </c>
      <c r="M6" s="181">
        <v>22</v>
      </c>
      <c r="N6" s="164">
        <v>1142.8599999999999</v>
      </c>
      <c r="O6" s="182">
        <f>4+5+2+6+6+1+8+3+5</f>
        <v>40</v>
      </c>
      <c r="P6" s="182">
        <v>48</v>
      </c>
      <c r="Q6" s="164">
        <v>1142.8599999999999</v>
      </c>
      <c r="R6" s="164">
        <v>1142.8599999999999</v>
      </c>
      <c r="S6" s="164">
        <v>571.42999999999995</v>
      </c>
      <c r="T6" s="183">
        <f>1+1</f>
        <v>2</v>
      </c>
      <c r="U6" s="183">
        <v>0</v>
      </c>
      <c r="V6" s="164">
        <v>3428.57</v>
      </c>
      <c r="W6" s="164">
        <v>3428.57</v>
      </c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</row>
    <row r="7" spans="1:34" ht="11.1" customHeight="1" x14ac:dyDescent="0.2">
      <c r="B7" s="177" t="s">
        <v>49</v>
      </c>
      <c r="C7" s="178">
        <f>4+4+4+4</f>
        <v>16</v>
      </c>
      <c r="D7" s="178">
        <v>21</v>
      </c>
      <c r="E7" s="179" t="s">
        <v>175</v>
      </c>
      <c r="F7" s="180">
        <f>1+1+1+1+2+1</f>
        <v>7</v>
      </c>
      <c r="G7" s="180">
        <v>7</v>
      </c>
      <c r="H7" s="179" t="s">
        <v>176</v>
      </c>
      <c r="I7" s="178">
        <v>1</v>
      </c>
      <c r="J7" s="178">
        <v>10</v>
      </c>
      <c r="K7" s="178" t="s">
        <v>290</v>
      </c>
      <c r="L7" s="181">
        <f>5+7+4+7+10+1+3+8+7</f>
        <v>52</v>
      </c>
      <c r="M7" s="181">
        <f>53+3</f>
        <v>56</v>
      </c>
      <c r="N7" s="164">
        <v>2285.71</v>
      </c>
      <c r="O7" s="182">
        <f>2+4+2+2+1+4+3</f>
        <v>18</v>
      </c>
      <c r="P7" s="182">
        <v>14</v>
      </c>
      <c r="Q7" s="184"/>
      <c r="R7" s="184"/>
      <c r="S7" s="164">
        <v>1142.8599999999999</v>
      </c>
      <c r="T7" s="180">
        <f>2+1</f>
        <v>3</v>
      </c>
      <c r="U7" s="183">
        <v>4</v>
      </c>
      <c r="V7" s="184"/>
      <c r="W7" s="18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</row>
    <row r="8" spans="1:34" ht="11.1" customHeight="1" x14ac:dyDescent="0.2">
      <c r="B8" s="177" t="s">
        <v>52</v>
      </c>
      <c r="C8" s="178">
        <f>2+2+2+2+1+1</f>
        <v>10</v>
      </c>
      <c r="D8" s="178">
        <v>6</v>
      </c>
      <c r="E8" s="179" t="s">
        <v>177</v>
      </c>
      <c r="F8" s="180">
        <f>16+19+17+15+19+16+19+16+25</f>
        <v>162</v>
      </c>
      <c r="G8" s="180">
        <v>156</v>
      </c>
      <c r="H8" s="179" t="s">
        <v>178</v>
      </c>
      <c r="I8" s="178">
        <f>1+1+2+1+1</f>
        <v>6</v>
      </c>
      <c r="J8" s="178">
        <v>2</v>
      </c>
      <c r="K8" s="178" t="s">
        <v>291</v>
      </c>
      <c r="L8" s="181">
        <f>3+5+1+3+2+5+4+3+5</f>
        <v>31</v>
      </c>
      <c r="M8" s="181">
        <f>53+1</f>
        <v>54</v>
      </c>
      <c r="N8" s="164">
        <v>3428.57</v>
      </c>
      <c r="O8" s="182">
        <f>12+10+18+7+16+10+9+12+15+2+7</f>
        <v>118</v>
      </c>
      <c r="P8" s="182">
        <v>109</v>
      </c>
      <c r="Q8" s="184"/>
      <c r="R8" s="184"/>
      <c r="S8" s="164">
        <v>1714.29</v>
      </c>
      <c r="T8" s="183">
        <v>1</v>
      </c>
      <c r="U8" s="180">
        <v>0</v>
      </c>
      <c r="V8" s="185"/>
      <c r="W8" s="18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</row>
    <row r="9" spans="1:34" ht="11.1" customHeight="1" x14ac:dyDescent="0.2">
      <c r="B9" s="177" t="s">
        <v>55</v>
      </c>
      <c r="C9" s="178">
        <f>3+2+1+1+2</f>
        <v>9</v>
      </c>
      <c r="D9" s="178">
        <v>4</v>
      </c>
      <c r="E9" s="179" t="s">
        <v>179</v>
      </c>
      <c r="F9" s="180">
        <f>5+3+1+2+1+1+2</f>
        <v>15</v>
      </c>
      <c r="G9" s="180">
        <v>15</v>
      </c>
      <c r="H9" s="179" t="s">
        <v>308</v>
      </c>
      <c r="I9" s="178">
        <f>1+1</f>
        <v>2</v>
      </c>
      <c r="J9" s="178">
        <v>1</v>
      </c>
      <c r="K9" s="178" t="s">
        <v>292</v>
      </c>
      <c r="L9" s="181">
        <f>17+19+17+13+17+14+21+13+24</f>
        <v>155</v>
      </c>
      <c r="M9" s="181">
        <f>138+8</f>
        <v>146</v>
      </c>
      <c r="N9" s="164">
        <v>4571.43</v>
      </c>
      <c r="O9" s="182">
        <v>0</v>
      </c>
      <c r="P9" s="182">
        <v>1</v>
      </c>
      <c r="Q9" s="184"/>
      <c r="R9" s="184"/>
      <c r="S9" s="196">
        <v>2285.71</v>
      </c>
      <c r="T9" s="180">
        <v>0</v>
      </c>
      <c r="U9" s="183">
        <v>2</v>
      </c>
      <c r="V9" s="185"/>
      <c r="W9" s="184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</row>
    <row r="10" spans="1:34" ht="11.1" customHeight="1" x14ac:dyDescent="0.2">
      <c r="B10" s="177" t="s">
        <v>57</v>
      </c>
      <c r="C10" s="178">
        <f>1+1+4+3+1+1+1+4</f>
        <v>16</v>
      </c>
      <c r="D10" s="186">
        <v>16</v>
      </c>
      <c r="E10" s="179" t="s">
        <v>180</v>
      </c>
      <c r="F10" s="180">
        <f>1+1+1+1+1</f>
        <v>5</v>
      </c>
      <c r="G10" s="180">
        <v>1</v>
      </c>
      <c r="H10" s="179" t="s">
        <v>181</v>
      </c>
      <c r="I10" s="178">
        <v>0</v>
      </c>
      <c r="J10" s="178">
        <v>8</v>
      </c>
      <c r="K10" s="178" t="s">
        <v>288</v>
      </c>
      <c r="L10" s="181">
        <f>4+1+1</f>
        <v>6</v>
      </c>
      <c r="M10" s="181">
        <v>0</v>
      </c>
      <c r="N10" s="164">
        <v>5714.29</v>
      </c>
      <c r="O10" s="182">
        <f>1+2+1+2+2+1+1+2</f>
        <v>12</v>
      </c>
      <c r="P10" s="182">
        <v>16</v>
      </c>
      <c r="Q10" s="184"/>
      <c r="R10" s="184"/>
      <c r="S10" s="164">
        <v>2857.14</v>
      </c>
      <c r="T10" s="180">
        <f>1</f>
        <v>1</v>
      </c>
      <c r="U10" s="180">
        <v>0</v>
      </c>
      <c r="V10" s="185"/>
      <c r="W10" s="184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</row>
    <row r="11" spans="1:34" ht="11.1" customHeight="1" x14ac:dyDescent="0.2">
      <c r="A11" s="125"/>
      <c r="B11" s="188" t="s">
        <v>59</v>
      </c>
      <c r="C11" s="189">
        <f>13+23+13+12+15+14+19+14+16</f>
        <v>139</v>
      </c>
      <c r="D11" s="189">
        <v>154</v>
      </c>
      <c r="E11" s="373" t="s">
        <v>60</v>
      </c>
      <c r="F11" s="180">
        <v>0</v>
      </c>
      <c r="G11" s="180">
        <v>2</v>
      </c>
      <c r="H11" s="424" t="s">
        <v>182</v>
      </c>
      <c r="I11" s="191">
        <f>2+2+1+1+1+1+2+2+2+1+2</f>
        <v>17</v>
      </c>
      <c r="J11" s="191">
        <v>28</v>
      </c>
      <c r="K11" s="187"/>
      <c r="L11" s="181"/>
      <c r="M11" s="181"/>
      <c r="N11" s="164">
        <v>6857.14</v>
      </c>
      <c r="O11" s="182">
        <v>1</v>
      </c>
      <c r="P11" s="182">
        <v>1</v>
      </c>
      <c r="Q11" s="184"/>
      <c r="R11" s="184"/>
      <c r="S11" s="164">
        <v>3428.57</v>
      </c>
      <c r="T11" s="180">
        <f>1</f>
        <v>1</v>
      </c>
      <c r="U11" s="180">
        <v>0</v>
      </c>
      <c r="V11" s="185"/>
      <c r="W11" s="184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</row>
    <row r="12" spans="1:34" ht="14.25" customHeight="1" x14ac:dyDescent="0.2">
      <c r="B12" s="190" t="s">
        <v>61</v>
      </c>
      <c r="C12" s="178">
        <f>1+1+1</f>
        <v>3</v>
      </c>
      <c r="D12" s="178">
        <v>0</v>
      </c>
      <c r="E12" s="372" t="s">
        <v>223</v>
      </c>
      <c r="F12" s="178">
        <v>0</v>
      </c>
      <c r="G12" s="180">
        <v>0</v>
      </c>
      <c r="H12" s="179" t="s">
        <v>63</v>
      </c>
      <c r="I12" s="178">
        <f>1+2+3+1+2+3+1</f>
        <v>13</v>
      </c>
      <c r="J12" s="178">
        <v>12</v>
      </c>
      <c r="K12" s="187"/>
      <c r="L12" s="181"/>
      <c r="M12" s="181"/>
      <c r="N12" s="164">
        <v>8000</v>
      </c>
      <c r="O12" s="182">
        <f>1+1+1</f>
        <v>3</v>
      </c>
      <c r="P12" s="182">
        <v>1</v>
      </c>
      <c r="Q12" s="184"/>
      <c r="R12" s="184"/>
      <c r="S12" s="164">
        <v>4571.43</v>
      </c>
      <c r="T12" s="183">
        <v>0</v>
      </c>
      <c r="U12" s="180">
        <v>0</v>
      </c>
      <c r="V12" s="185"/>
      <c r="W12" s="184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</row>
    <row r="13" spans="1:34" ht="17.25" customHeight="1" x14ac:dyDescent="0.2">
      <c r="B13" s="177" t="s">
        <v>62</v>
      </c>
      <c r="C13" s="178">
        <f>1+1+1+1</f>
        <v>4</v>
      </c>
      <c r="D13" s="178">
        <v>2</v>
      </c>
      <c r="E13" s="372" t="s">
        <v>224</v>
      </c>
      <c r="F13" s="178">
        <f>1</f>
        <v>1</v>
      </c>
      <c r="G13" s="180">
        <v>0</v>
      </c>
      <c r="H13" s="372" t="s">
        <v>286</v>
      </c>
      <c r="I13" s="178">
        <f>2+2+1+2+1+2+1+2</f>
        <v>13</v>
      </c>
      <c r="J13" s="178">
        <v>11</v>
      </c>
      <c r="K13" s="187"/>
      <c r="L13" s="181"/>
      <c r="M13" s="181"/>
      <c r="N13" s="192">
        <v>9142.86</v>
      </c>
      <c r="O13" s="182">
        <f>1+1</f>
        <v>2</v>
      </c>
      <c r="P13" s="182">
        <v>0</v>
      </c>
      <c r="Q13" s="184"/>
      <c r="R13" s="184"/>
      <c r="S13" s="164">
        <v>5714.29</v>
      </c>
      <c r="T13" s="180">
        <v>0</v>
      </c>
      <c r="U13" s="183">
        <v>0</v>
      </c>
      <c r="V13" s="185"/>
      <c r="W13" s="184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</row>
    <row r="14" spans="1:34" ht="11.1" customHeight="1" x14ac:dyDescent="0.2">
      <c r="B14" s="177" t="s">
        <v>64</v>
      </c>
      <c r="C14" s="178">
        <f>1+1+1</f>
        <v>3</v>
      </c>
      <c r="D14" s="186">
        <v>5</v>
      </c>
      <c r="E14" s="193"/>
      <c r="F14" s="186"/>
      <c r="G14" s="194"/>
      <c r="H14" s="179" t="s">
        <v>183</v>
      </c>
      <c r="I14" s="198">
        <f>2+1+1</f>
        <v>4</v>
      </c>
      <c r="J14" s="163">
        <v>2</v>
      </c>
      <c r="K14" s="187"/>
      <c r="L14" s="181"/>
      <c r="M14" s="181"/>
      <c r="N14" s="195">
        <v>10285.709999999999</v>
      </c>
      <c r="O14" s="163">
        <f>1+1</f>
        <v>2</v>
      </c>
      <c r="P14" s="163">
        <v>2</v>
      </c>
      <c r="Q14" s="184"/>
      <c r="R14" s="184"/>
      <c r="S14" s="164">
        <v>6857.14</v>
      </c>
      <c r="T14" s="180">
        <v>0</v>
      </c>
      <c r="U14" s="180">
        <v>0</v>
      </c>
      <c r="V14" s="185"/>
      <c r="W14" s="184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</row>
    <row r="15" spans="1:34" ht="11.1" customHeight="1" x14ac:dyDescent="0.2">
      <c r="B15" s="177" t="s">
        <v>65</v>
      </c>
      <c r="C15" s="186">
        <v>0</v>
      </c>
      <c r="D15" s="186">
        <v>4</v>
      </c>
      <c r="E15" s="193"/>
      <c r="F15" s="193"/>
      <c r="G15" s="194"/>
      <c r="H15" s="424" t="s">
        <v>221</v>
      </c>
      <c r="I15" s="178">
        <f>3+4+2+1+3+8</f>
        <v>21</v>
      </c>
      <c r="J15" s="178">
        <v>22</v>
      </c>
      <c r="K15" s="187"/>
      <c r="L15" s="181"/>
      <c r="M15" s="181"/>
      <c r="N15" s="164">
        <v>11428.57</v>
      </c>
      <c r="O15" s="182">
        <f>5+7+2+2+2+4+4+3+4</f>
        <v>33</v>
      </c>
      <c r="P15" s="182">
        <v>40</v>
      </c>
      <c r="Q15" s="184"/>
      <c r="R15" s="184"/>
      <c r="S15" s="164">
        <v>8000</v>
      </c>
      <c r="T15" s="180">
        <v>0</v>
      </c>
      <c r="U15" s="180">
        <v>0</v>
      </c>
      <c r="V15" s="185"/>
      <c r="W15" s="184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</row>
    <row r="16" spans="1:34" ht="11.1" customHeight="1" x14ac:dyDescent="0.2">
      <c r="B16" s="177" t="s">
        <v>66</v>
      </c>
      <c r="C16" s="178">
        <f>1+1+1+2+1+1</f>
        <v>7</v>
      </c>
      <c r="D16" s="186">
        <v>13</v>
      </c>
      <c r="E16" s="193"/>
      <c r="F16" s="193"/>
      <c r="G16" s="194"/>
      <c r="H16" s="179" t="s">
        <v>271</v>
      </c>
      <c r="I16" s="178">
        <f>1+5+2+4+2+1+1+2</f>
        <v>18</v>
      </c>
      <c r="J16" s="178">
        <v>19</v>
      </c>
      <c r="K16" s="187"/>
      <c r="L16" s="181"/>
      <c r="M16" s="181"/>
      <c r="N16" s="197">
        <v>15000</v>
      </c>
      <c r="O16" s="182">
        <f>1+1+1</f>
        <v>3</v>
      </c>
      <c r="P16" s="182">
        <v>1</v>
      </c>
      <c r="Q16" s="184"/>
      <c r="R16" s="176"/>
      <c r="S16" s="164">
        <v>9142.86</v>
      </c>
      <c r="T16" s="180">
        <v>0</v>
      </c>
      <c r="U16" s="180">
        <v>0</v>
      </c>
      <c r="V16" s="185"/>
      <c r="W16" s="184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</row>
    <row r="17" spans="2:34" ht="11.1" customHeight="1" x14ac:dyDescent="0.2">
      <c r="B17" s="177" t="s">
        <v>67</v>
      </c>
      <c r="C17" s="186">
        <f>5+5+5+3+3+2+2+9</f>
        <v>34</v>
      </c>
      <c r="D17" s="186">
        <v>37</v>
      </c>
      <c r="E17" s="193"/>
      <c r="F17" s="193"/>
      <c r="G17" s="194"/>
      <c r="H17" s="179" t="s">
        <v>70</v>
      </c>
      <c r="I17" s="178">
        <f>1+1</f>
        <v>2</v>
      </c>
      <c r="J17" s="178">
        <v>2</v>
      </c>
      <c r="K17" s="187"/>
      <c r="L17" s="181"/>
      <c r="M17" s="181"/>
      <c r="N17" s="197">
        <v>20000</v>
      </c>
      <c r="O17" s="182">
        <v>0</v>
      </c>
      <c r="P17" s="182">
        <v>2</v>
      </c>
      <c r="Q17" s="184"/>
      <c r="R17" s="184"/>
      <c r="S17" s="164">
        <v>10285.709999999999</v>
      </c>
      <c r="T17" s="180">
        <v>0</v>
      </c>
      <c r="U17" s="180">
        <v>0</v>
      </c>
      <c r="V17" s="185"/>
      <c r="W17" s="184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</row>
    <row r="18" spans="2:34" ht="11.1" customHeight="1" x14ac:dyDescent="0.2">
      <c r="B18" s="177" t="s">
        <v>68</v>
      </c>
      <c r="C18" s="186">
        <v>1</v>
      </c>
      <c r="D18" s="186">
        <v>5</v>
      </c>
      <c r="E18" s="193"/>
      <c r="F18" s="193"/>
      <c r="G18" s="194"/>
      <c r="H18" s="179" t="s">
        <v>253</v>
      </c>
      <c r="I18" s="178">
        <f>2+3+1+2+2+4+1</f>
        <v>15</v>
      </c>
      <c r="J18" s="178">
        <v>22</v>
      </c>
      <c r="K18" s="187"/>
      <c r="L18" s="181"/>
      <c r="M18" s="181"/>
      <c r="N18" s="197">
        <v>25000</v>
      </c>
      <c r="O18" s="182">
        <v>0</v>
      </c>
      <c r="P18" s="182">
        <v>0</v>
      </c>
      <c r="Q18" s="184"/>
      <c r="R18" s="184"/>
      <c r="S18" s="164">
        <v>11428.57</v>
      </c>
      <c r="T18" s="180">
        <v>0</v>
      </c>
      <c r="U18" s="180">
        <v>0</v>
      </c>
      <c r="V18" s="185"/>
      <c r="W18" s="184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</row>
    <row r="19" spans="2:34" ht="17.25" customHeight="1" x14ac:dyDescent="0.2">
      <c r="B19" s="177" t="s">
        <v>69</v>
      </c>
      <c r="C19" s="186">
        <f>1+1+1</f>
        <v>3</v>
      </c>
      <c r="D19" s="186">
        <v>2</v>
      </c>
      <c r="E19" s="193"/>
      <c r="F19" s="193"/>
      <c r="G19" s="194"/>
      <c r="H19" s="372" t="s">
        <v>222</v>
      </c>
      <c r="I19" s="178">
        <f>1+1+1+5+1+1+3+8</f>
        <v>21</v>
      </c>
      <c r="J19" s="178">
        <v>1</v>
      </c>
      <c r="K19" s="187"/>
      <c r="L19" s="181"/>
      <c r="M19" s="181"/>
      <c r="N19" s="197">
        <v>30000</v>
      </c>
      <c r="O19" s="182">
        <f>1+1+1+1</f>
        <v>4</v>
      </c>
      <c r="P19" s="182">
        <v>7</v>
      </c>
      <c r="Q19" s="184"/>
      <c r="R19" s="184"/>
      <c r="S19" s="184"/>
      <c r="T19" s="161"/>
      <c r="U19" s="180"/>
      <c r="V19" s="185"/>
      <c r="W19" s="184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</row>
    <row r="20" spans="2:34" ht="11.1" customHeight="1" x14ac:dyDescent="0.2">
      <c r="B20" s="177" t="s">
        <v>184</v>
      </c>
      <c r="C20" s="186">
        <v>0</v>
      </c>
      <c r="D20" s="186">
        <v>2</v>
      </c>
      <c r="E20" s="193"/>
      <c r="F20" s="193"/>
      <c r="G20" s="194"/>
      <c r="H20" s="179" t="s">
        <v>71</v>
      </c>
      <c r="I20" s="178">
        <f>3+5+2+6+1+2</f>
        <v>19</v>
      </c>
      <c r="J20" s="178">
        <v>42</v>
      </c>
      <c r="K20" s="187"/>
      <c r="L20" s="181"/>
      <c r="M20" s="181"/>
      <c r="N20" s="199"/>
      <c r="O20" s="182"/>
      <c r="P20" s="182"/>
      <c r="Q20" s="184"/>
      <c r="R20" s="184"/>
      <c r="S20" s="164"/>
      <c r="T20" s="180"/>
      <c r="U20" s="180"/>
      <c r="V20" s="185"/>
      <c r="W20" s="184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</row>
    <row r="21" spans="2:34" ht="17.25" customHeight="1" x14ac:dyDescent="0.2">
      <c r="B21" s="177" t="s">
        <v>185</v>
      </c>
      <c r="C21" s="186">
        <f>1+1+4+2+1+2</f>
        <v>11</v>
      </c>
      <c r="D21" s="186">
        <v>5</v>
      </c>
      <c r="E21" s="193"/>
      <c r="F21" s="193"/>
      <c r="G21" s="194"/>
      <c r="H21" s="372" t="s">
        <v>220</v>
      </c>
      <c r="I21" s="178">
        <f>1+2+1+1</f>
        <v>5</v>
      </c>
      <c r="J21" s="178">
        <v>15</v>
      </c>
      <c r="K21" s="187"/>
      <c r="L21" s="181"/>
      <c r="M21" s="181"/>
      <c r="N21" s="181"/>
      <c r="O21" s="182"/>
      <c r="P21" s="182"/>
      <c r="Q21" s="184"/>
      <c r="R21" s="184"/>
      <c r="S21" s="164"/>
      <c r="T21" s="180"/>
      <c r="U21" s="180"/>
      <c r="V21" s="185"/>
      <c r="W21" s="184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</row>
    <row r="22" spans="2:34" ht="17.25" customHeight="1" x14ac:dyDescent="0.2">
      <c r="B22" s="177"/>
      <c r="C22" s="186"/>
      <c r="D22" s="186"/>
      <c r="E22" s="193"/>
      <c r="F22" s="193"/>
      <c r="G22" s="194"/>
      <c r="H22" s="372" t="s">
        <v>254</v>
      </c>
      <c r="I22" s="178">
        <f>1+1+1</f>
        <v>3</v>
      </c>
      <c r="J22" s="178">
        <v>0</v>
      </c>
      <c r="K22" s="187"/>
      <c r="L22" s="181"/>
      <c r="M22" s="181"/>
      <c r="N22" s="181"/>
      <c r="O22" s="182"/>
      <c r="P22" s="182"/>
      <c r="Q22" s="184"/>
      <c r="R22" s="184"/>
      <c r="S22" s="164"/>
      <c r="T22" s="180"/>
      <c r="U22" s="180"/>
      <c r="V22" s="185"/>
      <c r="W22" s="184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</row>
    <row r="23" spans="2:34" ht="16.5" x14ac:dyDescent="0.2">
      <c r="B23" s="177"/>
      <c r="C23" s="186"/>
      <c r="D23" s="186"/>
      <c r="E23" s="193"/>
      <c r="F23" s="193"/>
      <c r="G23" s="194"/>
      <c r="H23" s="372" t="s">
        <v>285</v>
      </c>
      <c r="I23" s="178">
        <f>1+1+1</f>
        <v>3</v>
      </c>
      <c r="J23" s="178">
        <v>2</v>
      </c>
      <c r="K23" s="187"/>
      <c r="L23" s="181"/>
      <c r="M23" s="181"/>
      <c r="N23" s="181"/>
      <c r="O23" s="182"/>
      <c r="P23" s="182"/>
      <c r="Q23" s="184"/>
      <c r="R23" s="184"/>
      <c r="S23" s="164"/>
      <c r="T23" s="180"/>
      <c r="U23" s="180"/>
      <c r="V23" s="185"/>
      <c r="W23" s="184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</row>
    <row r="24" spans="2:34" ht="11.1" customHeight="1" x14ac:dyDescent="0.2">
      <c r="B24" s="177"/>
      <c r="C24" s="186"/>
      <c r="D24" s="186"/>
      <c r="E24" s="193"/>
      <c r="F24" s="193"/>
      <c r="G24" s="194"/>
      <c r="H24" s="423" t="s">
        <v>287</v>
      </c>
      <c r="I24" s="178">
        <f>6+4+3+3+2+3+4+6</f>
        <v>31</v>
      </c>
      <c r="J24" s="178">
        <v>0</v>
      </c>
      <c r="K24" s="187"/>
      <c r="L24" s="181"/>
      <c r="M24" s="181"/>
      <c r="N24" s="181"/>
      <c r="O24" s="182"/>
      <c r="P24" s="182"/>
      <c r="Q24" s="184"/>
      <c r="R24" s="184"/>
      <c r="S24" s="164"/>
      <c r="T24" s="180"/>
      <c r="U24" s="180"/>
      <c r="V24" s="185"/>
      <c r="W24" s="184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</row>
    <row r="25" spans="2:34" ht="11.1" customHeight="1" x14ac:dyDescent="0.2">
      <c r="B25" s="177"/>
      <c r="C25" s="186"/>
      <c r="D25" s="186"/>
      <c r="E25" s="193"/>
      <c r="F25" s="193"/>
      <c r="G25" s="194"/>
      <c r="H25" s="423" t="s">
        <v>213</v>
      </c>
      <c r="I25" s="178">
        <v>2</v>
      </c>
      <c r="J25" s="178">
        <v>0</v>
      </c>
      <c r="K25" s="187"/>
      <c r="L25" s="181"/>
      <c r="M25" s="181"/>
      <c r="N25" s="181"/>
      <c r="O25" s="182"/>
      <c r="P25" s="182"/>
      <c r="Q25" s="184"/>
      <c r="R25" s="184"/>
      <c r="S25" s="164"/>
      <c r="T25" s="180"/>
      <c r="U25" s="180"/>
      <c r="V25" s="185"/>
      <c r="W25" s="184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</row>
    <row r="26" spans="2:34" ht="11.1" customHeight="1" x14ac:dyDescent="0.2">
      <c r="B26" s="177"/>
      <c r="C26" s="186"/>
      <c r="D26" s="186"/>
      <c r="E26" s="193"/>
      <c r="F26" s="193"/>
      <c r="G26" s="194"/>
      <c r="H26" s="423" t="s">
        <v>272</v>
      </c>
      <c r="I26" s="178">
        <f>1+1+1+1+1+1+4+1</f>
        <v>11</v>
      </c>
      <c r="J26" s="178">
        <v>0</v>
      </c>
      <c r="K26" s="187"/>
      <c r="L26" s="181"/>
      <c r="M26" s="181"/>
      <c r="N26" s="181"/>
      <c r="O26" s="182"/>
      <c r="P26" s="182"/>
      <c r="Q26" s="184"/>
      <c r="R26" s="184"/>
      <c r="S26" s="164"/>
      <c r="T26" s="180"/>
      <c r="U26" s="180"/>
      <c r="V26" s="185"/>
      <c r="W26" s="184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</row>
    <row r="27" spans="2:34" ht="11.1" customHeight="1" x14ac:dyDescent="0.2">
      <c r="B27" s="177"/>
      <c r="C27" s="178"/>
      <c r="D27" s="178"/>
      <c r="E27" s="179"/>
      <c r="F27" s="179"/>
      <c r="G27" s="180"/>
      <c r="H27" s="423" t="s">
        <v>267</v>
      </c>
      <c r="I27" s="178">
        <v>1</v>
      </c>
      <c r="J27" s="178"/>
      <c r="K27" s="187"/>
      <c r="L27" s="181"/>
      <c r="M27" s="181"/>
      <c r="N27" s="181"/>
      <c r="O27" s="181"/>
      <c r="P27" s="181"/>
      <c r="Q27" s="184"/>
      <c r="R27" s="184"/>
      <c r="S27" s="164"/>
      <c r="T27" s="180"/>
      <c r="U27" s="180"/>
      <c r="V27" s="185"/>
      <c r="W27" s="184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</row>
    <row r="28" spans="2:34" ht="11.1" customHeight="1" x14ac:dyDescent="0.2">
      <c r="B28" s="486"/>
      <c r="C28" s="371"/>
      <c r="D28" s="371"/>
      <c r="E28" s="487"/>
      <c r="F28" s="487"/>
      <c r="G28" s="488"/>
      <c r="H28" s="424" t="s">
        <v>72</v>
      </c>
      <c r="I28" s="371">
        <f>7+1+1+1+1+3+1+1+5+4+2+1+3+13+3</f>
        <v>47</v>
      </c>
      <c r="J28" s="371">
        <v>78</v>
      </c>
      <c r="K28" s="489"/>
      <c r="L28" s="490"/>
      <c r="M28" s="490"/>
      <c r="N28" s="490"/>
      <c r="O28" s="490"/>
      <c r="P28" s="490"/>
      <c r="Q28" s="491"/>
      <c r="R28" s="491"/>
      <c r="S28" s="492"/>
      <c r="T28" s="488"/>
      <c r="U28" s="488"/>
      <c r="V28" s="493"/>
      <c r="W28" s="49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</row>
    <row r="29" spans="2:34" ht="11.1" customHeight="1" x14ac:dyDescent="0.2">
      <c r="B29" s="200" t="s">
        <v>0</v>
      </c>
      <c r="C29" s="201">
        <f>SUM(C6:C28)</f>
        <v>262</v>
      </c>
      <c r="D29" s="201">
        <f>SUM(D6:D28)</f>
        <v>278</v>
      </c>
      <c r="E29" s="202"/>
      <c r="F29" s="201">
        <f>SUM(F6:F28)</f>
        <v>262</v>
      </c>
      <c r="G29" s="203">
        <f>SUM(G6:G28)</f>
        <v>278</v>
      </c>
      <c r="H29" s="204"/>
      <c r="I29" s="201">
        <f>SUM(I6:I28)</f>
        <v>262</v>
      </c>
      <c r="J29" s="201">
        <f>SUM(J6:J28)</f>
        <v>278</v>
      </c>
      <c r="K29" s="205"/>
      <c r="L29" s="202">
        <f>SUM(L6:L28)</f>
        <v>262</v>
      </c>
      <c r="M29" s="201">
        <f>SUM(M6:M28)</f>
        <v>278</v>
      </c>
      <c r="N29" s="206"/>
      <c r="O29" s="207">
        <f>SUM(O6:O28)</f>
        <v>236</v>
      </c>
      <c r="P29" s="201">
        <f>SUM(P6:P28)</f>
        <v>242</v>
      </c>
      <c r="Q29" s="202">
        <f>7+11+7+8+9+6+5+6+12</f>
        <v>71</v>
      </c>
      <c r="R29" s="201">
        <v>89</v>
      </c>
      <c r="S29" s="164"/>
      <c r="T29" s="525">
        <f>SUM(T6:T28)</f>
        <v>8</v>
      </c>
      <c r="U29" s="201">
        <f>SUM(U6:U28)</f>
        <v>6</v>
      </c>
      <c r="V29" s="202">
        <f>5+11+9+9+13+4+12+3+14</f>
        <v>80</v>
      </c>
      <c r="W29" s="202">
        <v>102</v>
      </c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</row>
    <row r="30" spans="2:34" ht="11.1" customHeight="1" x14ac:dyDescent="0.2">
      <c r="B30" s="208" t="s">
        <v>73</v>
      </c>
      <c r="C30" s="209"/>
      <c r="D30" s="209"/>
      <c r="E30" s="210"/>
      <c r="F30" s="211"/>
      <c r="G30" s="212" t="s">
        <v>74</v>
      </c>
      <c r="H30" s="213"/>
      <c r="I30" s="214"/>
      <c r="J30" s="215"/>
      <c r="K30" s="216"/>
      <c r="L30" s="217"/>
      <c r="M30" s="217"/>
      <c r="N30" s="218" t="s">
        <v>275</v>
      </c>
      <c r="O30" s="217"/>
      <c r="P30" s="217"/>
      <c r="Q30" s="219"/>
      <c r="R30" s="220"/>
      <c r="T30" s="378"/>
      <c r="U30" s="378"/>
      <c r="V30" s="379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</row>
    <row r="31" spans="2:34" s="86" customFormat="1" ht="11.1" customHeight="1" x14ac:dyDescent="0.2">
      <c r="B31" s="223" t="s">
        <v>187</v>
      </c>
      <c r="C31" s="368">
        <v>2019</v>
      </c>
      <c r="D31" s="224">
        <v>2018</v>
      </c>
      <c r="E31" s="384"/>
      <c r="F31" s="385"/>
      <c r="G31" s="386" t="s">
        <v>76</v>
      </c>
      <c r="I31" s="387"/>
      <c r="J31" s="388"/>
      <c r="K31" s="389"/>
      <c r="L31" s="386"/>
      <c r="M31" s="386" t="s">
        <v>187</v>
      </c>
      <c r="N31" s="225"/>
      <c r="O31" s="386">
        <v>2019</v>
      </c>
      <c r="P31" s="390"/>
      <c r="Q31" s="226">
        <v>2018</v>
      </c>
      <c r="R31" s="391"/>
      <c r="S31" s="221" t="s">
        <v>186</v>
      </c>
      <c r="T31" s="392"/>
      <c r="U31" s="392"/>
      <c r="V31" s="393"/>
      <c r="W31" s="394"/>
      <c r="X31" s="394"/>
      <c r="Y31" s="394"/>
      <c r="Z31" s="394"/>
      <c r="AA31" s="394"/>
      <c r="AB31" s="394"/>
      <c r="AC31" s="394"/>
      <c r="AD31" s="394"/>
      <c r="AE31" s="394"/>
      <c r="AF31" s="394"/>
      <c r="AG31" s="394"/>
      <c r="AH31" s="394"/>
    </row>
    <row r="32" spans="2:34" s="86" customFormat="1" ht="11.1" customHeight="1" x14ac:dyDescent="0.2">
      <c r="B32" s="227" t="s">
        <v>75</v>
      </c>
      <c r="C32" s="228">
        <v>25</v>
      </c>
      <c r="D32" s="229">
        <v>27</v>
      </c>
      <c r="E32" s="395"/>
      <c r="F32" s="385"/>
      <c r="G32" s="396">
        <v>2019</v>
      </c>
      <c r="H32" s="397"/>
      <c r="I32" s="207">
        <f>4+10+8+7+10+3+9+9</f>
        <v>60</v>
      </c>
      <c r="J32" s="126"/>
      <c r="K32" s="398"/>
      <c r="L32" s="394"/>
      <c r="M32" s="399"/>
      <c r="N32" s="400" t="s">
        <v>77</v>
      </c>
      <c r="O32" s="230">
        <v>5</v>
      </c>
      <c r="P32" s="169"/>
      <c r="Q32" s="169">
        <v>11</v>
      </c>
      <c r="R32" s="401"/>
      <c r="S32" s="221" t="s">
        <v>187</v>
      </c>
      <c r="T32" s="734">
        <v>2019</v>
      </c>
      <c r="U32" s="735"/>
      <c r="V32" s="382">
        <v>2018</v>
      </c>
      <c r="W32" s="394"/>
      <c r="X32" s="394"/>
      <c r="Y32" s="394"/>
      <c r="Z32" s="394"/>
      <c r="AA32" s="394"/>
      <c r="AB32" s="394"/>
      <c r="AC32" s="394"/>
      <c r="AD32" s="394"/>
      <c r="AE32" s="394"/>
      <c r="AF32" s="394"/>
      <c r="AG32" s="394"/>
      <c r="AH32" s="394"/>
    </row>
    <row r="33" spans="2:34" s="86" customFormat="1" ht="11.1" customHeight="1" x14ac:dyDescent="0.2">
      <c r="B33" s="231" t="s">
        <v>78</v>
      </c>
      <c r="C33" s="232">
        <v>33</v>
      </c>
      <c r="D33" s="233">
        <v>20</v>
      </c>
      <c r="E33" s="402"/>
      <c r="F33" s="385"/>
      <c r="G33" s="403">
        <v>2018</v>
      </c>
      <c r="H33" s="234"/>
      <c r="I33" s="235">
        <v>66</v>
      </c>
      <c r="J33" s="404"/>
      <c r="K33" s="405"/>
      <c r="L33" s="394"/>
      <c r="M33" s="394"/>
      <c r="N33" s="406" t="s">
        <v>79</v>
      </c>
      <c r="O33" s="198">
        <v>11</v>
      </c>
      <c r="P33" s="236"/>
      <c r="Q33" s="237">
        <v>3</v>
      </c>
      <c r="R33" s="385"/>
      <c r="S33" s="238" t="s">
        <v>202</v>
      </c>
      <c r="T33" s="239"/>
      <c r="U33" s="240">
        <v>0</v>
      </c>
      <c r="V33" s="169">
        <v>0</v>
      </c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</row>
    <row r="34" spans="2:34" s="86" customFormat="1" ht="11.1" customHeight="1" x14ac:dyDescent="0.2">
      <c r="B34" s="231" t="s">
        <v>80</v>
      </c>
      <c r="C34" s="241">
        <v>27</v>
      </c>
      <c r="D34" s="242">
        <v>17</v>
      </c>
      <c r="E34" s="407"/>
      <c r="F34" s="408"/>
      <c r="G34" s="409"/>
      <c r="H34" s="410" t="s">
        <v>81</v>
      </c>
      <c r="I34" s="411"/>
      <c r="J34" s="412"/>
      <c r="K34" s="408"/>
      <c r="L34" s="394"/>
      <c r="M34" s="394"/>
      <c r="N34" s="406" t="s">
        <v>82</v>
      </c>
      <c r="O34" s="198">
        <v>9</v>
      </c>
      <c r="P34" s="236"/>
      <c r="Q34" s="237">
        <v>4</v>
      </c>
      <c r="R34" s="385"/>
      <c r="S34" s="243" t="s">
        <v>201</v>
      </c>
      <c r="T34" s="413"/>
      <c r="U34" s="251">
        <f>17+22+15+13+19+14+20+23</f>
        <v>143</v>
      </c>
      <c r="V34" s="236">
        <v>143</v>
      </c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</row>
    <row r="35" spans="2:34" s="86" customFormat="1" ht="11.1" customHeight="1" x14ac:dyDescent="0.2">
      <c r="B35" s="231" t="s">
        <v>83</v>
      </c>
      <c r="C35" s="241">
        <v>25</v>
      </c>
      <c r="D35" s="242">
        <v>25</v>
      </c>
      <c r="E35" s="414"/>
      <c r="F35" s="388"/>
      <c r="G35" s="409"/>
      <c r="H35" s="200" t="s">
        <v>188</v>
      </c>
      <c r="I35" s="259">
        <v>2019</v>
      </c>
      <c r="J35" s="474">
        <v>2018</v>
      </c>
      <c r="K35" s="398"/>
      <c r="L35" s="394"/>
      <c r="M35" s="394"/>
      <c r="N35" s="244" t="s">
        <v>85</v>
      </c>
      <c r="O35" s="198">
        <v>9</v>
      </c>
      <c r="P35" s="236"/>
      <c r="Q35" s="237">
        <v>8</v>
      </c>
      <c r="R35" s="385"/>
      <c r="S35" s="243" t="s">
        <v>200</v>
      </c>
      <c r="T35" s="415"/>
      <c r="U35" s="245">
        <f>1+1+1+2+3+1+3+3+5</f>
        <v>20</v>
      </c>
      <c r="V35" s="236">
        <v>36</v>
      </c>
      <c r="W35" s="394"/>
      <c r="X35" s="693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</row>
    <row r="36" spans="2:34" s="86" customFormat="1" ht="11.1" customHeight="1" x14ac:dyDescent="0.2">
      <c r="B36" s="231" t="s">
        <v>86</v>
      </c>
      <c r="C36" s="241">
        <v>34</v>
      </c>
      <c r="D36" s="242">
        <v>29</v>
      </c>
      <c r="E36" s="414"/>
      <c r="F36" s="388"/>
      <c r="G36" s="394"/>
      <c r="H36" s="246" t="s">
        <v>84</v>
      </c>
      <c r="I36" s="247">
        <f>7+5+7+8+8+9+16+12+19</f>
        <v>91</v>
      </c>
      <c r="J36" s="236">
        <v>127</v>
      </c>
      <c r="K36" s="398"/>
      <c r="L36" s="394"/>
      <c r="M36" s="394"/>
      <c r="N36" s="244" t="s">
        <v>88</v>
      </c>
      <c r="O36" s="198">
        <v>13</v>
      </c>
      <c r="P36" s="236"/>
      <c r="Q36" s="248">
        <v>13</v>
      </c>
      <c r="R36" s="416"/>
      <c r="S36" s="249"/>
      <c r="T36" s="250"/>
      <c r="U36" s="251"/>
      <c r="V36" s="236"/>
      <c r="W36" s="394"/>
      <c r="X36" s="394"/>
      <c r="Y36" s="394"/>
      <c r="Z36" s="394"/>
      <c r="AA36" s="394"/>
      <c r="AB36" s="394"/>
      <c r="AC36" s="394"/>
      <c r="AD36" s="394"/>
      <c r="AE36" s="394"/>
      <c r="AF36" s="394"/>
      <c r="AG36" s="394"/>
      <c r="AH36" s="394"/>
    </row>
    <row r="37" spans="2:34" s="86" customFormat="1" ht="11.1" customHeight="1" x14ac:dyDescent="0.2">
      <c r="B37" s="231" t="s">
        <v>89</v>
      </c>
      <c r="C37" s="241">
        <v>21</v>
      </c>
      <c r="D37" s="242">
        <v>24</v>
      </c>
      <c r="E37" s="414"/>
      <c r="F37" s="388"/>
      <c r="G37" s="394"/>
      <c r="H37" s="246" t="s">
        <v>87</v>
      </c>
      <c r="I37" s="252">
        <f>18+28+20+17+26+12+17+9+24</f>
        <v>171</v>
      </c>
      <c r="J37" s="236">
        <v>151</v>
      </c>
      <c r="K37" s="398"/>
      <c r="L37" s="394"/>
      <c r="M37" s="394"/>
      <c r="N37" s="171" t="s">
        <v>91</v>
      </c>
      <c r="O37" s="198">
        <v>4</v>
      </c>
      <c r="P37" s="236"/>
      <c r="Q37" s="237">
        <v>12</v>
      </c>
      <c r="R37" s="385"/>
      <c r="S37" s="417" t="s">
        <v>94</v>
      </c>
      <c r="T37" s="126"/>
      <c r="U37" s="253">
        <v>1</v>
      </c>
      <c r="V37" s="380">
        <v>1</v>
      </c>
      <c r="W37" s="394"/>
      <c r="X37" s="394"/>
      <c r="Y37" s="394"/>
      <c r="Z37" s="394"/>
      <c r="AA37" s="394"/>
      <c r="AB37" s="394"/>
      <c r="AC37" s="394"/>
      <c r="AD37" s="394"/>
      <c r="AE37" s="394"/>
      <c r="AF37" s="394"/>
      <c r="AG37" s="394"/>
      <c r="AH37" s="394"/>
    </row>
    <row r="38" spans="2:34" s="86" customFormat="1" ht="11.1" customHeight="1" x14ac:dyDescent="0.2">
      <c r="B38" s="231" t="s">
        <v>92</v>
      </c>
      <c r="C38" s="241">
        <v>33</v>
      </c>
      <c r="D38" s="242">
        <v>23</v>
      </c>
      <c r="E38" s="414"/>
      <c r="F38" s="388"/>
      <c r="G38" s="394"/>
      <c r="H38" s="254" t="s">
        <v>90</v>
      </c>
      <c r="I38" s="202">
        <f>SUM(I36:I37)</f>
        <v>262</v>
      </c>
      <c r="J38" s="202">
        <f>+J37+J36</f>
        <v>278</v>
      </c>
      <c r="K38" s="398"/>
      <c r="L38" s="394"/>
      <c r="M38" s="394"/>
      <c r="N38" s="171" t="s">
        <v>93</v>
      </c>
      <c r="O38" s="198">
        <v>12</v>
      </c>
      <c r="P38" s="236"/>
      <c r="Q38" s="255">
        <v>5</v>
      </c>
      <c r="R38" s="418"/>
      <c r="S38" s="398"/>
      <c r="T38" s="250"/>
      <c r="U38" s="251"/>
      <c r="V38" s="236"/>
      <c r="W38" s="394"/>
      <c r="X38" s="394"/>
      <c r="Y38" s="394"/>
      <c r="Z38" s="394"/>
      <c r="AA38" s="394"/>
      <c r="AB38" s="394"/>
      <c r="AC38" s="394"/>
      <c r="AD38" s="394"/>
      <c r="AE38" s="394"/>
      <c r="AF38" s="394"/>
      <c r="AG38" s="394"/>
      <c r="AH38" s="394"/>
    </row>
    <row r="39" spans="2:34" s="86" customFormat="1" ht="11.1" customHeight="1" x14ac:dyDescent="0.2">
      <c r="B39" s="231" t="s">
        <v>95</v>
      </c>
      <c r="C39" s="241">
        <v>21</v>
      </c>
      <c r="D39" s="242">
        <v>33</v>
      </c>
      <c r="E39" s="414"/>
      <c r="F39" s="388"/>
      <c r="G39" s="394"/>
      <c r="H39" s="394"/>
      <c r="I39" s="394"/>
      <c r="J39" s="394"/>
      <c r="K39" s="398"/>
      <c r="L39" s="394"/>
      <c r="M39" s="394"/>
      <c r="N39" s="171" t="s">
        <v>96</v>
      </c>
      <c r="O39" s="198">
        <v>3</v>
      </c>
      <c r="P39" s="236"/>
      <c r="Q39" s="256">
        <v>12</v>
      </c>
      <c r="R39" s="388"/>
      <c r="S39" s="383" t="s">
        <v>293</v>
      </c>
      <c r="T39" s="126"/>
      <c r="U39" s="253"/>
      <c r="V39" s="252"/>
      <c r="W39" s="394"/>
      <c r="X39" s="394"/>
      <c r="Y39" s="394"/>
      <c r="Z39" s="394"/>
      <c r="AA39" s="394"/>
      <c r="AB39" s="394"/>
      <c r="AC39" s="394"/>
      <c r="AD39" s="394"/>
      <c r="AE39" s="394"/>
      <c r="AF39" s="394"/>
      <c r="AG39" s="394"/>
      <c r="AH39" s="394"/>
    </row>
    <row r="40" spans="2:34" s="86" customFormat="1" ht="11.1" customHeight="1" x14ac:dyDescent="0.2">
      <c r="B40" s="231" t="s">
        <v>97</v>
      </c>
      <c r="C40" s="241">
        <v>43</v>
      </c>
      <c r="D40" s="242">
        <v>21</v>
      </c>
      <c r="E40" s="414"/>
      <c r="F40" s="388"/>
      <c r="G40" s="394"/>
      <c r="H40" s="394"/>
      <c r="I40" s="394"/>
      <c r="J40" s="394"/>
      <c r="K40" s="398"/>
      <c r="L40" s="394"/>
      <c r="M40" s="394"/>
      <c r="N40" s="257" t="s">
        <v>189</v>
      </c>
      <c r="O40" s="198">
        <v>14</v>
      </c>
      <c r="P40" s="236"/>
      <c r="Q40" s="256">
        <v>10</v>
      </c>
      <c r="R40" s="388"/>
      <c r="S40" s="417" t="s">
        <v>294</v>
      </c>
      <c r="T40" s="126"/>
      <c r="U40" s="253">
        <f>7+11+10+6+8+6+7+12</f>
        <v>67</v>
      </c>
      <c r="V40" s="252">
        <v>99</v>
      </c>
      <c r="W40" s="394"/>
      <c r="X40" s="394"/>
      <c r="Y40" s="394"/>
      <c r="Z40" s="394"/>
      <c r="AA40" s="394"/>
      <c r="AB40" s="394"/>
      <c r="AC40" s="394"/>
      <c r="AD40" s="394"/>
      <c r="AE40" s="394"/>
      <c r="AF40" s="394"/>
      <c r="AG40" s="394"/>
      <c r="AH40" s="394"/>
    </row>
    <row r="41" spans="2:34" s="86" customFormat="1" ht="11.1" customHeight="1" x14ac:dyDescent="0.2">
      <c r="B41" s="231" t="s">
        <v>99</v>
      </c>
      <c r="C41" s="241"/>
      <c r="D41" s="242">
        <v>20</v>
      </c>
      <c r="E41" s="414"/>
      <c r="F41" s="388"/>
      <c r="G41" s="394"/>
      <c r="H41" s="394"/>
      <c r="I41" s="394"/>
      <c r="J41" s="394"/>
      <c r="K41" s="398"/>
      <c r="L41" s="394"/>
      <c r="M41" s="394"/>
      <c r="N41" s="171" t="s">
        <v>100</v>
      </c>
      <c r="O41" s="198"/>
      <c r="P41" s="236"/>
      <c r="Q41" s="256">
        <v>6</v>
      </c>
      <c r="R41" s="388"/>
      <c r="S41" s="383" t="s">
        <v>295</v>
      </c>
      <c r="T41" s="126"/>
      <c r="U41" s="253"/>
      <c r="V41" s="236"/>
      <c r="W41" s="394"/>
      <c r="X41" s="693"/>
      <c r="Y41" s="394"/>
      <c r="Z41" s="394"/>
      <c r="AA41" s="394"/>
      <c r="AB41" s="394"/>
      <c r="AC41" s="394"/>
      <c r="AD41" s="394"/>
      <c r="AE41" s="394"/>
      <c r="AF41" s="394"/>
      <c r="AG41" s="394"/>
      <c r="AH41" s="394"/>
    </row>
    <row r="42" spans="2:34" s="86" customFormat="1" ht="11.1" customHeight="1" x14ac:dyDescent="0.2">
      <c r="B42" s="231" t="s">
        <v>101</v>
      </c>
      <c r="C42" s="241"/>
      <c r="D42" s="242">
        <v>27</v>
      </c>
      <c r="E42" s="414"/>
      <c r="F42" s="388"/>
      <c r="G42" s="174" t="s">
        <v>18</v>
      </c>
      <c r="H42" s="268"/>
      <c r="I42" s="174"/>
      <c r="J42" s="394"/>
      <c r="K42" s="398"/>
      <c r="L42" s="394"/>
      <c r="M42" s="394"/>
      <c r="N42" s="171" t="s">
        <v>102</v>
      </c>
      <c r="O42" s="198"/>
      <c r="P42" s="236"/>
      <c r="Q42" s="256">
        <v>13</v>
      </c>
      <c r="R42" s="388"/>
      <c r="S42" s="526" t="s">
        <v>294</v>
      </c>
      <c r="T42" s="258"/>
      <c r="U42" s="259">
        <f>1+2+2+3</f>
        <v>8</v>
      </c>
      <c r="V42" s="381">
        <v>5</v>
      </c>
      <c r="W42" s="394"/>
      <c r="X42" s="394"/>
      <c r="Y42" s="394"/>
      <c r="Z42" s="394"/>
      <c r="AA42" s="394"/>
      <c r="AB42" s="394"/>
      <c r="AC42" s="394"/>
      <c r="AD42" s="394"/>
      <c r="AE42" s="394"/>
      <c r="AF42" s="394"/>
      <c r="AG42" s="394"/>
      <c r="AH42" s="394"/>
    </row>
    <row r="43" spans="2:34" s="86" customFormat="1" ht="11.1" customHeight="1" x14ac:dyDescent="0.2">
      <c r="B43" s="231" t="s">
        <v>103</v>
      </c>
      <c r="C43" s="241"/>
      <c r="D43" s="242">
        <v>12</v>
      </c>
      <c r="E43" s="414"/>
      <c r="F43" s="388"/>
      <c r="G43" s="174" t="s">
        <v>205</v>
      </c>
      <c r="H43" s="494" t="s">
        <v>127</v>
      </c>
      <c r="I43" s="4"/>
      <c r="J43" s="394"/>
      <c r="K43" s="398"/>
      <c r="L43" s="394"/>
      <c r="M43" s="394"/>
      <c r="N43" s="171" t="s">
        <v>105</v>
      </c>
      <c r="O43" s="198"/>
      <c r="P43" s="236"/>
      <c r="Q43" s="256">
        <v>5</v>
      </c>
      <c r="R43" s="388"/>
      <c r="S43" s="419"/>
      <c r="T43" s="260"/>
      <c r="U43" s="260"/>
      <c r="V43" s="394"/>
      <c r="W43" s="394"/>
      <c r="X43" s="394"/>
      <c r="Y43" s="394"/>
      <c r="Z43" s="394"/>
      <c r="AA43" s="394"/>
      <c r="AB43" s="394"/>
      <c r="AC43" s="394"/>
      <c r="AD43" s="394"/>
      <c r="AE43" s="394"/>
      <c r="AF43" s="394"/>
      <c r="AG43" s="394"/>
      <c r="AH43" s="394"/>
    </row>
    <row r="44" spans="2:34" s="86" customFormat="1" ht="11.1" customHeight="1" x14ac:dyDescent="0.2">
      <c r="B44" s="261" t="s">
        <v>106</v>
      </c>
      <c r="C44" s="262">
        <f>SUM(C32:C43)</f>
        <v>262</v>
      </c>
      <c r="D44" s="263">
        <f>SUM(D32:D43)</f>
        <v>278</v>
      </c>
      <c r="E44" s="420"/>
      <c r="F44" s="388"/>
      <c r="G44" s="174" t="s">
        <v>205</v>
      </c>
      <c r="H44" s="494" t="s">
        <v>274</v>
      </c>
      <c r="I44" s="4"/>
      <c r="J44" s="394"/>
      <c r="K44" s="421"/>
      <c r="L44" s="422"/>
      <c r="M44" s="422"/>
      <c r="N44" s="264" t="s">
        <v>0</v>
      </c>
      <c r="O44" s="218">
        <f>SUM(O32:O43)</f>
        <v>80</v>
      </c>
      <c r="P44" s="265"/>
      <c r="Q44" s="368">
        <f>SUM(Q32:Q43)</f>
        <v>102</v>
      </c>
      <c r="S44" s="419" t="s">
        <v>321</v>
      </c>
      <c r="T44" s="394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394"/>
      <c r="AG44" s="394"/>
      <c r="AH44" s="394"/>
    </row>
    <row r="45" spans="2:34" s="86" customFormat="1" ht="8.25" customHeight="1" x14ac:dyDescent="0.2">
      <c r="B45" s="466" t="s">
        <v>273</v>
      </c>
      <c r="C45" s="267"/>
      <c r="D45" s="267"/>
      <c r="E45" s="388"/>
      <c r="F45" s="388"/>
      <c r="G45" s="174"/>
      <c r="H45" s="127"/>
      <c r="I45" s="4"/>
      <c r="J45" s="394"/>
      <c r="K45" s="388"/>
      <c r="L45" s="388"/>
      <c r="M45" s="388"/>
      <c r="N45" s="225"/>
      <c r="O45" s="225"/>
      <c r="P45" s="225"/>
      <c r="Q45" s="250"/>
      <c r="S45" s="419"/>
      <c r="T45" s="394"/>
      <c r="V45" s="394"/>
      <c r="W45" s="394"/>
      <c r="X45" s="394"/>
      <c r="Y45" s="394"/>
      <c r="Z45" s="394"/>
      <c r="AA45" s="394"/>
      <c r="AB45" s="394"/>
      <c r="AC45" s="394"/>
      <c r="AD45" s="394"/>
      <c r="AE45" s="394"/>
      <c r="AF45" s="394"/>
      <c r="AG45" s="394"/>
      <c r="AH45" s="394"/>
    </row>
    <row r="46" spans="2:34" ht="11.1" customHeight="1" x14ac:dyDescent="0.2">
      <c r="B46" s="321" t="s">
        <v>208</v>
      </c>
      <c r="C46" s="161"/>
      <c r="D46" s="161"/>
      <c r="E46" s="161"/>
      <c r="F46" s="161"/>
      <c r="G46" s="161"/>
      <c r="H46" s="160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268"/>
      <c r="U46" s="268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</row>
    <row r="47" spans="2:34" ht="11.1" customHeight="1" x14ac:dyDescent="0.2">
      <c r="B47" s="7" t="s">
        <v>209</v>
      </c>
      <c r="C47" s="161"/>
      <c r="D47" s="161"/>
      <c r="E47" s="161"/>
      <c r="F47" s="161"/>
      <c r="G47" s="161"/>
      <c r="H47" s="160"/>
      <c r="I47" s="161"/>
      <c r="J47" s="161"/>
      <c r="L47" s="161"/>
      <c r="M47" s="161"/>
      <c r="N47" s="161"/>
      <c r="O47" s="161"/>
      <c r="P47" s="161"/>
      <c r="Q47" s="161"/>
      <c r="R47" s="161"/>
      <c r="S47" s="161"/>
      <c r="T47" s="268"/>
      <c r="U47" s="268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</row>
    <row r="48" spans="2:34" ht="11.1" customHeight="1" x14ac:dyDescent="0.2">
      <c r="B48" s="7" t="s">
        <v>225</v>
      </c>
      <c r="C48" s="161"/>
      <c r="D48" s="161"/>
      <c r="E48" s="161"/>
      <c r="F48" s="161"/>
      <c r="G48" s="161"/>
      <c r="H48" s="160"/>
      <c r="I48" s="161"/>
      <c r="J48" s="161"/>
      <c r="L48" s="161"/>
      <c r="M48" s="161"/>
      <c r="N48" s="161"/>
      <c r="O48" s="161"/>
      <c r="P48" s="161"/>
      <c r="Q48" s="161"/>
      <c r="R48" s="161"/>
      <c r="S48" s="161"/>
      <c r="T48" s="268"/>
      <c r="U48" s="268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</row>
    <row r="49" spans="2:34" ht="11.1" customHeight="1" x14ac:dyDescent="0.2">
      <c r="B49" s="7" t="s">
        <v>214</v>
      </c>
      <c r="C49" s="161"/>
      <c r="D49" s="161"/>
      <c r="E49" s="161"/>
      <c r="F49" s="161"/>
      <c r="G49" s="161"/>
      <c r="H49" s="160"/>
      <c r="I49" s="161"/>
      <c r="J49" s="161"/>
      <c r="L49" s="161"/>
      <c r="M49" s="161"/>
      <c r="N49" s="161"/>
      <c r="O49" s="161"/>
      <c r="P49" s="161"/>
      <c r="Q49" s="161"/>
      <c r="R49" s="161"/>
      <c r="S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</row>
    <row r="50" spans="2:34" ht="11.1" customHeight="1" x14ac:dyDescent="0.2">
      <c r="H50" s="119"/>
    </row>
    <row r="51" spans="2:34" ht="11.1" customHeight="1" x14ac:dyDescent="0.2">
      <c r="H51" s="119"/>
    </row>
    <row r="52" spans="2:34" x14ac:dyDescent="0.2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5"/>
      <c r="T52" s="127"/>
      <c r="U52" s="127"/>
      <c r="W52" s="128"/>
    </row>
    <row r="53" spans="2:34" x14ac:dyDescent="0.2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5"/>
      <c r="T53" s="127"/>
      <c r="U53" s="127"/>
      <c r="W53" s="128"/>
    </row>
    <row r="54" spans="2:34" x14ac:dyDescent="0.2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5"/>
      <c r="T54" s="127"/>
      <c r="U54" s="127"/>
      <c r="W54" s="128"/>
    </row>
    <row r="55" spans="2:34" x14ac:dyDescent="0.2">
      <c r="C55" s="7"/>
      <c r="T55" s="127"/>
      <c r="U55" s="127"/>
      <c r="W55" s="128"/>
    </row>
    <row r="56" spans="2:34" x14ac:dyDescent="0.2">
      <c r="H56" s="119"/>
      <c r="T56" s="127"/>
      <c r="U56" s="127"/>
      <c r="W56" s="128"/>
    </row>
    <row r="57" spans="2:34" x14ac:dyDescent="0.2">
      <c r="H57" s="119"/>
      <c r="T57" s="127"/>
      <c r="U57" s="127"/>
      <c r="W57" s="128"/>
    </row>
    <row r="58" spans="2:34" x14ac:dyDescent="0.2">
      <c r="H58" s="119"/>
      <c r="T58" s="127"/>
      <c r="U58" s="127"/>
      <c r="W58" s="128"/>
    </row>
    <row r="59" spans="2:34" x14ac:dyDescent="0.2">
      <c r="H59" s="119"/>
      <c r="T59" s="127"/>
      <c r="U59" s="127"/>
      <c r="W59" s="128"/>
    </row>
    <row r="60" spans="2:34" x14ac:dyDescent="0.2">
      <c r="H60" s="119"/>
      <c r="T60" s="127"/>
      <c r="U60" s="127"/>
      <c r="W60" s="128"/>
    </row>
    <row r="61" spans="2:34" x14ac:dyDescent="0.2">
      <c r="H61" s="119"/>
      <c r="T61" s="127"/>
      <c r="U61" s="127"/>
      <c r="W61" s="128"/>
    </row>
    <row r="62" spans="2:34" x14ac:dyDescent="0.2">
      <c r="H62" s="119"/>
      <c r="T62" s="127"/>
      <c r="U62" s="127"/>
      <c r="W62" s="128"/>
    </row>
  </sheetData>
  <mergeCells count="15">
    <mergeCell ref="S4:U4"/>
    <mergeCell ref="V4:W4"/>
    <mergeCell ref="T32:U32"/>
    <mergeCell ref="B4:C4"/>
    <mergeCell ref="E4:G4"/>
    <mergeCell ref="H4:I4"/>
    <mergeCell ref="K4:L4"/>
    <mergeCell ref="N4:O4"/>
    <mergeCell ref="Q4:R4"/>
    <mergeCell ref="B1:V1"/>
    <mergeCell ref="B2:V2"/>
    <mergeCell ref="B3:C3"/>
    <mergeCell ref="H3:I3"/>
    <mergeCell ref="K3:L3"/>
    <mergeCell ref="N3:V3"/>
  </mergeCells>
  <pageMargins left="0.29527559055118113" right="0.29527559055118113" top="0.19685039370078741" bottom="0.11811023622047245" header="0.31496062992125984" footer="0.31496062992125984"/>
  <pageSetup paperSize="4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0" workbookViewId="0">
      <selection activeCell="J14" sqref="J14"/>
    </sheetView>
  </sheetViews>
  <sheetFormatPr baseColWidth="10" defaultRowHeight="12.75" x14ac:dyDescent="0.2"/>
  <sheetData>
    <row r="1" spans="1:8" x14ac:dyDescent="0.2">
      <c r="A1" t="s">
        <v>311</v>
      </c>
    </row>
    <row r="2" spans="1:8" x14ac:dyDescent="0.2">
      <c r="B2" t="s">
        <v>310</v>
      </c>
      <c r="C2" t="s">
        <v>309</v>
      </c>
      <c r="D2" t="s">
        <v>0</v>
      </c>
      <c r="F2" s="3" t="s">
        <v>312</v>
      </c>
      <c r="G2" s="3" t="s">
        <v>313</v>
      </c>
    </row>
    <row r="3" spans="1:8" ht="15" x14ac:dyDescent="0.3">
      <c r="A3">
        <v>1</v>
      </c>
      <c r="B3">
        <v>23</v>
      </c>
      <c r="C3" s="129">
        <v>9.67</v>
      </c>
      <c r="D3" s="27">
        <f>B3*C3</f>
        <v>222.41</v>
      </c>
      <c r="F3" s="685">
        <f>4*12+5+7</f>
        <v>60</v>
      </c>
      <c r="G3" s="686">
        <v>4.83</v>
      </c>
      <c r="H3" s="687">
        <f>G3*F3</f>
        <v>289.8</v>
      </c>
    </row>
    <row r="4" spans="1:8" ht="13.5" x14ac:dyDescent="0.25">
      <c r="A4">
        <v>2</v>
      </c>
      <c r="B4">
        <v>11</v>
      </c>
      <c r="C4" s="129">
        <v>9.67</v>
      </c>
      <c r="D4" s="27">
        <f>B4*C4</f>
        <v>106.37</v>
      </c>
      <c r="F4" s="688">
        <f>12*12+5+7</f>
        <v>156</v>
      </c>
      <c r="G4" s="686">
        <v>8.06</v>
      </c>
      <c r="H4" s="687">
        <f t="shared" ref="H4:H39" si="0">G4*F4</f>
        <v>1257.3600000000001</v>
      </c>
    </row>
    <row r="5" spans="1:8" ht="15" x14ac:dyDescent="0.3">
      <c r="A5">
        <v>3</v>
      </c>
      <c r="B5">
        <v>12</v>
      </c>
      <c r="C5" s="129">
        <v>9.67</v>
      </c>
      <c r="D5" s="27">
        <f>B5*C5</f>
        <v>116.03999999999999</v>
      </c>
      <c r="F5" s="689">
        <f>5*12+5+7</f>
        <v>72</v>
      </c>
      <c r="G5" s="689">
        <v>10.58</v>
      </c>
      <c r="H5" s="687">
        <f t="shared" si="0"/>
        <v>761.76</v>
      </c>
    </row>
    <row r="6" spans="1:8" ht="15" x14ac:dyDescent="0.3">
      <c r="A6">
        <v>4</v>
      </c>
      <c r="B6">
        <v>5</v>
      </c>
      <c r="C6" s="129">
        <v>9.67</v>
      </c>
      <c r="D6" s="27">
        <f>B6*C6</f>
        <v>48.35</v>
      </c>
      <c r="F6" s="689">
        <f>39*12+7+5</f>
        <v>480</v>
      </c>
      <c r="G6" s="689">
        <v>1.61</v>
      </c>
      <c r="H6" s="687">
        <f t="shared" si="0"/>
        <v>772.80000000000007</v>
      </c>
    </row>
    <row r="7" spans="1:8" ht="15" x14ac:dyDescent="0.3">
      <c r="A7">
        <v>5</v>
      </c>
      <c r="B7">
        <v>2</v>
      </c>
      <c r="C7" s="129">
        <v>9.67</v>
      </c>
      <c r="D7" s="27">
        <f>B7*C7</f>
        <v>19.34</v>
      </c>
      <c r="F7" s="685">
        <f>39*12+4+8</f>
        <v>480</v>
      </c>
      <c r="G7" s="685">
        <v>2.42</v>
      </c>
      <c r="H7" s="687">
        <f t="shared" si="0"/>
        <v>1161.5999999999999</v>
      </c>
    </row>
    <row r="8" spans="1:8" ht="15" x14ac:dyDescent="0.3">
      <c r="A8">
        <v>6</v>
      </c>
      <c r="B8">
        <v>18</v>
      </c>
      <c r="C8" s="129">
        <v>9.67</v>
      </c>
      <c r="D8" s="27">
        <f t="shared" ref="D8:D13" si="1">B8*C8</f>
        <v>174.06</v>
      </c>
      <c r="F8" s="685">
        <f>7*12+8+4</f>
        <v>96</v>
      </c>
      <c r="G8" s="685">
        <v>2.42</v>
      </c>
      <c r="H8" s="687">
        <f t="shared" si="0"/>
        <v>232.32</v>
      </c>
    </row>
    <row r="9" spans="1:8" ht="15" x14ac:dyDescent="0.3">
      <c r="A9">
        <v>7</v>
      </c>
      <c r="B9">
        <v>9</v>
      </c>
      <c r="C9" s="129">
        <v>9.67</v>
      </c>
      <c r="D9" s="27">
        <f t="shared" si="1"/>
        <v>87.03</v>
      </c>
      <c r="F9" s="685">
        <f>24*12+12</f>
        <v>300</v>
      </c>
      <c r="G9" s="685">
        <v>0.81</v>
      </c>
      <c r="H9" s="687">
        <f t="shared" si="0"/>
        <v>243.00000000000003</v>
      </c>
    </row>
    <row r="10" spans="1:8" ht="15" x14ac:dyDescent="0.3">
      <c r="A10">
        <v>8</v>
      </c>
      <c r="B10">
        <v>3</v>
      </c>
      <c r="C10" s="129">
        <v>9.67</v>
      </c>
      <c r="D10" s="27">
        <f t="shared" si="1"/>
        <v>29.009999999999998</v>
      </c>
      <c r="F10" s="684">
        <f>35*12</f>
        <v>420</v>
      </c>
      <c r="G10" s="685">
        <v>2.42</v>
      </c>
      <c r="H10" s="687">
        <f t="shared" si="0"/>
        <v>1016.4</v>
      </c>
    </row>
    <row r="11" spans="1:8" ht="15" x14ac:dyDescent="0.3">
      <c r="A11">
        <v>9</v>
      </c>
      <c r="B11">
        <v>24</v>
      </c>
      <c r="C11" s="129">
        <v>9.67</v>
      </c>
      <c r="D11" s="27">
        <f t="shared" si="1"/>
        <v>232.07999999999998</v>
      </c>
      <c r="F11" s="684">
        <f>39*12+12</f>
        <v>480</v>
      </c>
      <c r="G11" s="685">
        <v>0.81</v>
      </c>
      <c r="H11" s="687">
        <f t="shared" si="0"/>
        <v>388.8</v>
      </c>
    </row>
    <row r="12" spans="1:8" ht="15" x14ac:dyDescent="0.3">
      <c r="A12">
        <v>10</v>
      </c>
      <c r="B12">
        <v>11</v>
      </c>
      <c r="C12" s="129">
        <v>9.67</v>
      </c>
      <c r="D12" s="27">
        <f t="shared" si="1"/>
        <v>106.37</v>
      </c>
      <c r="F12" s="684">
        <f>13*12+12</f>
        <v>168</v>
      </c>
      <c r="G12" s="685">
        <v>8.06</v>
      </c>
      <c r="H12" s="683">
        <f t="shared" si="0"/>
        <v>1354.0800000000002</v>
      </c>
    </row>
    <row r="13" spans="1:8" ht="15" x14ac:dyDescent="0.3">
      <c r="A13">
        <v>11</v>
      </c>
      <c r="B13">
        <v>23</v>
      </c>
      <c r="C13" s="129">
        <v>9.67</v>
      </c>
      <c r="D13" s="27">
        <f t="shared" si="1"/>
        <v>222.41</v>
      </c>
      <c r="F13" s="684">
        <f>22*12+12</f>
        <v>276</v>
      </c>
      <c r="G13" s="684">
        <v>2.42</v>
      </c>
      <c r="H13" s="683">
        <f t="shared" si="0"/>
        <v>667.92</v>
      </c>
    </row>
    <row r="14" spans="1:8" ht="15" x14ac:dyDescent="0.3">
      <c r="D14" s="27">
        <f>SUM(D3:D13)</f>
        <v>1363.47</v>
      </c>
      <c r="F14" s="684">
        <f>38*12+12</f>
        <v>468</v>
      </c>
      <c r="G14" s="684">
        <v>2.42</v>
      </c>
      <c r="H14" s="683">
        <f t="shared" si="0"/>
        <v>1132.56</v>
      </c>
    </row>
    <row r="15" spans="1:8" ht="15" x14ac:dyDescent="0.3">
      <c r="F15" s="684">
        <f>39*12+12</f>
        <v>480</v>
      </c>
      <c r="G15" s="684">
        <v>0.81</v>
      </c>
      <c r="H15" s="683">
        <f t="shared" si="0"/>
        <v>388.8</v>
      </c>
    </row>
    <row r="16" spans="1:8" ht="15" x14ac:dyDescent="0.3">
      <c r="F16" s="684">
        <f>39*12+12</f>
        <v>480</v>
      </c>
      <c r="G16" s="684">
        <v>2.42</v>
      </c>
      <c r="H16" s="683">
        <f t="shared" si="0"/>
        <v>1161.5999999999999</v>
      </c>
    </row>
    <row r="17" spans="1:8" ht="15" x14ac:dyDescent="0.3">
      <c r="F17" s="684">
        <f>15*12+12</f>
        <v>192</v>
      </c>
      <c r="G17" s="684">
        <v>8.06</v>
      </c>
      <c r="H17" s="683">
        <f t="shared" si="0"/>
        <v>1547.52</v>
      </c>
    </row>
    <row r="18" spans="1:8" ht="15" x14ac:dyDescent="0.3">
      <c r="A18" s="3" t="s">
        <v>319</v>
      </c>
      <c r="B18" s="3" t="s">
        <v>313</v>
      </c>
      <c r="F18">
        <f>13*12+12</f>
        <v>168</v>
      </c>
      <c r="G18" s="684">
        <v>8.06</v>
      </c>
      <c r="H18" s="129">
        <f t="shared" si="0"/>
        <v>1354.0800000000002</v>
      </c>
    </row>
    <row r="19" spans="1:8" ht="15" x14ac:dyDescent="0.3">
      <c r="A19" s="678">
        <f>4*12+12</f>
        <v>60</v>
      </c>
      <c r="B19" s="679">
        <v>17.899999999999999</v>
      </c>
      <c r="C19" s="680">
        <f>B19*A19</f>
        <v>1074</v>
      </c>
      <c r="F19">
        <f>39*12+12</f>
        <v>480</v>
      </c>
      <c r="G19" s="684">
        <v>0.81</v>
      </c>
      <c r="H19" s="129">
        <f t="shared" si="0"/>
        <v>388.8</v>
      </c>
    </row>
    <row r="20" spans="1:8" ht="15" x14ac:dyDescent="0.3">
      <c r="A20" s="681">
        <f>3*12+12</f>
        <v>48</v>
      </c>
      <c r="B20" s="679">
        <v>27.12</v>
      </c>
      <c r="C20" s="680">
        <f>B20*A20</f>
        <v>1301.76</v>
      </c>
      <c r="F20">
        <f>39*12+12</f>
        <v>480</v>
      </c>
      <c r="G20" s="684">
        <v>2.42</v>
      </c>
      <c r="H20" s="129">
        <f t="shared" si="0"/>
        <v>1161.5999999999999</v>
      </c>
    </row>
    <row r="21" spans="1:8" ht="15" x14ac:dyDescent="0.3">
      <c r="A21" s="682">
        <f>12*4+12</f>
        <v>60</v>
      </c>
      <c r="B21" s="682">
        <v>9.08</v>
      </c>
      <c r="C21" s="680">
        <f>B21*A21</f>
        <v>544.79999999999995</v>
      </c>
      <c r="F21">
        <f>38*12+12</f>
        <v>468</v>
      </c>
      <c r="G21" s="684">
        <v>0.81</v>
      </c>
      <c r="H21" s="129">
        <f t="shared" si="0"/>
        <v>379.08000000000004</v>
      </c>
    </row>
    <row r="22" spans="1:8" ht="15" x14ac:dyDescent="0.3">
      <c r="C22" s="27">
        <f>SUM(C18:C21)</f>
        <v>2920.5600000000004</v>
      </c>
      <c r="F22">
        <f>4*12+12</f>
        <v>60</v>
      </c>
      <c r="G22" s="684">
        <v>21.15</v>
      </c>
      <c r="H22" s="129">
        <f t="shared" si="0"/>
        <v>1269</v>
      </c>
    </row>
    <row r="23" spans="1:8" ht="15" x14ac:dyDescent="0.3">
      <c r="F23">
        <f>30*12+12</f>
        <v>372</v>
      </c>
      <c r="G23" s="684">
        <v>2.42</v>
      </c>
      <c r="H23" s="129">
        <f t="shared" si="0"/>
        <v>900.24</v>
      </c>
    </row>
    <row r="24" spans="1:8" x14ac:dyDescent="0.2">
      <c r="F24">
        <f>37*12+12</f>
        <v>456</v>
      </c>
      <c r="G24">
        <v>0.81</v>
      </c>
      <c r="H24" s="129">
        <f t="shared" si="0"/>
        <v>369.36</v>
      </c>
    </row>
    <row r="25" spans="1:8" ht="15" x14ac:dyDescent="0.3">
      <c r="F25">
        <f>16*12+12</f>
        <v>204</v>
      </c>
      <c r="G25" s="684">
        <v>4.03</v>
      </c>
      <c r="H25" s="129">
        <f t="shared" si="0"/>
        <v>822.12</v>
      </c>
    </row>
    <row r="26" spans="1:8" ht="15" x14ac:dyDescent="0.3">
      <c r="F26">
        <f>24*12+12</f>
        <v>300</v>
      </c>
      <c r="G26" s="684">
        <v>2.42</v>
      </c>
      <c r="H26" s="129">
        <f t="shared" si="0"/>
        <v>726</v>
      </c>
    </row>
    <row r="27" spans="1:8" ht="15" x14ac:dyDescent="0.3">
      <c r="F27">
        <f>38*12+12</f>
        <v>468</v>
      </c>
      <c r="G27" s="684">
        <v>0.81</v>
      </c>
      <c r="H27" s="129">
        <f t="shared" si="0"/>
        <v>379.08000000000004</v>
      </c>
    </row>
    <row r="28" spans="1:8" ht="15" x14ac:dyDescent="0.3">
      <c r="F28">
        <f>39*12+12</f>
        <v>480</v>
      </c>
      <c r="G28" s="684">
        <v>2.42</v>
      </c>
      <c r="H28" s="129">
        <f t="shared" ref="H28" si="2">G28*F28</f>
        <v>1161.5999999999999</v>
      </c>
    </row>
    <row r="29" spans="1:8" ht="15" x14ac:dyDescent="0.3">
      <c r="F29">
        <f>39*12+12</f>
        <v>480</v>
      </c>
      <c r="G29" s="684">
        <v>2.42</v>
      </c>
      <c r="H29" s="129">
        <f t="shared" ref="H29:H33" si="3">G29*F29</f>
        <v>1161.5999999999999</v>
      </c>
    </row>
    <row r="30" spans="1:8" ht="15" x14ac:dyDescent="0.3">
      <c r="F30">
        <f>39*12+12</f>
        <v>480</v>
      </c>
      <c r="G30" s="684">
        <v>2.42</v>
      </c>
      <c r="H30" s="129">
        <f t="shared" si="3"/>
        <v>1161.5999999999999</v>
      </c>
    </row>
    <row r="31" spans="1:8" ht="15" x14ac:dyDescent="0.3">
      <c r="F31">
        <f>34*12+12</f>
        <v>420</v>
      </c>
      <c r="G31" s="684">
        <v>1.61</v>
      </c>
      <c r="H31" s="129">
        <f t="shared" si="3"/>
        <v>676.2</v>
      </c>
    </row>
    <row r="32" spans="1:8" ht="15" x14ac:dyDescent="0.3">
      <c r="F32">
        <f>20*12+12</f>
        <v>252</v>
      </c>
      <c r="G32" s="684">
        <v>2.42</v>
      </c>
      <c r="H32" s="129">
        <f t="shared" si="3"/>
        <v>609.84</v>
      </c>
    </row>
    <row r="33" spans="6:8" ht="15" x14ac:dyDescent="0.3">
      <c r="F33">
        <f>39*12+12</f>
        <v>480</v>
      </c>
      <c r="G33" s="684">
        <v>2.42</v>
      </c>
      <c r="H33" s="129">
        <f t="shared" si="3"/>
        <v>1161.5999999999999</v>
      </c>
    </row>
    <row r="34" spans="6:8" ht="15" x14ac:dyDescent="0.3">
      <c r="F34">
        <f>33*12+12</f>
        <v>408</v>
      </c>
      <c r="G34" s="684">
        <v>1.61</v>
      </c>
      <c r="H34" s="129">
        <f t="shared" si="0"/>
        <v>656.88</v>
      </c>
    </row>
    <row r="35" spans="6:8" ht="15" x14ac:dyDescent="0.3">
      <c r="F35">
        <f>39*12+12</f>
        <v>480</v>
      </c>
      <c r="G35" s="684">
        <v>2.42</v>
      </c>
      <c r="H35" s="129">
        <f t="shared" si="0"/>
        <v>1161.5999999999999</v>
      </c>
    </row>
    <row r="36" spans="6:8" x14ac:dyDescent="0.2">
      <c r="H36" s="129">
        <f t="shared" si="0"/>
        <v>0</v>
      </c>
    </row>
    <row r="37" spans="6:8" x14ac:dyDescent="0.2">
      <c r="H37" s="129">
        <f t="shared" si="0"/>
        <v>0</v>
      </c>
    </row>
    <row r="38" spans="6:8" x14ac:dyDescent="0.2">
      <c r="H38" s="129">
        <f t="shared" si="0"/>
        <v>0</v>
      </c>
    </row>
    <row r="39" spans="6:8" x14ac:dyDescent="0.2">
      <c r="H39" s="129">
        <f t="shared" si="0"/>
        <v>0</v>
      </c>
    </row>
    <row r="40" spans="6:8" x14ac:dyDescent="0.2">
      <c r="H40" s="27">
        <f>SUM(H3:H39)</f>
        <v>27876.599999999995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1. RESUMEN DE PAGADOS </vt:lpstr>
      <vt:lpstr>2. RESUMEN PAG VRS APORTES</vt:lpstr>
      <vt:lpstr>3. ESTADÍSTICAS</vt:lpstr>
      <vt:lpstr>8. REPORTADOS F+ DETALLE-SEG</vt:lpstr>
      <vt:lpstr>9. FALLECIDOS PR SEXO </vt:lpstr>
      <vt:lpstr>10. FALLECIDOS POR DEPAR -SEXO</vt:lpstr>
      <vt:lpstr>11.COMP PAGOS DE SEGUROS 18-19</vt:lpstr>
      <vt:lpstr>12.EST COMPARATIVA 18-19</vt:lpstr>
      <vt:lpstr>TOTAL APORTES</vt:lpstr>
      <vt:lpstr>4. RESUMEN DEV 30%</vt:lpstr>
      <vt:lpstr>5. RESUMEN VR</vt:lpstr>
      <vt:lpstr>6. RESUMEN VP</vt:lpstr>
    </vt:vector>
  </TitlesOfParts>
  <Company>Caja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Cecilia Medina</cp:lastModifiedBy>
  <cp:lastPrinted>2019-10-29T14:35:43Z</cp:lastPrinted>
  <dcterms:created xsi:type="dcterms:W3CDTF">2002-04-29T19:59:45Z</dcterms:created>
  <dcterms:modified xsi:type="dcterms:W3CDTF">2019-10-31T14:38:02Z</dcterms:modified>
</cp:coreProperties>
</file>