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885" activeTab="5"/>
  </bookViews>
  <sheets>
    <sheet name="Fallecidos por Sexo" sheetId="6" r:id="rId1"/>
    <sheet name="FallecidosXSexo tipos de seguro" sheetId="5" r:id="rId2"/>
    <sheet name="Seguros Pagados 2018" sheetId="1" r:id="rId3"/>
    <sheet name="Valores de Rescate" sheetId="3" r:id="rId4"/>
    <sheet name="Vencimiento de Plazo" sheetId="4" r:id="rId5"/>
    <sheet name="Devolución 30%" sheetId="2" r:id="rId6"/>
  </sheets>
  <calcPr calcId="152511"/>
</workbook>
</file>

<file path=xl/calcChain.xml><?xml version="1.0" encoding="utf-8"?>
<calcChain xmlns="http://schemas.openxmlformats.org/spreadsheetml/2006/main">
  <c r="D23" i="6" l="1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23" i="6" s="1"/>
  <c r="M22" i="5" l="1"/>
  <c r="L22" i="5"/>
  <c r="K22" i="5"/>
  <c r="J22" i="5"/>
  <c r="I22" i="5"/>
  <c r="G22" i="5"/>
  <c r="F22" i="5"/>
  <c r="E22" i="5"/>
  <c r="D22" i="5"/>
  <c r="C22" i="5"/>
  <c r="O21" i="5"/>
  <c r="N21" i="5"/>
  <c r="P21" i="5" s="1"/>
  <c r="H21" i="5"/>
  <c r="O20" i="5"/>
  <c r="N20" i="5"/>
  <c r="P20" i="5" s="1"/>
  <c r="H20" i="5"/>
  <c r="O19" i="5"/>
  <c r="N19" i="5"/>
  <c r="P19" i="5" s="1"/>
  <c r="H19" i="5"/>
  <c r="O18" i="5"/>
  <c r="N18" i="5"/>
  <c r="P18" i="5" s="1"/>
  <c r="H18" i="5"/>
  <c r="O17" i="5"/>
  <c r="N17" i="5"/>
  <c r="P17" i="5" s="1"/>
  <c r="H17" i="5"/>
  <c r="O16" i="5"/>
  <c r="N16" i="5"/>
  <c r="P16" i="5" s="1"/>
  <c r="H16" i="5"/>
  <c r="O15" i="5"/>
  <c r="N15" i="5"/>
  <c r="P15" i="5" s="1"/>
  <c r="H15" i="5"/>
  <c r="O14" i="5"/>
  <c r="N14" i="5"/>
  <c r="P14" i="5" s="1"/>
  <c r="H14" i="5"/>
  <c r="O13" i="5"/>
  <c r="N13" i="5"/>
  <c r="P13" i="5" s="1"/>
  <c r="H13" i="5"/>
  <c r="O12" i="5"/>
  <c r="N12" i="5"/>
  <c r="P12" i="5" s="1"/>
  <c r="H12" i="5"/>
  <c r="O11" i="5"/>
  <c r="N11" i="5"/>
  <c r="P11" i="5" s="1"/>
  <c r="H11" i="5"/>
  <c r="O10" i="5"/>
  <c r="O22" i="5" s="1"/>
  <c r="N10" i="5"/>
  <c r="N22" i="5" s="1"/>
  <c r="H10" i="5"/>
  <c r="H22" i="5" s="1"/>
  <c r="P10" i="5" l="1"/>
  <c r="P22" i="5" s="1"/>
  <c r="F23" i="4" l="1"/>
  <c r="E23" i="4"/>
  <c r="D23" i="4"/>
  <c r="C23" i="4"/>
  <c r="F22" i="4"/>
  <c r="E22" i="4"/>
  <c r="D22" i="4"/>
  <c r="C22" i="4"/>
  <c r="F21" i="4"/>
  <c r="E21" i="4"/>
  <c r="D21" i="4"/>
  <c r="C21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2" i="4"/>
  <c r="F24" i="4" s="1"/>
  <c r="E12" i="4"/>
  <c r="E24" i="4" s="1"/>
  <c r="D12" i="4"/>
  <c r="D24" i="4" s="1"/>
  <c r="C12" i="4"/>
  <c r="C24" i="4" s="1"/>
  <c r="F21" i="3" l="1"/>
  <c r="E21" i="3"/>
  <c r="D21" i="3"/>
  <c r="C21" i="3"/>
  <c r="F20" i="3"/>
  <c r="E20" i="3"/>
  <c r="D20" i="3"/>
  <c r="C20" i="3"/>
  <c r="F19" i="3"/>
  <c r="E19" i="3"/>
  <c r="D19" i="3"/>
  <c r="C19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0" i="3"/>
  <c r="F22" i="3" s="1"/>
  <c r="E10" i="3"/>
  <c r="E22" i="3" s="1"/>
  <c r="D10" i="3"/>
  <c r="D22" i="3" s="1"/>
  <c r="C10" i="3"/>
  <c r="C22" i="3" s="1"/>
  <c r="F21" i="2" l="1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0" i="2"/>
  <c r="F22" i="2" s="1"/>
  <c r="E10" i="2"/>
  <c r="E22" i="2" s="1"/>
  <c r="D10" i="2"/>
  <c r="D22" i="2" s="1"/>
  <c r="C10" i="2"/>
  <c r="C22" i="2" s="1"/>
  <c r="P18" i="1" l="1"/>
  <c r="O18" i="1"/>
  <c r="K18" i="1"/>
  <c r="R17" i="1"/>
  <c r="M17" i="1"/>
  <c r="L17" i="1"/>
  <c r="H17" i="1"/>
  <c r="G17" i="1"/>
  <c r="Q17" i="1" s="1"/>
  <c r="F17" i="1"/>
  <c r="E17" i="1"/>
  <c r="D17" i="1"/>
  <c r="C17" i="1"/>
  <c r="B17" i="1"/>
  <c r="R16" i="1"/>
  <c r="N16" i="1"/>
  <c r="N18" i="1" s="1"/>
  <c r="M16" i="1"/>
  <c r="L16" i="1"/>
  <c r="H16" i="1"/>
  <c r="Q16" i="1" s="1"/>
  <c r="G16" i="1"/>
  <c r="F16" i="1"/>
  <c r="E16" i="1"/>
  <c r="D16" i="1"/>
  <c r="C16" i="1"/>
  <c r="B16" i="1"/>
  <c r="M15" i="1"/>
  <c r="L15" i="1"/>
  <c r="I15" i="1"/>
  <c r="R15" i="1" s="1"/>
  <c r="H15" i="1"/>
  <c r="Q15" i="1" s="1"/>
  <c r="G15" i="1"/>
  <c r="F15" i="1"/>
  <c r="E15" i="1"/>
  <c r="D15" i="1"/>
  <c r="C15" i="1"/>
  <c r="B15" i="1"/>
  <c r="R14" i="1"/>
  <c r="M14" i="1"/>
  <c r="L14" i="1"/>
  <c r="H14" i="1"/>
  <c r="G14" i="1"/>
  <c r="Q14" i="1" s="1"/>
  <c r="F14" i="1"/>
  <c r="E14" i="1"/>
  <c r="D14" i="1"/>
  <c r="C14" i="1"/>
  <c r="B14" i="1"/>
  <c r="R13" i="1"/>
  <c r="M13" i="1"/>
  <c r="L13" i="1"/>
  <c r="H13" i="1"/>
  <c r="G13" i="1"/>
  <c r="Q13" i="1" s="1"/>
  <c r="F13" i="1"/>
  <c r="E13" i="1"/>
  <c r="D13" i="1"/>
  <c r="C13" i="1"/>
  <c r="B13" i="1"/>
  <c r="R12" i="1"/>
  <c r="L12" i="1"/>
  <c r="H12" i="1"/>
  <c r="Q12" i="1" s="1"/>
  <c r="G12" i="1"/>
  <c r="F12" i="1"/>
  <c r="E12" i="1"/>
  <c r="D12" i="1"/>
  <c r="C12" i="1"/>
  <c r="B12" i="1"/>
  <c r="R11" i="1"/>
  <c r="M11" i="1"/>
  <c r="L11" i="1"/>
  <c r="J11" i="1"/>
  <c r="H11" i="1"/>
  <c r="Q11" i="1" s="1"/>
  <c r="G11" i="1"/>
  <c r="F11" i="1"/>
  <c r="E11" i="1"/>
  <c r="D11" i="1"/>
  <c r="C11" i="1"/>
  <c r="B11" i="1"/>
  <c r="R10" i="1"/>
  <c r="M10" i="1"/>
  <c r="L10" i="1"/>
  <c r="H10" i="1"/>
  <c r="G10" i="1"/>
  <c r="Q10" i="1" s="1"/>
  <c r="F10" i="1"/>
  <c r="E10" i="1"/>
  <c r="D10" i="1"/>
  <c r="C10" i="1"/>
  <c r="B10" i="1"/>
  <c r="R9" i="1"/>
  <c r="M9" i="1"/>
  <c r="L9" i="1"/>
  <c r="J9" i="1"/>
  <c r="J18" i="1" s="1"/>
  <c r="H9" i="1"/>
  <c r="G9" i="1"/>
  <c r="Q9" i="1" s="1"/>
  <c r="F9" i="1"/>
  <c r="E9" i="1"/>
  <c r="C9" i="1"/>
  <c r="B9" i="1"/>
  <c r="R8" i="1"/>
  <c r="M8" i="1"/>
  <c r="L8" i="1"/>
  <c r="H8" i="1"/>
  <c r="G8" i="1"/>
  <c r="Q8" i="1" s="1"/>
  <c r="F8" i="1"/>
  <c r="F18" i="1" s="1"/>
  <c r="E8" i="1"/>
  <c r="E18" i="1" s="1"/>
  <c r="D8" i="1"/>
  <c r="C8" i="1"/>
  <c r="C18" i="1" s="1"/>
  <c r="B8" i="1"/>
  <c r="B18" i="1" s="1"/>
  <c r="R7" i="1"/>
  <c r="M7" i="1"/>
  <c r="L7" i="1"/>
  <c r="H7" i="1"/>
  <c r="G7" i="1"/>
  <c r="Q7" i="1" s="1"/>
  <c r="D7" i="1"/>
  <c r="C7" i="1"/>
  <c r="M6" i="1"/>
  <c r="M18" i="1" s="1"/>
  <c r="L6" i="1"/>
  <c r="L18" i="1" s="1"/>
  <c r="I6" i="1"/>
  <c r="Q6" i="1" s="1"/>
  <c r="Q18" i="1" s="1"/>
  <c r="H6" i="1"/>
  <c r="H18" i="1" s="1"/>
  <c r="G6" i="1"/>
  <c r="G18" i="1" s="1"/>
  <c r="E6" i="1"/>
  <c r="D6" i="1"/>
  <c r="D18" i="1" s="1"/>
  <c r="C6" i="1"/>
  <c r="R6" i="1" l="1"/>
  <c r="I18" i="1"/>
  <c r="R18" i="1" s="1"/>
</calcChain>
</file>

<file path=xl/comments1.xml><?xml version="1.0" encoding="utf-8"?>
<comments xmlns="http://schemas.openxmlformats.org/spreadsheetml/2006/main">
  <authors>
    <author>Autor</author>
  </authors>
  <commentList>
    <comment ref="B8" authorId="0" shapeId="0">
      <text>
        <r>
          <rPr>
            <b/>
            <sz val="8"/>
            <color indexed="81"/>
            <rFont val="Tahoma"/>
            <family val="2"/>
          </rPr>
          <t xml:space="preserve">Autor:
</t>
        </r>
      </text>
    </comment>
    <comment ref="B38" authorId="0" shapeId="0">
      <text>
        <r>
          <rPr>
            <b/>
            <sz val="8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<sst xmlns="http://schemas.openxmlformats.org/spreadsheetml/2006/main" count="210" uniqueCount="113">
  <si>
    <t>CUADRO RESUMEN DE SEGUROS DE VIDA OPCIONAL Y DOTAL, PAGADOS A BENEFICIARIOS Y COTIZACIONES REALIZADAS POR LOS ASEGURADOS</t>
  </si>
  <si>
    <t>CORRESPONDIENTE AL PERIODO DEL 01 DE ENERO AL 31 DE DICIEMBRE DEL AÑO 2018</t>
  </si>
  <si>
    <t>No.1</t>
  </si>
  <si>
    <t xml:space="preserve">MES   </t>
  </si>
  <si>
    <t>ASEGURADOS FALLECIDOS DEL AÑO 2018 DE QUIENES HAN RECLAMADO PAGOS</t>
  </si>
  <si>
    <t>CASOS DE SEGUROS PEND.DE PAGO DE OTROS AÑOS, PAGADOS EN EL 2018</t>
  </si>
  <si>
    <t>Nº DE BENEF. A LOS QUE SE LES HA PAGADO</t>
  </si>
  <si>
    <t>FALLECIDOS MUJERES</t>
  </si>
  <si>
    <t>FALLECIDOS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</si>
  <si>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</si>
  <si>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</si>
  <si>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</si>
  <si>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</si>
  <si>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</si>
  <si>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</si>
  <si>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</si>
  <si>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</si>
  <si>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</si>
  <si>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 xml:space="preserve">AL PAGAR INCAPACIDAD TOTAL Y PERMANENTE, MONTOS PAGADOS POR LOS ASEGURADOS A TRAVÉS DE LAS CUOTAS MENSUALES EN  EL SVO 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</si>
  <si>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</si>
  <si>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</si>
  <si>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</si>
  <si>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</si>
  <si>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</si>
  <si>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</si>
  <si>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</si>
  <si>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</si>
  <si>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</si>
  <si>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</si>
  <si>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</si>
  <si>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</si>
  <si>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</si>
  <si>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</si>
  <si>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>TOTAL</t>
  </si>
  <si>
    <t xml:space="preserve">NOTA : </t>
  </si>
  <si>
    <t>Donde aparece "0" es porque no hubo reclamo. También donde aparece"-" escantidad cero pero excel por es trabajando con valores solo pone guion</t>
  </si>
  <si>
    <t xml:space="preserve"> San Salvador, 7 de enero de 2019</t>
  </si>
  <si>
    <t>Vo.Bo.</t>
  </si>
  <si>
    <t xml:space="preserve"> </t>
  </si>
  <si>
    <t xml:space="preserve">         Dina Lariza Rivera Menjívar</t>
  </si>
  <si>
    <t xml:space="preserve">            Jefa Unidad de Seguros</t>
  </si>
  <si>
    <t>No. 4</t>
  </si>
  <si>
    <t>RESUMEN SOBRE VALORES PAGADOS EN DEVOLUCION DEL 30%</t>
  </si>
  <si>
    <t xml:space="preserve"> DE LOS APORTES PAGADOS EN EL SEGURO DE VIDA OPCIONAL A LOS  </t>
  </si>
  <si>
    <t>ASEGURADOS QUE CUMPLIERON 70 AÑOS DE EDAD DURANTE EL AÑO 2018</t>
  </si>
  <si>
    <t>DEL 01 DE ENERO AL 31 DE DICIEMBRE AÑO 2018</t>
  </si>
  <si>
    <t>MESES</t>
  </si>
  <si>
    <t>Nº DE VALORES DE RESCATE RECLAMADOS</t>
  </si>
  <si>
    <t>RENTA RETENIDA 10%</t>
  </si>
  <si>
    <t>VALORES PAGADOS POR LOS ASEGURADOS</t>
  </si>
  <si>
    <t>CANTIDAD PAGADA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</si>
  <si>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</si>
  <si>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</si>
  <si>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</si>
  <si>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</si>
  <si>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</si>
  <si>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</si>
  <si>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</si>
  <si>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</si>
  <si>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</si>
  <si>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</si>
  <si>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</si>
  <si>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</si>
  <si>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San Salvador, 07 de enero de 2019</t>
  </si>
  <si>
    <t xml:space="preserve">        Dina Lariza Rivera Menjívar</t>
  </si>
  <si>
    <t xml:space="preserve">       Jefa Unidad de Seguros</t>
  </si>
  <si>
    <t>No. 5</t>
  </si>
  <si>
    <t xml:space="preserve">RESUMEN SOBRE VALORES DE RESCATE </t>
  </si>
  <si>
    <t>DE SEGURO DE VIDA DOTAL PAGADOS AÑO 2018</t>
  </si>
  <si>
    <t>San Salvador, 07 de  enero de 2018</t>
  </si>
  <si>
    <t>No. 6</t>
  </si>
  <si>
    <t xml:space="preserve">RESUMEN MENSUAL SOBRE PAGO DE SEGURO  </t>
  </si>
  <si>
    <t>DE VIDA DOTAL POR VENCIMIENTO DE PÓLIZA  AÑO 2018</t>
  </si>
  <si>
    <t>NUMERO DE SEGUROS RECLAMADOS</t>
  </si>
  <si>
    <t>VALORES PAGADOS POR EL ASEGURADO</t>
  </si>
  <si>
    <t>CANTIDAD LIQUIDA PAGADA</t>
  </si>
  <si>
    <t xml:space="preserve">JULIO  </t>
  </si>
  <si>
    <t>San Salvador, 07 de enero del 2019</t>
  </si>
  <si>
    <t xml:space="preserve">            Vo.Bo.</t>
  </si>
  <si>
    <t>Dina Lariza Rivera Menjívar</t>
  </si>
  <si>
    <t>Jefa Unidad de Seguros</t>
  </si>
  <si>
    <t>No. 8</t>
  </si>
  <si>
    <t>ASEGURADOS REPORTADOS FALLECIDOS EN SEGUROS DE VIDA BÁSICO,</t>
  </si>
  <si>
    <t>OPCIONAL,  DOTAL Y SEGURO POR SEPELIO.</t>
  </si>
  <si>
    <t>TAMBIÉN SEGUROS RECLAMADOS POR TIPO DE SEGURO</t>
  </si>
  <si>
    <t>DEL 01 DE ENERO AL 31 DE DICIEMBRE DEL AÑO 2018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</si>
  <si>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</si>
  <si>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</si>
  <si>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</si>
  <si>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</si>
  <si>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BÁSICO</t>
  </si>
  <si>
    <t>OPCIONAL</t>
  </si>
  <si>
    <t>DOTAL</t>
  </si>
  <si>
    <t>SEPELIO</t>
  </si>
  <si>
    <t>SEGUROS RECLAMADOS HOMBRES</t>
  </si>
  <si>
    <t>MUJERES FALLECIDAS</t>
  </si>
  <si>
    <t>SEGUROS RECLAMADOS MUJERES</t>
  </si>
  <si>
    <t xml:space="preserve"> GENERAL FALLECIDOS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</si>
  <si>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</si>
  <si>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</si>
  <si>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</si>
  <si>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</si>
  <si>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 xml:space="preserve">           Dina Lariza Rivera Menjívar</t>
  </si>
  <si>
    <t xml:space="preserve">               Jefa Unidad de Seguros</t>
  </si>
  <si>
    <t>No. 9</t>
  </si>
  <si>
    <t>ASEGURADOS REPORTADOS FALLECIDOS EN SEGURO</t>
  </si>
  <si>
    <t>DE VIDA BÁSICO, OPCIONAL, DOTAL Y SEGURO POR SEPELIO</t>
  </si>
  <si>
    <t>DEL 1 ENERO AL 31 DE DICIEMBRE, AÑO 2018</t>
  </si>
  <si>
    <t>HOMBRES</t>
  </si>
  <si>
    <t>MUJERES</t>
  </si>
  <si>
    <t xml:space="preserve">           Vo.Bo.</t>
  </si>
  <si>
    <t xml:space="preserve">                      Dina Lariza Rivera Menjívar</t>
  </si>
  <si>
    <t xml:space="preserve">                      Jefa Unidad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</si>
</sst>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4" fillId="0" borderId="1" xfId="0" applyFont="1" applyBorder="1" applyAlignment="1">
      <alignment horizontal="center" wrapText="1" shrinkToFit="1"/>
    </xf>
    <xf numFmtId="0" fontId="4" fillId="0" borderId="2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6" fillId="0" borderId="4" xfId="0" applyFont="1" applyBorder="1" applyAlignment="1">
      <alignment horizontal="center" wrapText="1" shrinkToFit="1"/>
    </xf>
    <xf numFmtId="0" fontId="6" fillId="0" borderId="5" xfId="0" applyFont="1" applyBorder="1" applyAlignment="1">
      <alignment horizontal="center" wrapText="1" shrinkToFit="1"/>
    </xf>
    <xf numFmtId="0" fontId="6" fillId="0" borderId="6" xfId="0" applyFont="1" applyBorder="1" applyAlignment="1">
      <alignment horizontal="center" wrapText="1" shrinkToFit="1"/>
    </xf>
    <xf numFmtId="0" fontId="5" fillId="0" borderId="7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wrapText="1" shrinkToFit="1"/>
    </xf>
    <xf numFmtId="0" fontId="6" fillId="0" borderId="0" xfId="0" applyFont="1" applyAlignment="1">
      <alignment horizontal="center" wrapText="1"/>
    </xf>
    <xf numFmtId="17" fontId="8" fillId="0" borderId="8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5" fontId="8" fillId="0" borderId="9" xfId="1" applyFont="1" applyBorder="1" applyAlignment="1">
      <alignment horizontal="center"/>
    </xf>
    <xf numFmtId="165" fontId="8" fillId="0" borderId="10" xfId="1" applyFont="1" applyBorder="1" applyAlignment="1">
      <alignment horizontal="center"/>
    </xf>
    <xf numFmtId="165" fontId="8" fillId="0" borderId="11" xfId="1" applyFont="1" applyBorder="1" applyAlignment="1">
      <alignment horizontal="center"/>
    </xf>
    <xf numFmtId="165" fontId="8" fillId="0" borderId="12" xfId="1" applyFont="1" applyBorder="1" applyAlignment="1">
      <alignment horizontal="center"/>
    </xf>
    <xf numFmtId="165" fontId="8" fillId="0" borderId="13" xfId="1" applyFont="1" applyBorder="1" applyAlignment="1">
      <alignment horizontal="center"/>
    </xf>
    <xf numFmtId="165" fontId="8" fillId="0" borderId="14" xfId="1" applyFont="1" applyBorder="1" applyAlignment="1">
      <alignment horizontal="center"/>
    </xf>
    <xf numFmtId="164" fontId="0" fillId="0" borderId="0" xfId="0" applyNumberFormat="1"/>
    <xf numFmtId="17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8" fillId="0" borderId="16" xfId="1" applyFont="1" applyBorder="1" applyAlignment="1">
      <alignment horizontal="center"/>
    </xf>
    <xf numFmtId="165" fontId="8" fillId="0" borderId="17" xfId="1" applyFont="1" applyBorder="1" applyAlignment="1">
      <alignment horizont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165" fontId="0" fillId="0" borderId="0" xfId="0" applyNumberFormat="1"/>
    <xf numFmtId="164" fontId="8" fillId="0" borderId="16" xfId="1" applyNumberFormat="1" applyFont="1" applyBorder="1" applyAlignment="1">
      <alignment horizontal="center"/>
    </xf>
    <xf numFmtId="165" fontId="3" fillId="0" borderId="0" xfId="0" applyNumberFormat="1" applyFont="1"/>
    <xf numFmtId="17" fontId="8" fillId="0" borderId="18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65" fontId="8" fillId="0" borderId="19" xfId="1" applyFont="1" applyBorder="1" applyAlignment="1">
      <alignment horizontal="center"/>
    </xf>
    <xf numFmtId="165" fontId="8" fillId="0" borderId="21" xfId="1" applyFont="1" applyBorder="1" applyAlignment="1">
      <alignment horizontal="center"/>
    </xf>
    <xf numFmtId="17" fontId="8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5" fontId="8" fillId="0" borderId="24" xfId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17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65" fontId="8" fillId="0" borderId="26" xfId="1" applyFont="1" applyBorder="1" applyAlignment="1">
      <alignment horizontal="center"/>
    </xf>
    <xf numFmtId="17" fontId="8" fillId="0" borderId="2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8" xfId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165" fontId="10" fillId="0" borderId="30" xfId="1" applyFont="1" applyBorder="1" applyAlignment="1">
      <alignment horizontal="center"/>
    </xf>
    <xf numFmtId="165" fontId="8" fillId="0" borderId="31" xfId="1" applyFont="1" applyBorder="1" applyAlignment="1">
      <alignment horizontal="center"/>
    </xf>
    <xf numFmtId="165" fontId="10" fillId="0" borderId="0" xfId="1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164" fontId="8" fillId="0" borderId="0" xfId="2" applyNumberFormat="1" applyFont="1"/>
    <xf numFmtId="9" fontId="8" fillId="0" borderId="0" xfId="2" applyFont="1"/>
    <xf numFmtId="165" fontId="12" fillId="0" borderId="0" xfId="2" applyNumberFormat="1" applyFont="1"/>
    <xf numFmtId="164" fontId="11" fillId="0" borderId="0" xfId="0" applyNumberFormat="1" applyFont="1"/>
    <xf numFmtId="9" fontId="12" fillId="0" borderId="0" xfId="2" applyFont="1"/>
    <xf numFmtId="0" fontId="13" fillId="0" borderId="0" xfId="0" applyFont="1"/>
    <xf numFmtId="0" fontId="2" fillId="0" borderId="0" xfId="0" applyFont="1"/>
    <xf numFmtId="9" fontId="0" fillId="0" borderId="0" xfId="2" applyFont="1"/>
    <xf numFmtId="0" fontId="1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5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5" fillId="0" borderId="0" xfId="0" applyFont="1" applyBorder="1"/>
    <xf numFmtId="0" fontId="8" fillId="0" borderId="0" xfId="0" applyFont="1" applyBorder="1"/>
    <xf numFmtId="0" fontId="0" fillId="0" borderId="0" xfId="0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32" xfId="0" applyFont="1" applyBorder="1"/>
    <xf numFmtId="0" fontId="3" fillId="0" borderId="0" xfId="0" applyFont="1" applyBorder="1"/>
    <xf numFmtId="0" fontId="20" fillId="0" borderId="36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" fontId="22" fillId="0" borderId="12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65" fontId="3" fillId="0" borderId="12" xfId="1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5" fontId="0" fillId="0" borderId="12" xfId="1" applyFont="1" applyBorder="1"/>
    <xf numFmtId="165" fontId="23" fillId="0" borderId="12" xfId="1" applyFont="1" applyBorder="1" applyProtection="1">
      <protection locked="0"/>
    </xf>
    <xf numFmtId="166" fontId="3" fillId="0" borderId="0" xfId="0" applyNumberFormat="1" applyFont="1" applyBorder="1" applyAlignment="1">
      <alignment horizontal="right"/>
    </xf>
    <xf numFmtId="166" fontId="0" fillId="0" borderId="0" xfId="0" applyNumberFormat="1" applyBorder="1" applyAlignment="1">
      <alignment horizontal="center"/>
    </xf>
    <xf numFmtId="165" fontId="5" fillId="0" borderId="0" xfId="1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5" fontId="0" fillId="0" borderId="0" xfId="1" applyFont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165" fontId="2" fillId="0" borderId="12" xfId="1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4" fillId="0" borderId="0" xfId="0" applyFont="1"/>
    <xf numFmtId="0" fontId="3" fillId="0" borderId="0" xfId="0" applyFont="1" applyAlignment="1">
      <alignment horizontal="center"/>
    </xf>
    <xf numFmtId="0" fontId="18" fillId="0" borderId="0" xfId="0" applyFont="1"/>
    <xf numFmtId="0" fontId="5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3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12" xfId="0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2" xfId="0" applyNumberFormat="1" applyFont="1" applyBorder="1" applyAlignment="1">
      <alignment horizontal="center"/>
    </xf>
    <xf numFmtId="0" fontId="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top" wrapText="1"/>
    </xf>
    <xf numFmtId="0" fontId="26" fillId="0" borderId="53" xfId="0" applyFont="1" applyBorder="1" applyAlignment="1">
      <alignment horizontal="center" vertical="center" wrapText="1"/>
    </xf>
    <xf numFmtId="17" fontId="27" fillId="0" borderId="54" xfId="0" applyNumberFormat="1" applyFont="1" applyBorder="1" applyAlignment="1">
      <alignment horizontal="left"/>
    </xf>
    <xf numFmtId="0" fontId="28" fillId="0" borderId="55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8" fillId="0" borderId="58" xfId="0" applyFont="1" applyBorder="1" applyAlignment="1">
      <alignment horizontal="center"/>
    </xf>
    <xf numFmtId="0" fontId="29" fillId="0" borderId="59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30" fillId="0" borderId="6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17" fontId="27" fillId="0" borderId="61" xfId="0" applyNumberFormat="1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62" xfId="0" applyFont="1" applyBorder="1" applyAlignment="1">
      <alignment horizontal="center"/>
    </xf>
    <xf numFmtId="0" fontId="28" fillId="0" borderId="63" xfId="0" applyFont="1" applyBorder="1" applyAlignment="1">
      <alignment horizontal="center"/>
    </xf>
    <xf numFmtId="0" fontId="29" fillId="0" borderId="64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28" fillId="0" borderId="65" xfId="0" applyFont="1" applyBorder="1" applyAlignment="1">
      <alignment horizontal="center"/>
    </xf>
    <xf numFmtId="0" fontId="29" fillId="0" borderId="65" xfId="0" applyFont="1" applyBorder="1" applyAlignment="1">
      <alignment horizontal="center"/>
    </xf>
    <xf numFmtId="0" fontId="29" fillId="0" borderId="66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0" fillId="0" borderId="6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17" fontId="27" fillId="0" borderId="69" xfId="0" applyNumberFormat="1" applyFont="1" applyBorder="1" applyAlignment="1">
      <alignment horizontal="left"/>
    </xf>
    <xf numFmtId="17" fontId="33" fillId="0" borderId="70" xfId="0" applyNumberFormat="1" applyFont="1" applyBorder="1" applyAlignment="1">
      <alignment horizontal="left"/>
    </xf>
    <xf numFmtId="0" fontId="28" fillId="0" borderId="71" xfId="0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0" fontId="29" fillId="0" borderId="74" xfId="0" applyFont="1" applyBorder="1" applyAlignment="1">
      <alignment horizontal="center"/>
    </xf>
    <xf numFmtId="0" fontId="28" fillId="0" borderId="75" xfId="0" applyFont="1" applyBorder="1" applyAlignment="1">
      <alignment horizontal="center"/>
    </xf>
    <xf numFmtId="17" fontId="27" fillId="0" borderId="76" xfId="0" applyNumberFormat="1" applyFont="1" applyBorder="1" applyAlignment="1">
      <alignment horizontal="left"/>
    </xf>
    <xf numFmtId="0" fontId="28" fillId="0" borderId="77" xfId="0" applyFont="1" applyBorder="1" applyAlignment="1">
      <alignment horizontal="center"/>
    </xf>
    <xf numFmtId="0" fontId="29" fillId="0" borderId="77" xfId="0" applyFont="1" applyBorder="1" applyAlignment="1">
      <alignment horizontal="center"/>
    </xf>
    <xf numFmtId="0" fontId="29" fillId="0" borderId="78" xfId="0" applyFont="1" applyBorder="1" applyAlignment="1">
      <alignment horizontal="center"/>
    </xf>
    <xf numFmtId="0" fontId="28" fillId="0" borderId="79" xfId="0" applyFont="1" applyBorder="1" applyAlignment="1">
      <alignment horizontal="center"/>
    </xf>
    <xf numFmtId="0" fontId="29" fillId="0" borderId="80" xfId="0" applyFont="1" applyBorder="1" applyAlignment="1">
      <alignment horizontal="center"/>
    </xf>
    <xf numFmtId="17" fontId="27" fillId="0" borderId="81" xfId="0" applyNumberFormat="1" applyFont="1" applyBorder="1" applyAlignment="1">
      <alignment horizontal="left"/>
    </xf>
    <xf numFmtId="0" fontId="28" fillId="0" borderId="82" xfId="0" applyFont="1" applyBorder="1" applyAlignment="1">
      <alignment horizontal="center"/>
    </xf>
    <xf numFmtId="0" fontId="29" fillId="0" borderId="82" xfId="0" applyFont="1" applyBorder="1" applyAlignment="1">
      <alignment horizontal="center"/>
    </xf>
    <xf numFmtId="0" fontId="29" fillId="0" borderId="83" xfId="0" applyFont="1" applyBorder="1" applyAlignment="1">
      <alignment horizontal="center"/>
    </xf>
    <xf numFmtId="0" fontId="28" fillId="0" borderId="84" xfId="0" applyFont="1" applyBorder="1" applyAlignment="1">
      <alignment horizontal="center"/>
    </xf>
    <xf numFmtId="0" fontId="29" fillId="0" borderId="85" xfId="0" applyFont="1" applyBorder="1" applyAlignment="1">
      <alignment horizontal="center"/>
    </xf>
    <xf numFmtId="17" fontId="33" fillId="0" borderId="86" xfId="0" applyNumberFormat="1" applyFont="1" applyBorder="1" applyAlignment="1">
      <alignment horizontal="left"/>
    </xf>
    <xf numFmtId="0" fontId="28" fillId="0" borderId="87" xfId="0" applyFont="1" applyBorder="1" applyAlignment="1">
      <alignment horizontal="center"/>
    </xf>
    <xf numFmtId="0" fontId="29" fillId="0" borderId="87" xfId="0" applyFont="1" applyBorder="1" applyAlignment="1">
      <alignment horizontal="center"/>
    </xf>
    <xf numFmtId="0" fontId="29" fillId="0" borderId="88" xfId="0" applyFont="1" applyBorder="1" applyAlignment="1">
      <alignment horizontal="center"/>
    </xf>
    <xf numFmtId="0" fontId="28" fillId="0" borderId="89" xfId="0" applyFont="1" applyBorder="1" applyAlignment="1">
      <alignment horizontal="center"/>
    </xf>
    <xf numFmtId="0" fontId="29" fillId="0" borderId="90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91" xfId="0" applyFont="1" applyBorder="1" applyAlignment="1">
      <alignment horizontal="center"/>
    </xf>
    <xf numFmtId="17" fontId="34" fillId="0" borderId="92" xfId="0" applyNumberFormat="1" applyFont="1" applyBorder="1" applyAlignment="1">
      <alignment horizontal="center"/>
    </xf>
    <xf numFmtId="0" fontId="28" fillId="0" borderId="93" xfId="0" applyFont="1" applyBorder="1" applyAlignment="1">
      <alignment horizontal="center"/>
    </xf>
    <xf numFmtId="0" fontId="28" fillId="0" borderId="94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28" fillId="0" borderId="95" xfId="0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35" fillId="0" borderId="97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" fillId="0" borderId="0" xfId="0" applyFont="1" applyAlignment="1"/>
    <xf numFmtId="0" fontId="12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17" fontId="27" fillId="0" borderId="0" xfId="0" applyNumberFormat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4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2" fillId="0" borderId="42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7" fontId="40" fillId="0" borderId="99" xfId="0" applyNumberFormat="1" applyFont="1" applyBorder="1" applyAlignment="1">
      <alignment horizontal="center"/>
    </xf>
    <xf numFmtId="0" fontId="28" fillId="0" borderId="100" xfId="0" applyFont="1" applyBorder="1" applyAlignment="1">
      <alignment horizontal="center"/>
    </xf>
    <xf numFmtId="0" fontId="28" fillId="0" borderId="10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33" xfId="0" applyFont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4</xdr:row>
      <xdr:rowOff>76200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2</xdr:col>
      <xdr:colOff>552450</xdr:colOff>
      <xdr:row>4</xdr:row>
      <xdr:rowOff>76200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66675</xdr:colOff>
      <xdr:row>3</xdr:row>
      <xdr:rowOff>47625</xdr:rowOff>
    </xdr:to>
    <xdr:pic>
      <xdr:nvPicPr>
        <xdr:cNvPr id="2" name="3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8001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4</xdr:row>
      <xdr:rowOff>66675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4</xdr:row>
      <xdr:rowOff>133350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4</xdr:row>
      <xdr:rowOff>66675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F20" sqref="F20"/>
    </sheetView>
  </sheetViews>
  <sheetFormatPr baseColWidth="10" defaultRowHeight="15" x14ac:dyDescent="0.25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1" spans="2:10" x14ac:dyDescent="0.25">
      <c r="E1" s="73" t="s">
        <v>104</v>
      </c>
    </row>
    <row r="2" spans="2:10" x14ac:dyDescent="0.25">
      <c r="B2" s="75"/>
      <c r="C2" s="75"/>
      <c r="D2" s="75"/>
    </row>
    <row r="3" spans="2:10" x14ac:dyDescent="0.25">
      <c r="B3" s="75"/>
      <c r="C3" s="75"/>
      <c r="D3" s="75"/>
    </row>
    <row r="4" spans="2:10" x14ac:dyDescent="0.25">
      <c r="B4" s="75"/>
      <c r="C4" s="75"/>
      <c r="D4" s="75"/>
    </row>
    <row r="5" spans="2:10" x14ac:dyDescent="0.25">
      <c r="B5" s="75"/>
      <c r="C5" s="75"/>
      <c r="D5" s="75"/>
    </row>
    <row r="6" spans="2:10" x14ac:dyDescent="0.25">
      <c r="B6" s="228" t="s">
        <v>105</v>
      </c>
      <c r="C6" s="228"/>
      <c r="D6" s="228"/>
      <c r="E6" s="228"/>
      <c r="F6" s="2"/>
    </row>
    <row r="7" spans="2:10" x14ac:dyDescent="0.25">
      <c r="B7" s="228" t="s">
        <v>106</v>
      </c>
      <c r="C7" s="228"/>
      <c r="D7" s="228"/>
      <c r="E7" s="228"/>
      <c r="F7" s="2"/>
    </row>
    <row r="8" spans="2:10" ht="15.75" thickBot="1" x14ac:dyDescent="0.3">
      <c r="B8" s="78"/>
      <c r="C8" s="78"/>
      <c r="D8" s="2"/>
      <c r="E8" s="2"/>
      <c r="F8" s="2"/>
    </row>
    <row r="9" spans="2:10" ht="24.95" customHeight="1" thickBot="1" x14ac:dyDescent="0.3">
      <c r="B9" s="118"/>
      <c r="C9" s="229" t="s">
        <v>107</v>
      </c>
      <c r="D9" s="229"/>
      <c r="E9" s="229"/>
      <c r="F9" s="202"/>
      <c r="G9" s="84"/>
      <c r="H9" s="84"/>
      <c r="I9" s="84"/>
      <c r="J9" s="84"/>
    </row>
    <row r="10" spans="2:10" ht="24.95" customHeight="1" thickBot="1" x14ac:dyDescent="0.3">
      <c r="B10" s="125" t="s">
        <v>46</v>
      </c>
      <c r="C10" s="220" t="s">
        <v>108</v>
      </c>
      <c r="D10" s="220" t="s">
        <v>109</v>
      </c>
      <c r="E10" s="221" t="s">
        <v>33</v>
      </c>
      <c r="F10" s="202"/>
      <c r="G10" s="84"/>
      <c r="H10" s="84"/>
      <c r="I10" s="84"/>
      <c r="J10" s="84"/>
    </row>
    <row r="11" spans="2:10" ht="21.95" customHeight="1" x14ac:dyDescent="0.25">
      <c r="B11" s="133" t="s">
        <v>51</v>
      </c>
      <c r="C11" s="135">
        <v>11</v>
      </c>
      <c r="D11" s="135">
        <v>16</v>
      </c>
      <c r="E11" s="222">
        <f>+C11+D11</f>
        <v>27</v>
      </c>
      <c r="F11" s="223"/>
      <c r="G11" s="223"/>
      <c r="H11" s="142"/>
      <c r="I11" s="90"/>
      <c r="J11" s="90"/>
    </row>
    <row r="12" spans="2:10" ht="21.95" customHeight="1" x14ac:dyDescent="0.25">
      <c r="B12" s="143" t="s">
        <v>52</v>
      </c>
      <c r="C12" s="145">
        <v>10</v>
      </c>
      <c r="D12" s="145">
        <v>10</v>
      </c>
      <c r="E12" s="222">
        <f t="shared" ref="E12:E20" si="0">SUM(C12:D12)</f>
        <v>20</v>
      </c>
      <c r="F12" s="214"/>
      <c r="G12" s="150"/>
      <c r="H12" s="90"/>
      <c r="I12" s="90"/>
      <c r="J12" s="90"/>
    </row>
    <row r="13" spans="2:10" ht="21.95" customHeight="1" x14ac:dyDescent="0.25">
      <c r="B13" s="143" t="s">
        <v>53</v>
      </c>
      <c r="C13" s="152">
        <v>4</v>
      </c>
      <c r="D13" s="152">
        <v>13</v>
      </c>
      <c r="E13" s="222">
        <f t="shared" si="0"/>
        <v>17</v>
      </c>
      <c r="F13" s="214"/>
      <c r="G13" s="150"/>
      <c r="H13" s="90"/>
      <c r="I13" s="90" t="s">
        <v>99</v>
      </c>
      <c r="J13" s="90"/>
    </row>
    <row r="14" spans="2:10" ht="21.95" customHeight="1" x14ac:dyDescent="0.25">
      <c r="B14" s="143" t="s">
        <v>54</v>
      </c>
      <c r="C14" s="156">
        <v>11</v>
      </c>
      <c r="D14" s="156">
        <v>14</v>
      </c>
      <c r="E14" s="222">
        <f t="shared" si="0"/>
        <v>25</v>
      </c>
      <c r="F14" s="214"/>
      <c r="G14" s="150"/>
      <c r="H14" s="90"/>
      <c r="I14" s="90"/>
      <c r="J14" s="90"/>
    </row>
    <row r="15" spans="2:10" ht="21.95" customHeight="1" x14ac:dyDescent="0.25">
      <c r="B15" s="143" t="s">
        <v>55</v>
      </c>
      <c r="C15" s="156">
        <v>12</v>
      </c>
      <c r="D15" s="156">
        <v>17</v>
      </c>
      <c r="E15" s="222">
        <f t="shared" si="0"/>
        <v>29</v>
      </c>
      <c r="F15" s="214"/>
      <c r="G15" s="150"/>
      <c r="H15" s="90"/>
      <c r="I15" s="90"/>
      <c r="J15" s="90"/>
    </row>
    <row r="16" spans="2:10" ht="21.95" customHeight="1" x14ac:dyDescent="0.25">
      <c r="B16" s="143" t="s">
        <v>56</v>
      </c>
      <c r="C16" s="145">
        <v>10</v>
      </c>
      <c r="D16" s="145">
        <v>14</v>
      </c>
      <c r="E16" s="222">
        <f t="shared" si="0"/>
        <v>24</v>
      </c>
      <c r="F16" s="214"/>
      <c r="G16" s="150"/>
      <c r="H16" s="90"/>
      <c r="I16" s="90"/>
      <c r="J16" s="90"/>
    </row>
    <row r="17" spans="1:10" ht="21.95" customHeight="1" x14ac:dyDescent="0.25">
      <c r="B17" s="143" t="s">
        <v>57</v>
      </c>
      <c r="C17" s="145">
        <v>12</v>
      </c>
      <c r="D17" s="145">
        <v>11</v>
      </c>
      <c r="E17" s="222">
        <f t="shared" si="0"/>
        <v>23</v>
      </c>
      <c r="F17" s="213"/>
      <c r="G17" s="161"/>
      <c r="H17" s="161"/>
      <c r="I17" s="90"/>
      <c r="J17" s="90"/>
    </row>
    <row r="18" spans="1:10" ht="21.95" customHeight="1" x14ac:dyDescent="0.25">
      <c r="B18" s="143" t="s">
        <v>58</v>
      </c>
      <c r="C18" s="145">
        <v>16</v>
      </c>
      <c r="D18" s="145">
        <v>17</v>
      </c>
      <c r="E18" s="222">
        <f t="shared" si="0"/>
        <v>33</v>
      </c>
      <c r="F18" s="213"/>
      <c r="G18" s="161"/>
      <c r="H18" s="161"/>
      <c r="I18" s="90"/>
      <c r="J18" s="90"/>
    </row>
    <row r="19" spans="1:10" ht="21.95" customHeight="1" x14ac:dyDescent="0.25">
      <c r="B19" s="162" t="s">
        <v>59</v>
      </c>
      <c r="C19" s="152">
        <v>8</v>
      </c>
      <c r="D19" s="152">
        <v>13</v>
      </c>
      <c r="E19" s="222">
        <f t="shared" si="0"/>
        <v>21</v>
      </c>
      <c r="F19" s="213"/>
      <c r="G19" s="161" t="s">
        <v>38</v>
      </c>
      <c r="H19" s="161"/>
      <c r="I19" s="90"/>
      <c r="J19" s="90"/>
    </row>
    <row r="20" spans="1:10" ht="21.95" customHeight="1" x14ac:dyDescent="0.25">
      <c r="B20" s="162" t="s">
        <v>60</v>
      </c>
      <c r="C20" s="152">
        <v>10</v>
      </c>
      <c r="D20" s="152">
        <v>10</v>
      </c>
      <c r="E20" s="222">
        <f t="shared" si="0"/>
        <v>20</v>
      </c>
      <c r="F20" s="213"/>
      <c r="G20" s="161"/>
      <c r="H20" s="161"/>
      <c r="I20" s="90"/>
      <c r="J20" s="90"/>
    </row>
    <row r="21" spans="1:10" ht="21.95" customHeight="1" x14ac:dyDescent="0.25">
      <c r="B21" s="162" t="s">
        <v>61</v>
      </c>
      <c r="C21" s="152">
        <v>18</v>
      </c>
      <c r="D21" s="152">
        <v>9</v>
      </c>
      <c r="E21" s="222">
        <f>SUM(C21:D21)</f>
        <v>27</v>
      </c>
      <c r="F21" s="213"/>
      <c r="G21" s="161"/>
      <c r="H21" s="161"/>
      <c r="I21" s="90"/>
      <c r="J21" s="90"/>
    </row>
    <row r="22" spans="1:10" ht="21.95" customHeight="1" x14ac:dyDescent="0.25">
      <c r="B22" s="162" t="s">
        <v>62</v>
      </c>
      <c r="C22" s="152">
        <v>5</v>
      </c>
      <c r="D22" s="152">
        <v>7</v>
      </c>
      <c r="E22" s="222">
        <f>SUM(C22:D22)</f>
        <v>12</v>
      </c>
      <c r="F22" s="213"/>
      <c r="G22" s="161"/>
      <c r="H22" s="161"/>
      <c r="I22" s="90"/>
      <c r="J22" s="90"/>
    </row>
    <row r="23" spans="1:10" ht="22.5" customHeight="1" thickBot="1" x14ac:dyDescent="0.3">
      <c r="B23" s="224" t="s">
        <v>100</v>
      </c>
      <c r="C23" s="225">
        <f>SUM(C11:C22)</f>
        <v>127</v>
      </c>
      <c r="D23" s="225">
        <f>SUM(D11:D22)</f>
        <v>151</v>
      </c>
      <c r="E23" s="226">
        <f>SUM(E11:E22)</f>
        <v>278</v>
      </c>
      <c r="F23" s="213"/>
      <c r="G23" s="161"/>
      <c r="H23" s="161"/>
      <c r="I23" s="90"/>
      <c r="J23" s="90"/>
    </row>
    <row r="24" spans="1:10" ht="14.25" customHeight="1" x14ac:dyDescent="0.25">
      <c r="C24" s="2"/>
      <c r="D24" s="107"/>
      <c r="E24" s="70" t="s">
        <v>63</v>
      </c>
      <c r="F24" s="2"/>
    </row>
    <row r="25" spans="1:10" x14ac:dyDescent="0.25">
      <c r="B25" s="198"/>
      <c r="C25" s="2"/>
      <c r="D25" s="2"/>
      <c r="E25" s="2"/>
      <c r="F25" s="2"/>
    </row>
    <row r="26" spans="1:10" x14ac:dyDescent="0.25">
      <c r="B26" s="2"/>
      <c r="C26" s="2"/>
      <c r="D26" s="2"/>
      <c r="E26" s="2"/>
      <c r="F26" s="2"/>
    </row>
    <row r="27" spans="1:10" x14ac:dyDescent="0.25">
      <c r="B27" s="2"/>
      <c r="C27" s="2"/>
      <c r="D27" s="2"/>
      <c r="E27" s="2"/>
      <c r="F27" s="2"/>
      <c r="G27" s="62"/>
    </row>
    <row r="28" spans="1:10" x14ac:dyDescent="0.25">
      <c r="B28" s="52" t="s">
        <v>38</v>
      </c>
      <c r="C28" s="63"/>
      <c r="D28" s="2"/>
      <c r="E28" s="2"/>
      <c r="F28" s="2"/>
      <c r="G28" s="62"/>
    </row>
    <row r="29" spans="1:10" x14ac:dyDescent="0.25">
      <c r="B29" s="56"/>
      <c r="C29" s="2"/>
      <c r="D29" s="2"/>
      <c r="E29" s="2"/>
      <c r="F29" s="2"/>
      <c r="G29" s="62"/>
    </row>
    <row r="30" spans="1:10" x14ac:dyDescent="0.25">
      <c r="A30" s="2"/>
      <c r="B30" s="2"/>
      <c r="C30" s="2"/>
      <c r="D30" s="54" t="s">
        <v>110</v>
      </c>
      <c r="E30" s="54"/>
      <c r="F30" s="2"/>
      <c r="G30" s="62"/>
    </row>
    <row r="31" spans="1:10" x14ac:dyDescent="0.25">
      <c r="A31" s="2"/>
      <c r="B31" s="117"/>
      <c r="C31" s="2"/>
      <c r="D31" s="54" t="s">
        <v>111</v>
      </c>
      <c r="E31" s="227"/>
      <c r="F31" s="2"/>
      <c r="G31" s="62"/>
    </row>
    <row r="32" spans="1:10" x14ac:dyDescent="0.25">
      <c r="A32" s="117"/>
      <c r="C32" s="2"/>
      <c r="D32" s="56" t="s">
        <v>112</v>
      </c>
      <c r="E32" s="54"/>
      <c r="F32" s="117"/>
      <c r="G32" s="62"/>
    </row>
    <row r="33" spans="2:7" x14ac:dyDescent="0.25">
      <c r="B33" s="56"/>
      <c r="C33" s="2"/>
      <c r="D33" s="2"/>
      <c r="F33" s="117"/>
      <c r="G33" s="62"/>
    </row>
    <row r="34" spans="2:7" x14ac:dyDescent="0.25">
      <c r="C34" s="2"/>
      <c r="D34" s="2"/>
      <c r="E34" s="2"/>
      <c r="F34" s="117"/>
      <c r="G34" s="62"/>
    </row>
    <row r="35" spans="2:7" x14ac:dyDescent="0.25">
      <c r="B35" s="2"/>
      <c r="C35" s="2"/>
      <c r="D35" s="2"/>
      <c r="E35" s="2"/>
      <c r="F35" s="104"/>
      <c r="G35" s="62"/>
    </row>
    <row r="36" spans="2:7" x14ac:dyDescent="0.25">
      <c r="B36" s="2"/>
      <c r="E36" s="2"/>
      <c r="F36" s="2"/>
      <c r="G36" s="62"/>
    </row>
    <row r="37" spans="2:7" x14ac:dyDescent="0.25">
      <c r="B37" s="54"/>
      <c r="E37" s="2"/>
      <c r="F37" s="2"/>
      <c r="G37" s="62"/>
    </row>
    <row r="38" spans="2:7" x14ac:dyDescent="0.25">
      <c r="B38" s="2"/>
      <c r="E38" s="2"/>
      <c r="F38" s="2"/>
    </row>
    <row r="39" spans="2:7" x14ac:dyDescent="0.25">
      <c r="B39" s="2"/>
      <c r="C39" s="2"/>
      <c r="D39" s="2"/>
      <c r="E39" s="2"/>
      <c r="F39" s="2"/>
    </row>
    <row r="40" spans="2:7" x14ac:dyDescent="0.25">
      <c r="B40" s="2"/>
      <c r="C40" s="2"/>
      <c r="D40" s="2"/>
      <c r="E40" s="2"/>
      <c r="F40" s="2"/>
    </row>
    <row r="41" spans="2:7" x14ac:dyDescent="0.25">
      <c r="B41" s="2"/>
      <c r="C41" s="2"/>
      <c r="D41" s="2"/>
      <c r="E41" s="2"/>
      <c r="F41" s="2"/>
    </row>
    <row r="42" spans="2:7" x14ac:dyDescent="0.25">
      <c r="B42" s="2"/>
      <c r="C42" s="2"/>
      <c r="D42" s="2"/>
      <c r="E42" s="2"/>
      <c r="F42" s="2"/>
    </row>
    <row r="43" spans="2:7" x14ac:dyDescent="0.25">
      <c r="B43" s="2"/>
      <c r="C43" s="2"/>
      <c r="D43" s="2"/>
      <c r="E43" s="2"/>
      <c r="F43" s="2"/>
    </row>
    <row r="44" spans="2:7" x14ac:dyDescent="0.25">
      <c r="B44" s="2"/>
      <c r="C44" s="2"/>
      <c r="D44" s="2"/>
      <c r="E44" s="2"/>
      <c r="F44" s="2"/>
    </row>
    <row r="45" spans="2:7" x14ac:dyDescent="0.25">
      <c r="B45" s="2"/>
      <c r="C45" s="2"/>
      <c r="D45" s="2"/>
      <c r="E45" s="2"/>
      <c r="F45" s="2"/>
    </row>
    <row r="46" spans="2:7" x14ac:dyDescent="0.25">
      <c r="B46" s="2"/>
      <c r="C46" s="2"/>
      <c r="D46" s="2"/>
      <c r="E46" s="2"/>
      <c r="F46" s="2"/>
    </row>
    <row r="47" spans="2:7" x14ac:dyDescent="0.25">
      <c r="B47" s="2"/>
      <c r="C47" s="2"/>
      <c r="D47" s="2"/>
      <c r="E47" s="2"/>
      <c r="F47" s="2"/>
    </row>
    <row r="48" spans="2:7" x14ac:dyDescent="0.25">
      <c r="B48" s="2"/>
      <c r="C48" s="2"/>
      <c r="D48" s="2"/>
      <c r="E48" s="2"/>
      <c r="F48" s="2"/>
    </row>
    <row r="49" spans="1:6" x14ac:dyDescent="0.25">
      <c r="A49" t="s">
        <v>99</v>
      </c>
      <c r="B49" s="2"/>
      <c r="C49" s="2"/>
      <c r="D49" s="2"/>
      <c r="E49" s="2"/>
      <c r="F49" s="2"/>
    </row>
    <row r="50" spans="1:6" x14ac:dyDescent="0.25">
      <c r="B50" s="2"/>
      <c r="C50" s="2"/>
      <c r="D50" s="2"/>
      <c r="E50" s="2"/>
      <c r="F50" s="2"/>
    </row>
    <row r="51" spans="1:6" x14ac:dyDescent="0.25">
      <c r="B51" s="2"/>
      <c r="C51" s="2"/>
      <c r="D51" s="2"/>
      <c r="E51" s="2"/>
      <c r="F51" s="2"/>
    </row>
    <row r="52" spans="1:6" x14ac:dyDescent="0.25">
      <c r="B52" s="2"/>
      <c r="C52" s="2"/>
      <c r="D52" s="2"/>
      <c r="E52" s="2"/>
      <c r="F52" s="2"/>
    </row>
    <row r="53" spans="1:6" x14ac:dyDescent="0.25">
      <c r="B53" s="2"/>
      <c r="C53" s="2"/>
      <c r="D53" s="2"/>
      <c r="E53" s="2"/>
      <c r="F53" s="2"/>
    </row>
    <row r="54" spans="1:6" x14ac:dyDescent="0.25">
      <c r="B54" s="2"/>
      <c r="C54" s="2"/>
      <c r="D54" s="2"/>
      <c r="E54" s="2"/>
      <c r="F54" s="2"/>
    </row>
    <row r="55" spans="1:6" x14ac:dyDescent="0.25">
      <c r="B55" s="2"/>
      <c r="C55" s="2"/>
      <c r="D55" s="2"/>
      <c r="E55" s="2"/>
      <c r="F55" s="2"/>
    </row>
    <row r="56" spans="1:6" x14ac:dyDescent="0.25">
      <c r="B56" s="2"/>
      <c r="C56" s="2"/>
      <c r="D56" s="2"/>
      <c r="E56" s="2"/>
      <c r="F56" s="2"/>
    </row>
    <row r="57" spans="1:6" x14ac:dyDescent="0.25">
      <c r="B57" s="2"/>
      <c r="C57" s="2"/>
      <c r="D57" s="2"/>
      <c r="E57" s="2"/>
      <c r="F57" s="2"/>
    </row>
    <row r="58" spans="1:6" x14ac:dyDescent="0.25">
      <c r="B58" s="2"/>
      <c r="C58" s="2"/>
      <c r="D58" s="2"/>
      <c r="E58" s="2"/>
      <c r="F58" s="2"/>
    </row>
    <row r="59" spans="1:6" x14ac:dyDescent="0.25">
      <c r="B59" s="2"/>
      <c r="C59" s="2"/>
      <c r="D59" s="2"/>
      <c r="E59" s="2"/>
      <c r="F59" s="2"/>
    </row>
    <row r="60" spans="1:6" x14ac:dyDescent="0.25">
      <c r="B60" s="2"/>
      <c r="C60" s="2"/>
      <c r="D60" s="2"/>
      <c r="E60" s="2"/>
      <c r="F60" s="2"/>
    </row>
    <row r="61" spans="1:6" x14ac:dyDescent="0.25">
      <c r="B61" s="2"/>
      <c r="C61" s="2"/>
      <c r="D61" s="2"/>
      <c r="E61" s="2"/>
      <c r="F61" s="2"/>
    </row>
    <row r="62" spans="1:6" x14ac:dyDescent="0.25">
      <c r="B62" s="2"/>
      <c r="C62" s="2"/>
      <c r="D62" s="2"/>
      <c r="E62" s="2"/>
      <c r="F62" s="2"/>
    </row>
    <row r="63" spans="1:6" x14ac:dyDescent="0.25">
      <c r="B63" s="2"/>
      <c r="C63" s="2"/>
      <c r="D63" s="2"/>
      <c r="E63" s="2"/>
      <c r="F63" s="2"/>
    </row>
    <row r="64" spans="1:6" x14ac:dyDescent="0.25">
      <c r="B64" s="2"/>
      <c r="C64" s="2"/>
      <c r="D64" s="2"/>
      <c r="E64" s="2"/>
      <c r="F64" s="2"/>
    </row>
    <row r="65" spans="2:6" x14ac:dyDescent="0.25">
      <c r="B65" s="2"/>
      <c r="C65" s="2"/>
      <c r="D65" s="2"/>
      <c r="E65" s="2"/>
      <c r="F65" s="2"/>
    </row>
    <row r="66" spans="2:6" x14ac:dyDescent="0.25">
      <c r="B66" s="2"/>
      <c r="C66" s="2"/>
      <c r="D66" s="2"/>
      <c r="E66" s="2"/>
      <c r="F66" s="2"/>
    </row>
    <row r="67" spans="2:6" x14ac:dyDescent="0.25">
      <c r="B67" s="2"/>
      <c r="C67" s="2"/>
      <c r="D67" s="2"/>
      <c r="E67" s="2"/>
      <c r="F67" s="2"/>
    </row>
    <row r="68" spans="2:6" x14ac:dyDescent="0.25">
      <c r="B68" s="2"/>
      <c r="C68" s="2"/>
      <c r="D68" s="2"/>
      <c r="E68" s="2"/>
      <c r="F68" s="2"/>
    </row>
    <row r="69" spans="2:6" x14ac:dyDescent="0.25">
      <c r="B69" s="2"/>
      <c r="C69" s="2"/>
      <c r="D69" s="2"/>
      <c r="E69" s="2"/>
      <c r="F69" s="2"/>
    </row>
    <row r="70" spans="2:6" x14ac:dyDescent="0.25">
      <c r="B70" s="2"/>
      <c r="C70" s="2"/>
      <c r="D70" s="2"/>
      <c r="E70" s="2"/>
      <c r="F70" s="2"/>
    </row>
    <row r="71" spans="2:6" x14ac:dyDescent="0.25">
      <c r="B71" s="2"/>
      <c r="C71" s="2"/>
      <c r="D71" s="2"/>
      <c r="E71" s="2"/>
      <c r="F71" s="2"/>
    </row>
    <row r="72" spans="2:6" x14ac:dyDescent="0.25">
      <c r="B72" s="2"/>
      <c r="C72" s="2"/>
      <c r="D72" s="2"/>
      <c r="E72" s="2"/>
      <c r="F72" s="2"/>
    </row>
    <row r="73" spans="2:6" x14ac:dyDescent="0.25">
      <c r="B73" s="2"/>
      <c r="C73" s="2"/>
      <c r="D73" s="2"/>
      <c r="E73" s="2"/>
      <c r="F73" s="2"/>
    </row>
    <row r="74" spans="2:6" x14ac:dyDescent="0.25">
      <c r="B74" s="2"/>
      <c r="C74" s="2"/>
      <c r="D74" s="2"/>
      <c r="E74" s="2"/>
      <c r="F74" s="2"/>
    </row>
    <row r="75" spans="2:6" x14ac:dyDescent="0.25">
      <c r="B75" s="2"/>
      <c r="C75" s="2"/>
      <c r="D75" s="2"/>
      <c r="E75" s="2"/>
      <c r="F75" s="2"/>
    </row>
    <row r="76" spans="2:6" x14ac:dyDescent="0.25">
      <c r="B76" s="2"/>
      <c r="C76" s="2"/>
      <c r="D76" s="2"/>
      <c r="E76" s="2"/>
      <c r="F76" s="2"/>
    </row>
    <row r="77" spans="2:6" x14ac:dyDescent="0.25">
      <c r="B77" s="2"/>
      <c r="C77" s="2"/>
      <c r="D77" s="2"/>
      <c r="E77" s="2"/>
      <c r="F77" s="2"/>
    </row>
    <row r="78" spans="2:6" x14ac:dyDescent="0.25">
      <c r="B78" s="2"/>
      <c r="C78" s="2"/>
      <c r="D78" s="2"/>
      <c r="E78" s="2"/>
      <c r="F78" s="2"/>
    </row>
    <row r="79" spans="2:6" x14ac:dyDescent="0.25">
      <c r="B79" s="2"/>
      <c r="C79" s="2"/>
      <c r="D79" s="2"/>
      <c r="E79" s="2"/>
      <c r="F79" s="2"/>
    </row>
    <row r="80" spans="2:6" x14ac:dyDescent="0.25">
      <c r="B80" s="2"/>
      <c r="C80" s="2"/>
      <c r="D80" s="2"/>
      <c r="E80" s="2"/>
      <c r="F80" s="2"/>
    </row>
    <row r="81" spans="2:6" x14ac:dyDescent="0.25">
      <c r="B81" s="2"/>
      <c r="C81" s="2"/>
      <c r="D81" s="2"/>
      <c r="E81" s="2"/>
      <c r="F81" s="2"/>
    </row>
    <row r="82" spans="2:6" x14ac:dyDescent="0.25">
      <c r="B82" s="2"/>
      <c r="C82" s="2"/>
      <c r="D82" s="2"/>
      <c r="E82" s="2"/>
      <c r="F82" s="2"/>
    </row>
    <row r="83" spans="2:6" x14ac:dyDescent="0.25">
      <c r="B83" s="2"/>
      <c r="C83" s="2"/>
      <c r="D83" s="2"/>
      <c r="E83" s="2"/>
      <c r="F83" s="2"/>
    </row>
    <row r="84" spans="2:6" x14ac:dyDescent="0.25">
      <c r="B84" s="2"/>
      <c r="C84" s="2"/>
      <c r="D84" s="2"/>
      <c r="E84" s="2"/>
      <c r="F84" s="2"/>
    </row>
    <row r="85" spans="2:6" x14ac:dyDescent="0.25">
      <c r="B85" s="2"/>
      <c r="C85" s="2"/>
      <c r="D85" s="2"/>
      <c r="E85" s="2"/>
      <c r="F85" s="2"/>
    </row>
    <row r="86" spans="2:6" x14ac:dyDescent="0.25">
      <c r="B86" s="2"/>
      <c r="C86" s="2"/>
      <c r="D86" s="2"/>
      <c r="E86" s="2"/>
      <c r="F86" s="2"/>
    </row>
    <row r="87" spans="2:6" x14ac:dyDescent="0.25">
      <c r="B87" s="2"/>
      <c r="C87" s="2"/>
      <c r="D87" s="2"/>
      <c r="E87" s="2"/>
      <c r="F87" s="2"/>
    </row>
    <row r="88" spans="2:6" x14ac:dyDescent="0.25">
      <c r="B88" s="2"/>
      <c r="C88" s="2"/>
      <c r="D88" s="2"/>
      <c r="E88" s="2"/>
      <c r="F88" s="2"/>
    </row>
    <row r="89" spans="2:6" x14ac:dyDescent="0.25">
      <c r="B89" s="2"/>
    </row>
  </sheetData>
  <mergeCells count="3">
    <mergeCell ref="B6:E6"/>
    <mergeCell ref="B7:E7"/>
    <mergeCell ref="C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I25" sqref="I25"/>
    </sheetView>
  </sheetViews>
  <sheetFormatPr baseColWidth="10" defaultRowHeight="15" x14ac:dyDescent="0.25"/>
  <cols>
    <col min="1" max="1" width="4" customWidth="1"/>
    <col min="2" max="2" width="10.2851562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 x14ac:dyDescent="0.25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P1" s="73" t="s">
        <v>81</v>
      </c>
    </row>
    <row r="2" spans="2:20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2:20" x14ac:dyDescent="0.25">
      <c r="B3" s="228" t="s">
        <v>82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2:20" x14ac:dyDescent="0.25">
      <c r="B4" s="228" t="s">
        <v>83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</row>
    <row r="5" spans="2:20" x14ac:dyDescent="0.25">
      <c r="B5" s="228" t="s">
        <v>84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</row>
    <row r="6" spans="2:20" ht="15.75" thickBot="1" x14ac:dyDescent="0.3">
      <c r="B6" s="78"/>
      <c r="C6" s="78"/>
      <c r="D6" s="78"/>
      <c r="E6" s="78"/>
      <c r="F6" s="78"/>
      <c r="G6" s="78"/>
      <c r="H6" s="78"/>
      <c r="I6" s="2"/>
      <c r="J6" s="2"/>
      <c r="K6" s="2"/>
      <c r="L6" s="2"/>
      <c r="M6" s="2"/>
      <c r="N6" s="2"/>
      <c r="O6" s="2"/>
      <c r="P6" s="2"/>
      <c r="Q6" s="2" t="s">
        <v>38</v>
      </c>
    </row>
    <row r="7" spans="2:20" ht="16.5" customHeight="1" thickBot="1" x14ac:dyDescent="0.3">
      <c r="B7" s="118"/>
      <c r="C7" s="229" t="s">
        <v>85</v>
      </c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32"/>
      <c r="P7" s="119"/>
      <c r="Q7" s="84"/>
      <c r="R7" s="84"/>
      <c r="S7" s="84"/>
      <c r="T7" s="84"/>
    </row>
    <row r="8" spans="2:20" ht="15" customHeight="1" thickBot="1" x14ac:dyDescent="0.3">
      <c r="B8" s="120"/>
      <c r="C8" s="233" t="s">
        <v>86</v>
      </c>
      <c r="D8" s="234"/>
      <c r="E8" s="234"/>
      <c r="F8" s="234"/>
      <c r="G8" s="235"/>
      <c r="H8" s="121" t="s">
        <v>87</v>
      </c>
      <c r="I8" s="233" t="s">
        <v>88</v>
      </c>
      <c r="J8" s="234"/>
      <c r="K8" s="234"/>
      <c r="L8" s="234"/>
      <c r="M8" s="235"/>
      <c r="N8" s="122" t="s">
        <v>87</v>
      </c>
      <c r="O8" s="123" t="s">
        <v>87</v>
      </c>
      <c r="P8" s="124" t="s">
        <v>33</v>
      </c>
      <c r="Q8" s="84"/>
      <c r="R8" s="84"/>
      <c r="S8" s="84"/>
      <c r="T8" s="84"/>
    </row>
    <row r="9" spans="2:20" ht="35.25" customHeight="1" thickBot="1" x14ac:dyDescent="0.3">
      <c r="B9" s="125" t="s">
        <v>46</v>
      </c>
      <c r="C9" s="126" t="s">
        <v>89</v>
      </c>
      <c r="D9" s="127" t="s">
        <v>90</v>
      </c>
      <c r="E9" s="127" t="s">
        <v>91</v>
      </c>
      <c r="F9" s="127" t="s">
        <v>92</v>
      </c>
      <c r="G9" s="127" t="s">
        <v>93</v>
      </c>
      <c r="H9" s="128" t="s">
        <v>94</v>
      </c>
      <c r="I9" s="129" t="s">
        <v>95</v>
      </c>
      <c r="J9" s="127" t="s">
        <v>90</v>
      </c>
      <c r="K9" s="127" t="s">
        <v>91</v>
      </c>
      <c r="L9" s="127" t="s">
        <v>92</v>
      </c>
      <c r="M9" s="130" t="s">
        <v>93</v>
      </c>
      <c r="N9" s="128" t="s">
        <v>96</v>
      </c>
      <c r="O9" s="131" t="s">
        <v>97</v>
      </c>
      <c r="P9" s="132" t="s">
        <v>98</v>
      </c>
      <c r="Q9" s="84"/>
      <c r="R9" s="84"/>
      <c r="S9" s="84"/>
      <c r="T9" s="84"/>
    </row>
    <row r="10" spans="2:20" ht="21.95" customHeight="1" thickBot="1" x14ac:dyDescent="0.3">
      <c r="B10" s="133" t="s">
        <v>51</v>
      </c>
      <c r="C10" s="134">
        <v>11</v>
      </c>
      <c r="D10" s="135">
        <v>6</v>
      </c>
      <c r="E10" s="135">
        <v>9</v>
      </c>
      <c r="F10" s="135">
        <v>0</v>
      </c>
      <c r="G10" s="136">
        <v>5</v>
      </c>
      <c r="H10" s="137">
        <f>SUM(D10:G10)</f>
        <v>20</v>
      </c>
      <c r="I10" s="138">
        <v>16</v>
      </c>
      <c r="J10" s="135">
        <v>5</v>
      </c>
      <c r="K10" s="135">
        <v>15</v>
      </c>
      <c r="L10" s="135">
        <v>0</v>
      </c>
      <c r="M10" s="135">
        <v>9</v>
      </c>
      <c r="N10" s="139">
        <f>SUM(J10:M10)</f>
        <v>29</v>
      </c>
      <c r="O10" s="140">
        <f>+C10+I10</f>
        <v>27</v>
      </c>
      <c r="P10" s="141">
        <f t="shared" ref="P10:P21" si="0">+N10+H10</f>
        <v>49</v>
      </c>
      <c r="Q10" s="142"/>
      <c r="R10" s="142"/>
      <c r="S10" s="90"/>
      <c r="T10" s="90"/>
    </row>
    <row r="11" spans="2:20" ht="21.95" customHeight="1" thickBot="1" x14ac:dyDescent="0.3">
      <c r="B11" s="143" t="s">
        <v>52</v>
      </c>
      <c r="C11" s="144">
        <v>10</v>
      </c>
      <c r="D11" s="145">
        <v>2</v>
      </c>
      <c r="E11" s="145">
        <v>10</v>
      </c>
      <c r="F11" s="145">
        <v>0</v>
      </c>
      <c r="G11" s="146">
        <v>4</v>
      </c>
      <c r="H11" s="137">
        <f t="shared" ref="H11:H21" si="1">SUM(D11:G11)</f>
        <v>16</v>
      </c>
      <c r="I11" s="147">
        <v>10</v>
      </c>
      <c r="J11" s="148">
        <v>1</v>
      </c>
      <c r="K11" s="148">
        <v>10</v>
      </c>
      <c r="L11" s="148">
        <v>0</v>
      </c>
      <c r="M11" s="148">
        <v>2</v>
      </c>
      <c r="N11" s="139">
        <f t="shared" ref="N11:N21" si="2">SUM(J11:M11)</f>
        <v>13</v>
      </c>
      <c r="O11" s="149">
        <f t="shared" ref="O11:O21" si="3">+C11+I11</f>
        <v>20</v>
      </c>
      <c r="P11" s="141">
        <f t="shared" si="0"/>
        <v>29</v>
      </c>
      <c r="Q11" s="150"/>
      <c r="R11" s="90"/>
      <c r="S11" s="90"/>
      <c r="T11" s="90"/>
    </row>
    <row r="12" spans="2:20" ht="21.95" customHeight="1" thickBot="1" x14ac:dyDescent="0.3">
      <c r="B12" s="143" t="s">
        <v>53</v>
      </c>
      <c r="C12" s="151">
        <v>4</v>
      </c>
      <c r="D12" s="152">
        <v>2</v>
      </c>
      <c r="E12" s="152">
        <v>2</v>
      </c>
      <c r="F12" s="152">
        <v>1</v>
      </c>
      <c r="G12" s="153">
        <v>1</v>
      </c>
      <c r="H12" s="137">
        <f t="shared" si="1"/>
        <v>6</v>
      </c>
      <c r="I12" s="154">
        <v>13</v>
      </c>
      <c r="J12" s="148">
        <v>2</v>
      </c>
      <c r="K12" s="148">
        <v>11</v>
      </c>
      <c r="L12" s="148">
        <v>0</v>
      </c>
      <c r="M12" s="148">
        <v>1</v>
      </c>
      <c r="N12" s="139">
        <f t="shared" si="2"/>
        <v>14</v>
      </c>
      <c r="O12" s="149">
        <f t="shared" si="3"/>
        <v>17</v>
      </c>
      <c r="P12" s="141">
        <f t="shared" si="0"/>
        <v>20</v>
      </c>
      <c r="Q12" s="150"/>
      <c r="R12" s="90"/>
      <c r="S12" s="90" t="s">
        <v>99</v>
      </c>
      <c r="T12" s="90"/>
    </row>
    <row r="13" spans="2:20" ht="21.95" customHeight="1" thickBot="1" x14ac:dyDescent="0.3">
      <c r="B13" s="143" t="s">
        <v>54</v>
      </c>
      <c r="C13" s="155">
        <v>11</v>
      </c>
      <c r="D13" s="156">
        <v>4</v>
      </c>
      <c r="E13" s="156">
        <v>9</v>
      </c>
      <c r="F13" s="156">
        <v>2</v>
      </c>
      <c r="G13" s="157">
        <v>5</v>
      </c>
      <c r="H13" s="137">
        <f t="shared" si="1"/>
        <v>20</v>
      </c>
      <c r="I13" s="158">
        <v>14</v>
      </c>
      <c r="J13" s="159">
        <v>4</v>
      </c>
      <c r="K13" s="159">
        <v>12</v>
      </c>
      <c r="L13" s="159">
        <v>0</v>
      </c>
      <c r="M13" s="159">
        <v>3</v>
      </c>
      <c r="N13" s="139">
        <f t="shared" si="2"/>
        <v>19</v>
      </c>
      <c r="O13" s="149">
        <f t="shared" si="3"/>
        <v>25</v>
      </c>
      <c r="P13" s="141">
        <f t="shared" si="0"/>
        <v>39</v>
      </c>
      <c r="Q13" s="150"/>
      <c r="R13" s="90"/>
      <c r="S13" s="90"/>
      <c r="T13" s="90"/>
    </row>
    <row r="14" spans="2:20" ht="21.95" customHeight="1" thickBot="1" x14ac:dyDescent="0.3">
      <c r="B14" s="143" t="s">
        <v>55</v>
      </c>
      <c r="C14" s="155">
        <v>12</v>
      </c>
      <c r="D14" s="156">
        <v>8</v>
      </c>
      <c r="E14" s="156">
        <v>11</v>
      </c>
      <c r="F14" s="156">
        <v>0</v>
      </c>
      <c r="G14" s="157">
        <v>6</v>
      </c>
      <c r="H14" s="137">
        <f t="shared" si="1"/>
        <v>25</v>
      </c>
      <c r="I14" s="158">
        <v>17</v>
      </c>
      <c r="J14" s="159">
        <v>6</v>
      </c>
      <c r="K14" s="159">
        <v>14</v>
      </c>
      <c r="L14" s="159">
        <v>1</v>
      </c>
      <c r="M14" s="159">
        <v>5</v>
      </c>
      <c r="N14" s="139">
        <f t="shared" si="2"/>
        <v>26</v>
      </c>
      <c r="O14" s="149">
        <f>+C14+I14</f>
        <v>29</v>
      </c>
      <c r="P14" s="160">
        <f t="shared" si="0"/>
        <v>51</v>
      </c>
      <c r="Q14" s="150"/>
      <c r="R14" s="90"/>
      <c r="S14" s="90"/>
      <c r="T14" s="90"/>
    </row>
    <row r="15" spans="2:20" ht="21.95" customHeight="1" thickBot="1" x14ac:dyDescent="0.3">
      <c r="B15" s="143" t="s">
        <v>56</v>
      </c>
      <c r="C15" s="144">
        <v>10</v>
      </c>
      <c r="D15" s="145">
        <v>4</v>
      </c>
      <c r="E15" s="145">
        <v>8</v>
      </c>
      <c r="F15" s="145">
        <v>1</v>
      </c>
      <c r="G15" s="146">
        <v>2</v>
      </c>
      <c r="H15" s="137">
        <f t="shared" si="1"/>
        <v>15</v>
      </c>
      <c r="I15" s="147">
        <v>14</v>
      </c>
      <c r="J15" s="148">
        <v>8</v>
      </c>
      <c r="K15" s="148">
        <v>11</v>
      </c>
      <c r="L15" s="148">
        <v>1</v>
      </c>
      <c r="M15" s="148">
        <v>4</v>
      </c>
      <c r="N15" s="139">
        <f t="shared" si="2"/>
        <v>24</v>
      </c>
      <c r="O15" s="149">
        <f t="shared" si="3"/>
        <v>24</v>
      </c>
      <c r="P15" s="160">
        <f t="shared" si="0"/>
        <v>39</v>
      </c>
      <c r="Q15" s="150"/>
      <c r="R15" s="90"/>
      <c r="S15" s="90"/>
      <c r="T15" s="90"/>
    </row>
    <row r="16" spans="2:20" ht="21.95" customHeight="1" thickBot="1" x14ac:dyDescent="0.3">
      <c r="B16" s="143" t="s">
        <v>57</v>
      </c>
      <c r="C16" s="144">
        <v>11</v>
      </c>
      <c r="D16" s="145">
        <v>2</v>
      </c>
      <c r="E16" s="145">
        <v>9</v>
      </c>
      <c r="F16" s="145">
        <v>0</v>
      </c>
      <c r="G16" s="146">
        <v>0</v>
      </c>
      <c r="H16" s="137">
        <f t="shared" si="1"/>
        <v>11</v>
      </c>
      <c r="I16" s="147">
        <v>12</v>
      </c>
      <c r="J16" s="148">
        <v>3</v>
      </c>
      <c r="K16" s="148">
        <v>11</v>
      </c>
      <c r="L16" s="148">
        <v>0</v>
      </c>
      <c r="M16" s="148">
        <v>4</v>
      </c>
      <c r="N16" s="139">
        <f t="shared" si="2"/>
        <v>18</v>
      </c>
      <c r="O16" s="149">
        <f t="shared" si="3"/>
        <v>23</v>
      </c>
      <c r="P16" s="160">
        <f t="shared" si="0"/>
        <v>29</v>
      </c>
      <c r="Q16" s="161"/>
      <c r="R16" s="161"/>
      <c r="S16" s="90"/>
      <c r="T16" s="90"/>
    </row>
    <row r="17" spans="2:20" ht="21.95" customHeight="1" thickBot="1" x14ac:dyDescent="0.3">
      <c r="B17" s="162" t="s">
        <v>58</v>
      </c>
      <c r="C17" s="151">
        <v>16</v>
      </c>
      <c r="D17" s="152">
        <v>9</v>
      </c>
      <c r="E17" s="152">
        <v>10</v>
      </c>
      <c r="F17" s="152">
        <v>0</v>
      </c>
      <c r="G17" s="153">
        <v>4</v>
      </c>
      <c r="H17" s="137">
        <f t="shared" si="1"/>
        <v>23</v>
      </c>
      <c r="I17" s="154">
        <v>17</v>
      </c>
      <c r="J17" s="148">
        <v>2</v>
      </c>
      <c r="K17" s="148">
        <v>16</v>
      </c>
      <c r="L17" s="148">
        <v>0</v>
      </c>
      <c r="M17" s="148">
        <v>5</v>
      </c>
      <c r="N17" s="139">
        <f t="shared" si="2"/>
        <v>23</v>
      </c>
      <c r="O17" s="149">
        <f t="shared" si="3"/>
        <v>33</v>
      </c>
      <c r="P17" s="160">
        <f t="shared" si="0"/>
        <v>46</v>
      </c>
      <c r="Q17" s="161"/>
      <c r="R17" s="161"/>
      <c r="S17" s="90"/>
      <c r="T17" s="90"/>
    </row>
    <row r="18" spans="2:20" ht="21.95" customHeight="1" thickBot="1" x14ac:dyDescent="0.3">
      <c r="B18" s="163" t="s">
        <v>59</v>
      </c>
      <c r="C18" s="164">
        <v>8</v>
      </c>
      <c r="D18" s="165">
        <v>3</v>
      </c>
      <c r="E18" s="165">
        <v>5</v>
      </c>
      <c r="F18" s="165">
        <v>0</v>
      </c>
      <c r="G18" s="166">
        <v>2</v>
      </c>
      <c r="H18" s="137">
        <f t="shared" si="1"/>
        <v>10</v>
      </c>
      <c r="I18" s="167">
        <v>13</v>
      </c>
      <c r="J18" s="168">
        <v>7</v>
      </c>
      <c r="K18" s="168">
        <v>12</v>
      </c>
      <c r="L18" s="168">
        <v>1</v>
      </c>
      <c r="M18" s="168">
        <v>7</v>
      </c>
      <c r="N18" s="139">
        <f t="shared" si="2"/>
        <v>27</v>
      </c>
      <c r="O18" s="149">
        <f t="shared" si="3"/>
        <v>21</v>
      </c>
      <c r="P18" s="169">
        <f t="shared" si="0"/>
        <v>37</v>
      </c>
      <c r="Q18" s="161"/>
      <c r="R18" s="161"/>
      <c r="S18" s="90"/>
      <c r="T18" s="90"/>
    </row>
    <row r="19" spans="2:20" ht="21.95" customHeight="1" thickBot="1" x14ac:dyDescent="0.3">
      <c r="B19" s="170" t="s">
        <v>60</v>
      </c>
      <c r="C19" s="171">
        <v>10</v>
      </c>
      <c r="D19" s="172">
        <v>4</v>
      </c>
      <c r="E19" s="172">
        <v>9</v>
      </c>
      <c r="F19" s="172">
        <v>0</v>
      </c>
      <c r="G19" s="173">
        <v>4</v>
      </c>
      <c r="H19" s="137">
        <f t="shared" si="1"/>
        <v>17</v>
      </c>
      <c r="I19" s="174">
        <v>10</v>
      </c>
      <c r="J19" s="175">
        <v>2</v>
      </c>
      <c r="K19" s="175">
        <v>9</v>
      </c>
      <c r="L19" s="175">
        <v>0</v>
      </c>
      <c r="M19" s="175">
        <v>3</v>
      </c>
      <c r="N19" s="139">
        <f t="shared" si="2"/>
        <v>14</v>
      </c>
      <c r="O19" s="149">
        <f t="shared" si="3"/>
        <v>20</v>
      </c>
      <c r="P19" s="169">
        <f t="shared" si="0"/>
        <v>31</v>
      </c>
      <c r="Q19" s="161"/>
      <c r="R19" s="161"/>
      <c r="S19" s="90"/>
      <c r="T19" s="90"/>
    </row>
    <row r="20" spans="2:20" ht="21.95" customHeight="1" thickBot="1" x14ac:dyDescent="0.3">
      <c r="B20" s="176" t="s">
        <v>61</v>
      </c>
      <c r="C20" s="177">
        <v>18</v>
      </c>
      <c r="D20" s="178">
        <v>10</v>
      </c>
      <c r="E20" s="178">
        <v>11</v>
      </c>
      <c r="F20" s="178">
        <v>0</v>
      </c>
      <c r="G20" s="179">
        <v>6</v>
      </c>
      <c r="H20" s="137">
        <f t="shared" si="1"/>
        <v>27</v>
      </c>
      <c r="I20" s="180">
        <v>9</v>
      </c>
      <c r="J20" s="181">
        <v>3</v>
      </c>
      <c r="K20" s="181">
        <v>9</v>
      </c>
      <c r="L20" s="181">
        <v>0</v>
      </c>
      <c r="M20" s="181">
        <v>3</v>
      </c>
      <c r="N20" s="139">
        <f t="shared" si="2"/>
        <v>15</v>
      </c>
      <c r="O20" s="149">
        <f t="shared" si="3"/>
        <v>27</v>
      </c>
      <c r="P20" s="169">
        <f t="shared" si="0"/>
        <v>42</v>
      </c>
      <c r="Q20" s="161"/>
      <c r="R20" s="161"/>
      <c r="S20" s="90"/>
      <c r="T20" s="90"/>
    </row>
    <row r="21" spans="2:20" ht="21.95" customHeight="1" thickBot="1" x14ac:dyDescent="0.3">
      <c r="B21" s="182" t="s">
        <v>62</v>
      </c>
      <c r="C21" s="183">
        <v>5</v>
      </c>
      <c r="D21" s="184">
        <v>1</v>
      </c>
      <c r="E21" s="184">
        <v>5</v>
      </c>
      <c r="F21" s="184">
        <v>0</v>
      </c>
      <c r="G21" s="185">
        <v>2</v>
      </c>
      <c r="H21" s="137">
        <f t="shared" si="1"/>
        <v>8</v>
      </c>
      <c r="I21" s="186">
        <v>7</v>
      </c>
      <c r="J21" s="187">
        <v>3</v>
      </c>
      <c r="K21" s="187">
        <v>6</v>
      </c>
      <c r="L21" s="187">
        <v>0</v>
      </c>
      <c r="M21" s="187">
        <v>2</v>
      </c>
      <c r="N21" s="139">
        <f t="shared" si="2"/>
        <v>11</v>
      </c>
      <c r="O21" s="188">
        <f t="shared" si="3"/>
        <v>12</v>
      </c>
      <c r="P21" s="189">
        <f t="shared" si="0"/>
        <v>19</v>
      </c>
      <c r="Q21" s="161"/>
      <c r="R21" s="161"/>
      <c r="S21" s="90"/>
      <c r="T21" s="90"/>
    </row>
    <row r="22" spans="2:20" ht="17.25" customHeight="1" thickBot="1" x14ac:dyDescent="0.3">
      <c r="B22" s="190" t="s">
        <v>100</v>
      </c>
      <c r="C22" s="191">
        <f t="shared" ref="C22:P22" si="4">SUM(C10:C21)</f>
        <v>126</v>
      </c>
      <c r="D22" s="191">
        <f t="shared" si="4"/>
        <v>55</v>
      </c>
      <c r="E22" s="191">
        <f t="shared" si="4"/>
        <v>98</v>
      </c>
      <c r="F22" s="191">
        <f t="shared" si="4"/>
        <v>4</v>
      </c>
      <c r="G22" s="192">
        <f t="shared" si="4"/>
        <v>41</v>
      </c>
      <c r="H22" s="193">
        <f t="shared" si="4"/>
        <v>198</v>
      </c>
      <c r="I22" s="194">
        <f t="shared" si="4"/>
        <v>152</v>
      </c>
      <c r="J22" s="195">
        <f t="shared" si="4"/>
        <v>46</v>
      </c>
      <c r="K22" s="195">
        <f t="shared" si="4"/>
        <v>136</v>
      </c>
      <c r="L22" s="195">
        <f t="shared" si="4"/>
        <v>3</v>
      </c>
      <c r="M22" s="195">
        <f t="shared" si="4"/>
        <v>48</v>
      </c>
      <c r="N22" s="193">
        <f t="shared" si="4"/>
        <v>233</v>
      </c>
      <c r="O22" s="196">
        <f t="shared" si="4"/>
        <v>278</v>
      </c>
      <c r="P22" s="197">
        <f t="shared" si="4"/>
        <v>431</v>
      </c>
      <c r="Q22" s="161"/>
      <c r="R22" s="161"/>
      <c r="S22" s="90"/>
      <c r="T22" s="90"/>
    </row>
    <row r="23" spans="2:20" ht="14.25" customHeight="1" x14ac:dyDescent="0.25">
      <c r="B23" s="198"/>
      <c r="C23" s="2"/>
      <c r="D23" s="2"/>
      <c r="E23" s="2"/>
      <c r="F23" s="2"/>
      <c r="G23" s="2"/>
      <c r="H23" s="2"/>
      <c r="I23" s="107"/>
      <c r="J23" s="107"/>
      <c r="K23" s="107"/>
      <c r="L23" s="107"/>
      <c r="M23" s="107"/>
      <c r="N23" s="107"/>
      <c r="P23" s="70" t="s">
        <v>63</v>
      </c>
    </row>
    <row r="24" spans="2:20" x14ac:dyDescent="0.25">
      <c r="B24" s="199" t="s">
        <v>101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20" x14ac:dyDescent="0.25">
      <c r="B25" s="56"/>
      <c r="C25" s="63"/>
      <c r="D25" s="63"/>
      <c r="E25" s="63"/>
      <c r="F25" s="63"/>
      <c r="G25" s="63"/>
      <c r="H25" s="63"/>
      <c r="I25" s="2"/>
      <c r="J25" s="2"/>
      <c r="K25" s="2"/>
      <c r="L25" s="2"/>
      <c r="M25" s="2"/>
      <c r="N25" s="2"/>
      <c r="O25" s="2"/>
      <c r="P25" s="2"/>
      <c r="Q25" s="62"/>
    </row>
    <row r="26" spans="2:20" x14ac:dyDescent="0.25">
      <c r="B26" s="2"/>
      <c r="C26" s="117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37</v>
      </c>
      <c r="O26" s="2"/>
      <c r="P26" s="2"/>
      <c r="Q26" s="62"/>
    </row>
    <row r="27" spans="2:20" x14ac:dyDescent="0.25">
      <c r="B27" s="2"/>
      <c r="C27" s="117"/>
      <c r="F27" s="2"/>
      <c r="G27" s="2"/>
      <c r="H27" s="2"/>
      <c r="L27" s="2"/>
      <c r="M27" s="2"/>
      <c r="N27" s="2" t="s">
        <v>102</v>
      </c>
      <c r="O27" s="2"/>
      <c r="P27" s="2"/>
      <c r="Q27" s="2"/>
    </row>
    <row r="28" spans="2:20" x14ac:dyDescent="0.25">
      <c r="B28" s="200"/>
      <c r="C28" s="201"/>
      <c r="D28" s="201"/>
      <c r="F28" s="2"/>
      <c r="G28" s="2"/>
      <c r="H28" s="56"/>
      <c r="I28" s="56"/>
      <c r="J28" s="56"/>
      <c r="K28" s="56"/>
      <c r="L28" s="56"/>
      <c r="M28" s="2"/>
      <c r="N28" s="2" t="s">
        <v>103</v>
      </c>
      <c r="O28" s="56"/>
      <c r="P28" s="56"/>
      <c r="Q28" s="56"/>
    </row>
    <row r="29" spans="2:20" x14ac:dyDescent="0.25">
      <c r="C29" s="11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117"/>
      <c r="Q29" s="62"/>
    </row>
    <row r="30" spans="2:20" x14ac:dyDescent="0.25">
      <c r="C30" s="11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117"/>
      <c r="Q30" s="62"/>
    </row>
    <row r="31" spans="2:20" ht="15.95" customHeight="1" x14ac:dyDescent="0.25"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Q31" s="62"/>
    </row>
    <row r="32" spans="2:20" ht="15.95" customHeight="1" x14ac:dyDescent="0.25"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62"/>
    </row>
    <row r="33" spans="1:17" ht="15.95" customHeight="1" x14ac:dyDescent="0.25"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62"/>
    </row>
    <row r="34" spans="1:17" ht="15.95" customHeight="1" x14ac:dyDescent="0.25"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</row>
    <row r="35" spans="1:17" ht="15.95" customHeight="1" x14ac:dyDescent="0.25">
      <c r="B35" s="78"/>
      <c r="C35" s="78"/>
      <c r="D35" s="78"/>
      <c r="E35" s="78"/>
      <c r="F35" s="78"/>
      <c r="G35" s="78"/>
      <c r="H35" s="78"/>
      <c r="I35" s="2"/>
      <c r="J35" s="2"/>
      <c r="K35" s="2"/>
      <c r="L35" s="2"/>
      <c r="M35" s="2"/>
      <c r="N35" s="2"/>
      <c r="O35" s="2"/>
      <c r="P35" s="2"/>
    </row>
    <row r="36" spans="1:17" ht="21.95" customHeight="1" x14ac:dyDescent="0.25">
      <c r="B36" s="202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03"/>
    </row>
    <row r="37" spans="1:17" ht="21.95" customHeight="1" x14ac:dyDescent="0.25">
      <c r="B37" s="202"/>
      <c r="C37" s="231"/>
      <c r="D37" s="231"/>
      <c r="E37" s="231"/>
      <c r="F37" s="231"/>
      <c r="G37" s="231"/>
      <c r="H37" s="204"/>
      <c r="I37" s="231"/>
      <c r="J37" s="231"/>
      <c r="K37" s="231"/>
      <c r="L37" s="231"/>
      <c r="M37" s="231"/>
      <c r="N37" s="204"/>
      <c r="O37" s="205"/>
      <c r="P37" s="205"/>
    </row>
    <row r="38" spans="1:17" ht="34.5" customHeight="1" x14ac:dyDescent="0.25">
      <c r="B38" s="202"/>
      <c r="C38" s="84"/>
      <c r="D38" s="206"/>
      <c r="E38" s="206"/>
      <c r="F38" s="206"/>
      <c r="G38" s="206"/>
      <c r="H38" s="84"/>
      <c r="I38" s="207"/>
      <c r="J38" s="206"/>
      <c r="K38" s="206"/>
      <c r="L38" s="206"/>
      <c r="M38" s="206"/>
      <c r="N38" s="84"/>
      <c r="O38" s="208"/>
      <c r="P38" s="205"/>
    </row>
    <row r="39" spans="1:17" ht="21.95" customHeight="1" x14ac:dyDescent="0.25">
      <c r="B39" s="209"/>
      <c r="C39" s="210"/>
      <c r="D39" s="211"/>
      <c r="E39" s="211"/>
      <c r="F39" s="211"/>
      <c r="G39" s="211"/>
      <c r="H39" s="211"/>
      <c r="I39" s="210"/>
      <c r="J39" s="211"/>
      <c r="K39" s="211"/>
      <c r="L39" s="211"/>
      <c r="M39" s="211"/>
      <c r="N39" s="211"/>
      <c r="O39" s="210"/>
      <c r="P39" s="212"/>
    </row>
    <row r="40" spans="1:17" ht="21.95" customHeight="1" x14ac:dyDescent="0.25">
      <c r="B40" s="209"/>
      <c r="C40" s="210"/>
      <c r="D40" s="211"/>
      <c r="E40" s="211"/>
      <c r="F40" s="211"/>
      <c r="G40" s="211"/>
      <c r="H40" s="211"/>
      <c r="I40" s="210"/>
      <c r="J40" s="211"/>
      <c r="K40" s="211"/>
      <c r="L40" s="211"/>
      <c r="M40" s="211"/>
      <c r="N40" s="211"/>
      <c r="O40" s="210"/>
      <c r="P40" s="212"/>
    </row>
    <row r="41" spans="1:17" ht="21.95" customHeight="1" x14ac:dyDescent="0.25">
      <c r="B41" s="209"/>
      <c r="C41" s="210"/>
      <c r="D41" s="211"/>
      <c r="E41" s="211"/>
      <c r="F41" s="211"/>
      <c r="G41" s="211"/>
      <c r="H41" s="211"/>
      <c r="I41" s="210"/>
      <c r="J41" s="211"/>
      <c r="K41" s="211"/>
      <c r="L41" s="211"/>
      <c r="M41" s="211"/>
      <c r="N41" s="211"/>
      <c r="O41" s="210"/>
      <c r="P41" s="212"/>
    </row>
    <row r="42" spans="1:17" ht="21.95" customHeight="1" x14ac:dyDescent="0.25">
      <c r="B42" s="209"/>
      <c r="C42" s="213"/>
      <c r="D42" s="214"/>
      <c r="E42" s="214"/>
      <c r="F42" s="214"/>
      <c r="G42" s="214"/>
      <c r="H42" s="211"/>
      <c r="I42" s="213"/>
      <c r="J42" s="214"/>
      <c r="K42" s="214"/>
      <c r="L42" s="214"/>
      <c r="M42" s="214"/>
      <c r="N42" s="211"/>
      <c r="O42" s="213"/>
      <c r="P42" s="212"/>
    </row>
    <row r="43" spans="1:17" ht="21.95" customHeight="1" x14ac:dyDescent="0.25">
      <c r="B43" s="209"/>
      <c r="C43" s="213"/>
      <c r="D43" s="214"/>
      <c r="E43" s="214"/>
      <c r="F43" s="214"/>
      <c r="G43" s="214"/>
      <c r="H43" s="211"/>
      <c r="I43" s="213"/>
      <c r="J43" s="214"/>
      <c r="K43" s="214"/>
      <c r="L43" s="214"/>
      <c r="M43" s="214"/>
      <c r="N43" s="211"/>
      <c r="O43" s="213"/>
      <c r="P43" s="212"/>
    </row>
    <row r="44" spans="1:17" ht="21.95" customHeight="1" x14ac:dyDescent="0.25">
      <c r="B44" s="209"/>
      <c r="C44" s="210"/>
      <c r="D44" s="211"/>
      <c r="E44" s="211"/>
      <c r="F44" s="211"/>
      <c r="G44" s="211"/>
      <c r="H44" s="211"/>
      <c r="I44" s="210"/>
      <c r="J44" s="211"/>
      <c r="K44" s="211"/>
      <c r="L44" s="211"/>
      <c r="M44" s="211"/>
      <c r="N44" s="211"/>
      <c r="O44" s="213"/>
      <c r="P44" s="212"/>
    </row>
    <row r="45" spans="1:17" ht="21.95" customHeight="1" x14ac:dyDescent="0.25">
      <c r="A45" t="s">
        <v>99</v>
      </c>
      <c r="B45" s="209"/>
      <c r="C45" s="210"/>
      <c r="D45" s="211"/>
      <c r="E45" s="211"/>
      <c r="F45" s="211"/>
      <c r="G45" s="211"/>
      <c r="H45" s="211"/>
      <c r="I45" s="210"/>
      <c r="J45" s="211"/>
      <c r="K45" s="211"/>
      <c r="L45" s="211"/>
      <c r="M45" s="211"/>
      <c r="N45" s="211"/>
      <c r="O45" s="210"/>
      <c r="P45" s="212"/>
    </row>
    <row r="46" spans="1:17" ht="21.95" customHeight="1" x14ac:dyDescent="0.25">
      <c r="B46" s="209"/>
      <c r="C46" s="210"/>
      <c r="D46" s="211"/>
      <c r="E46" s="211"/>
      <c r="F46" s="211"/>
      <c r="G46" s="211"/>
      <c r="H46" s="211"/>
      <c r="I46" s="210"/>
      <c r="J46" s="211"/>
      <c r="K46" s="211"/>
      <c r="L46" s="211"/>
      <c r="M46" s="211"/>
      <c r="N46" s="211"/>
      <c r="O46" s="210"/>
      <c r="P46" s="212"/>
    </row>
    <row r="47" spans="1:17" ht="21.95" customHeight="1" x14ac:dyDescent="0.25">
      <c r="B47" s="209"/>
      <c r="C47" s="210"/>
      <c r="D47" s="211"/>
      <c r="E47" s="211"/>
      <c r="F47" s="211"/>
      <c r="G47" s="211"/>
      <c r="H47" s="211"/>
      <c r="I47" s="210"/>
      <c r="J47" s="211"/>
      <c r="K47" s="211"/>
      <c r="L47" s="211"/>
      <c r="M47" s="211"/>
      <c r="N47" s="211"/>
      <c r="O47" s="210"/>
      <c r="P47" s="211"/>
    </row>
    <row r="48" spans="1:17" ht="21.95" customHeight="1" x14ac:dyDescent="0.25">
      <c r="B48" s="209"/>
      <c r="C48" s="210"/>
      <c r="D48" s="211"/>
      <c r="E48" s="211"/>
      <c r="F48" s="211"/>
      <c r="G48" s="211"/>
      <c r="H48" s="211"/>
      <c r="I48" s="210"/>
      <c r="J48" s="211"/>
      <c r="K48" s="211"/>
      <c r="L48" s="211"/>
      <c r="M48" s="211"/>
      <c r="N48" s="211"/>
      <c r="O48" s="210"/>
      <c r="P48" s="211"/>
    </row>
    <row r="49" spans="2:16" ht="21.95" customHeight="1" x14ac:dyDescent="0.25">
      <c r="B49" s="209"/>
      <c r="C49" s="210"/>
      <c r="D49" s="211"/>
      <c r="E49" s="211"/>
      <c r="F49" s="211"/>
      <c r="G49" s="211"/>
      <c r="H49" s="211"/>
      <c r="I49" s="210"/>
      <c r="J49" s="211"/>
      <c r="K49" s="211"/>
      <c r="L49" s="211"/>
      <c r="M49" s="211"/>
      <c r="N49" s="211"/>
      <c r="O49" s="210"/>
      <c r="P49" s="211"/>
    </row>
    <row r="50" spans="2:16" ht="21.95" customHeight="1" x14ac:dyDescent="0.25">
      <c r="B50" s="209"/>
      <c r="C50" s="210"/>
      <c r="D50" s="211"/>
      <c r="E50" s="211"/>
      <c r="F50" s="211"/>
      <c r="G50" s="211"/>
      <c r="H50" s="214"/>
      <c r="I50" s="210"/>
      <c r="J50" s="211"/>
      <c r="K50" s="211"/>
      <c r="L50" s="211"/>
      <c r="M50" s="211"/>
      <c r="N50" s="214"/>
      <c r="O50" s="210"/>
      <c r="P50" s="211"/>
    </row>
    <row r="51" spans="2:16" ht="21.95" customHeight="1" x14ac:dyDescent="0.25">
      <c r="B51" s="215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6"/>
      <c r="P51" s="216"/>
    </row>
    <row r="52" spans="2:16" x14ac:dyDescent="0.25">
      <c r="B52" s="217"/>
      <c r="C52" s="78"/>
      <c r="D52" s="78"/>
      <c r="E52" s="78"/>
      <c r="F52" s="78"/>
      <c r="G52" s="78"/>
      <c r="H52" s="78"/>
      <c r="I52" s="218"/>
      <c r="J52" s="218"/>
      <c r="K52" s="218"/>
      <c r="L52" s="218"/>
      <c r="M52" s="218"/>
      <c r="N52" s="218"/>
      <c r="O52" s="3"/>
      <c r="P52" s="219"/>
    </row>
    <row r="53" spans="2:16" x14ac:dyDescent="0.25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  <row r="54" spans="2:16" x14ac:dyDescent="0.25">
      <c r="B54" s="56"/>
      <c r="C54" s="63"/>
      <c r="D54" s="63"/>
      <c r="E54" s="63"/>
      <c r="F54" s="63"/>
      <c r="G54" s="63"/>
      <c r="H54" s="63"/>
      <c r="I54" s="2"/>
      <c r="J54" s="2"/>
      <c r="K54" s="2"/>
      <c r="L54" s="2"/>
      <c r="M54" s="2"/>
      <c r="N54" s="2"/>
      <c r="O54" s="2"/>
      <c r="P54" s="2"/>
    </row>
    <row r="55" spans="2:16" x14ac:dyDescent="0.25">
      <c r="B55" s="2"/>
      <c r="C55" s="11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6" x14ac:dyDescent="0.25">
      <c r="B56" s="2"/>
      <c r="C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5">
      <c r="B57" s="201"/>
      <c r="C57" s="201"/>
      <c r="D57" s="201"/>
      <c r="F57" s="2"/>
      <c r="G57" s="2"/>
      <c r="H57" s="2"/>
      <c r="I57" s="2"/>
      <c r="J57" s="2"/>
      <c r="K57" s="2"/>
      <c r="L57" s="2"/>
      <c r="M57" s="2"/>
      <c r="N57" s="2"/>
      <c r="O57" s="117"/>
      <c r="P57" s="2"/>
    </row>
    <row r="58" spans="2:16" x14ac:dyDescent="0.25">
      <c r="C58" s="11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P58" s="117"/>
    </row>
    <row r="59" spans="2:16" x14ac:dyDescent="0.25">
      <c r="C59" s="11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117"/>
    </row>
    <row r="60" spans="2:16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2:16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</sheetData>
  <mergeCells count="12">
    <mergeCell ref="B3:P3"/>
    <mergeCell ref="B4:P4"/>
    <mergeCell ref="B5:P5"/>
    <mergeCell ref="C7:O7"/>
    <mergeCell ref="C8:G8"/>
    <mergeCell ref="I8:M8"/>
    <mergeCell ref="B32:P32"/>
    <mergeCell ref="B33:P33"/>
    <mergeCell ref="B34:P34"/>
    <mergeCell ref="C36:O36"/>
    <mergeCell ref="C37:G37"/>
    <mergeCell ref="I37:M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7"/>
  <sheetViews>
    <sheetView workbookViewId="0">
      <selection activeCell="A20" sqref="A20:B26"/>
    </sheetView>
  </sheetViews>
  <sheetFormatPr baseColWidth="10" defaultRowHeight="15" x14ac:dyDescent="0.25"/>
  <cols>
    <col min="1" max="1" width="7.140625" customWidth="1"/>
    <col min="2" max="2" width="9.28515625" customWidth="1"/>
    <col min="3" max="3" width="7.85546875" customWidth="1"/>
    <col min="4" max="4" width="6" customWidth="1"/>
    <col min="5" max="5" width="6.5703125" customWidth="1"/>
    <col min="6" max="6" width="6.28515625" customWidth="1"/>
    <col min="7" max="7" width="11.85546875" customWidth="1"/>
    <col min="8" max="8" width="13.42578125" customWidth="1"/>
    <col min="9" max="9" width="13.28515625" customWidth="1"/>
    <col min="10" max="10" width="11.42578125" customWidth="1"/>
    <col min="11" max="11" width="10.85546875" customWidth="1"/>
    <col min="12" max="12" width="12.140625" customWidth="1"/>
    <col min="13" max="13" width="11.42578125" customWidth="1"/>
    <col min="14" max="14" width="11.140625" customWidth="1"/>
    <col min="15" max="15" width="15.85546875" customWidth="1"/>
    <col min="16" max="16" width="15.7109375" customWidth="1"/>
    <col min="17" max="17" width="14.28515625" customWidth="1"/>
    <col min="18" max="18" width="12.42578125" customWidth="1"/>
    <col min="19" max="20" width="12.28515625" bestFit="1" customWidth="1"/>
  </cols>
  <sheetData>
    <row r="1" spans="1:20" x14ac:dyDescent="0.2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20" x14ac:dyDescent="0.2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ht="12.7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3"/>
      <c r="P4" s="3"/>
      <c r="Q4" s="2"/>
      <c r="R4" t="s">
        <v>2</v>
      </c>
    </row>
    <row r="5" spans="1:20" ht="79.5" customHeight="1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6" t="s">
        <v>15</v>
      </c>
      <c r="N5" s="7" t="s">
        <v>16</v>
      </c>
      <c r="O5" s="8" t="s">
        <v>17</v>
      </c>
      <c r="P5" s="9" t="s">
        <v>18</v>
      </c>
      <c r="Q5" s="10" t="s">
        <v>19</v>
      </c>
      <c r="R5" s="11" t="s">
        <v>20</v>
      </c>
      <c r="S5" s="12"/>
    </row>
    <row r="6" spans="1:20" ht="23.1" customHeight="1" x14ac:dyDescent="0.25">
      <c r="A6" s="13" t="s">
        <v>21</v>
      </c>
      <c r="B6" s="14">
        <v>0</v>
      </c>
      <c r="C6" s="14">
        <f>7+5+6+1</f>
        <v>19</v>
      </c>
      <c r="D6" s="14">
        <f>10+25+15+2</f>
        <v>52</v>
      </c>
      <c r="E6" s="14">
        <f>2+2+5</f>
        <v>9</v>
      </c>
      <c r="F6" s="14">
        <v>10</v>
      </c>
      <c r="G6" s="15">
        <f>7371.43+9599.99+6857.14+3428.57</f>
        <v>27257.129999999997</v>
      </c>
      <c r="H6" s="15">
        <f>31886.4+11315.76+23513.63+21988.98+65.3+143.51+112.81+102.4+342.86</f>
        <v>89471.65</v>
      </c>
      <c r="I6" s="15">
        <f>219.25+1101.1+399.2+1329.9+261.36+955.9+1098.68+369.36+491.66+527.93+239.58+227.48+1620.06+529.98+270.72+1103.52+757.46+154.88+854.36+1103.52+305.37+1007.5+752.62+505.78+3658.95+1297.66+58.08+1089</f>
        <v>22290.860000000004</v>
      </c>
      <c r="J6" s="15">
        <v>0</v>
      </c>
      <c r="K6" s="15">
        <v>0</v>
      </c>
      <c r="L6" s="15">
        <f>16*1142.86</f>
        <v>18285.759999999998</v>
      </c>
      <c r="M6" s="16">
        <f>285.72+380.96+1142.86+285.72+285.72+285.7+285.72+285.72+380.96+380.95+380.95+1142.86</f>
        <v>5523.84</v>
      </c>
      <c r="N6" s="17">
        <v>11428.57</v>
      </c>
      <c r="O6" s="17">
        <v>0</v>
      </c>
      <c r="P6" s="18">
        <v>0</v>
      </c>
      <c r="Q6" s="19">
        <f>+SUM(G6:P6)-I6-K6</f>
        <v>151966.95000000001</v>
      </c>
      <c r="R6" s="20">
        <f>+I6+K6+P6</f>
        <v>22290.860000000004</v>
      </c>
      <c r="S6" s="21"/>
    </row>
    <row r="7" spans="1:20" ht="23.1" customHeight="1" x14ac:dyDescent="0.25">
      <c r="A7" s="22" t="s">
        <v>22</v>
      </c>
      <c r="B7" s="23">
        <v>0</v>
      </c>
      <c r="C7" s="23">
        <f>7+7+5+7</f>
        <v>26</v>
      </c>
      <c r="D7" s="23">
        <f>15+24+7+17</f>
        <v>63</v>
      </c>
      <c r="E7" s="23">
        <v>16</v>
      </c>
      <c r="F7" s="23">
        <v>10</v>
      </c>
      <c r="G7" s="24">
        <f>9600+1371.42+6857.14+6171.43</f>
        <v>23999.99</v>
      </c>
      <c r="H7" s="24">
        <f>27577.15+4342.87+13733.25+7085.95</f>
        <v>52739.22</v>
      </c>
      <c r="I7" s="24">
        <v>15334.1</v>
      </c>
      <c r="J7" s="24">
        <v>0</v>
      </c>
      <c r="K7" s="24">
        <v>0</v>
      </c>
      <c r="L7" s="24">
        <f>1142.86*5</f>
        <v>5714.2999999999993</v>
      </c>
      <c r="M7" s="25">
        <f>285.72+285.72+285.72+285.71+190.48+190.48+190.47+380.95+380.96+380.95+400+400+400+400+1142.86</f>
        <v>5600.0199999999995</v>
      </c>
      <c r="N7" s="18">
        <v>0</v>
      </c>
      <c r="O7" s="18">
        <v>0</v>
      </c>
      <c r="P7" s="18">
        <v>0</v>
      </c>
      <c r="Q7" s="19">
        <f t="shared" ref="Q7:Q17" si="0">+SUM(G7:P7)-I7-K7</f>
        <v>88053.530000000013</v>
      </c>
      <c r="R7" s="20">
        <f t="shared" ref="R7:R18" si="1">+I7+K7+P7</f>
        <v>15334.1</v>
      </c>
    </row>
    <row r="8" spans="1:20" ht="23.1" customHeight="1" x14ac:dyDescent="0.25">
      <c r="A8" s="22" t="s">
        <v>23</v>
      </c>
      <c r="B8" s="23">
        <f>4+3+5+1</f>
        <v>13</v>
      </c>
      <c r="C8" s="23">
        <f>4+1+1+3+4</f>
        <v>13</v>
      </c>
      <c r="D8" s="23">
        <f>15+3+8+15+4</f>
        <v>45</v>
      </c>
      <c r="E8" s="23">
        <f>5+1+2+3+4</f>
        <v>15</v>
      </c>
      <c r="F8" s="23">
        <f>3+2+5+1</f>
        <v>11</v>
      </c>
      <c r="G8" s="24">
        <f>10285.71+3771.43+8571.42+3428.57</f>
        <v>26057.129999999997</v>
      </c>
      <c r="H8" s="24">
        <f>58491.41+11428.57+18628.57+13428.57+20571.42</f>
        <v>122548.54000000002</v>
      </c>
      <c r="I8" s="24">
        <v>23815.86</v>
      </c>
      <c r="J8" s="24">
        <v>0</v>
      </c>
      <c r="K8" s="24">
        <v>0</v>
      </c>
      <c r="L8" s="24">
        <f>1142.86*4</f>
        <v>4571.4399999999996</v>
      </c>
      <c r="M8" s="25">
        <f>1142.86+1142.86+285.72+285.7+285.72+285.72+1142.86+285.72+285.7+285.72+285.72</f>
        <v>5714.3</v>
      </c>
      <c r="N8" s="18">
        <v>0</v>
      </c>
      <c r="O8" s="18">
        <v>0</v>
      </c>
      <c r="P8" s="18">
        <v>0</v>
      </c>
      <c r="Q8" s="19">
        <f t="shared" si="0"/>
        <v>158891.41000000003</v>
      </c>
      <c r="R8" s="20">
        <f t="shared" si="1"/>
        <v>23815.86</v>
      </c>
      <c r="S8" s="26"/>
      <c r="T8" s="26"/>
    </row>
    <row r="9" spans="1:20" ht="23.1" customHeight="1" x14ac:dyDescent="0.25">
      <c r="A9" s="22" t="s">
        <v>24</v>
      </c>
      <c r="B9" s="23">
        <f>3+3+1+6+4</f>
        <v>17</v>
      </c>
      <c r="C9" s="23">
        <f>1+1+1+1+2+3</f>
        <v>9</v>
      </c>
      <c r="D9" s="23">
        <v>34</v>
      </c>
      <c r="E9" s="23">
        <f>3+6+1+1+1+3</f>
        <v>15</v>
      </c>
      <c r="F9" s="23">
        <f>4+3+3+1</f>
        <v>11</v>
      </c>
      <c r="G9" s="24">
        <f>3428.57+6857.14+11999.99</f>
        <v>22285.7</v>
      </c>
      <c r="H9" s="24">
        <f>19428.56+27674.25+10285.71+1142.86+8685.71+14476.18</f>
        <v>81693.26999999999</v>
      </c>
      <c r="I9" s="24">
        <v>18844</v>
      </c>
      <c r="J9" s="24">
        <f>1531.43+1142.86</f>
        <v>2674.29</v>
      </c>
      <c r="K9" s="24">
        <v>684.45</v>
      </c>
      <c r="L9" s="24">
        <f>7*1142.86</f>
        <v>8000.0199999999995</v>
      </c>
      <c r="M9" s="25">
        <f>285.7+171.43+171.42+171.43+171.43+571.43+571.43+285.72+285.71+1142.86+1142.86+979.59+163.27</f>
        <v>6114.28</v>
      </c>
      <c r="N9" s="18">
        <v>3428.57</v>
      </c>
      <c r="O9" s="18">
        <v>0</v>
      </c>
      <c r="P9" s="18">
        <v>0</v>
      </c>
      <c r="Q9" s="19">
        <f t="shared" si="0"/>
        <v>124196.12999999999</v>
      </c>
      <c r="R9" s="20">
        <f t="shared" si="1"/>
        <v>19528.45</v>
      </c>
    </row>
    <row r="10" spans="1:20" ht="23.1" customHeight="1" x14ac:dyDescent="0.25">
      <c r="A10" s="22" t="s">
        <v>25</v>
      </c>
      <c r="B10" s="23">
        <f>4+4+5+5</f>
        <v>18</v>
      </c>
      <c r="C10" s="27">
        <f>1+1+1+1+1</f>
        <v>5</v>
      </c>
      <c r="D10" s="23">
        <f>8+3+5+13+17</f>
        <v>46</v>
      </c>
      <c r="E10" s="23">
        <f>4+3+4+5</f>
        <v>16</v>
      </c>
      <c r="F10" s="23">
        <f>1+1+2+2+1</f>
        <v>7</v>
      </c>
      <c r="G10" s="24">
        <f>3428.57+6857.14</f>
        <v>10285.710000000001</v>
      </c>
      <c r="H10" s="24">
        <f>21857.14+6999.93+11432.39+28114.28+33999.99+3428.57</f>
        <v>105832.29999999999</v>
      </c>
      <c r="I10" s="24">
        <v>27260.82</v>
      </c>
      <c r="J10" s="24">
        <v>1142.8599999999999</v>
      </c>
      <c r="K10" s="24">
        <v>180.2</v>
      </c>
      <c r="L10" s="24">
        <f>1142.86*11</f>
        <v>12571.46</v>
      </c>
      <c r="M10" s="25">
        <f>285.7+285.72+285.72+571.43+571.43+285.72+285.72+285.71+1200+571.43+1142.86+285.72+285.72+285.72+285.7+571.43+380.96+380.95+380.95</f>
        <v>8628.590000000002</v>
      </c>
      <c r="N10" s="18">
        <v>3428.57</v>
      </c>
      <c r="O10" s="18">
        <v>0</v>
      </c>
      <c r="P10" s="18">
        <v>0</v>
      </c>
      <c r="Q10" s="19">
        <f t="shared" si="0"/>
        <v>141889.48999999996</v>
      </c>
      <c r="R10" s="20">
        <f t="shared" si="1"/>
        <v>27441.02</v>
      </c>
    </row>
    <row r="11" spans="1:20" ht="23.1" customHeight="1" x14ac:dyDescent="0.25">
      <c r="A11" s="22" t="s">
        <v>26</v>
      </c>
      <c r="B11" s="23">
        <f>6+4+5+10+1</f>
        <v>26</v>
      </c>
      <c r="C11" s="23">
        <f>1+1+2</f>
        <v>4</v>
      </c>
      <c r="D11" s="23">
        <f>18+6+18+20</f>
        <v>62</v>
      </c>
      <c r="E11" s="23">
        <f>4+3+4+7</f>
        <v>18</v>
      </c>
      <c r="F11" s="23">
        <f>3+1+3+5</f>
        <v>12</v>
      </c>
      <c r="G11" s="24">
        <f>10285.71+6000+9428.57+7714.28</f>
        <v>33428.559999999998</v>
      </c>
      <c r="H11" s="24">
        <f>8285.72+15428.57+12000+31634.51+3428.57</f>
        <v>70777.37000000001</v>
      </c>
      <c r="I11" s="24">
        <v>19881.61</v>
      </c>
      <c r="J11" s="24">
        <f>1142.86+2285.71</f>
        <v>3428.5699999999997</v>
      </c>
      <c r="K11" s="24">
        <v>1090.5999999999999</v>
      </c>
      <c r="L11" s="24">
        <f>6*1142.86</f>
        <v>6857.16</v>
      </c>
      <c r="M11" s="25">
        <f>380.95+380.95+380.96+1142.86+1142.86+571.43+342.85+342.86+285.71+285.72+1142.86</f>
        <v>6400.0099999999993</v>
      </c>
      <c r="N11" s="18">
        <v>0</v>
      </c>
      <c r="O11" s="18">
        <v>0</v>
      </c>
      <c r="P11" s="18">
        <v>0</v>
      </c>
      <c r="Q11" s="19">
        <f t="shared" si="0"/>
        <v>120891.67000000003</v>
      </c>
      <c r="R11" s="20">
        <f t="shared" si="1"/>
        <v>20972.21</v>
      </c>
    </row>
    <row r="12" spans="1:20" ht="23.1" customHeight="1" x14ac:dyDescent="0.25">
      <c r="A12" s="22" t="s">
        <v>27</v>
      </c>
      <c r="B12" s="23">
        <f>1+8+5+20</f>
        <v>34</v>
      </c>
      <c r="C12" s="23">
        <f>2+1+3</f>
        <v>6</v>
      </c>
      <c r="D12" s="23">
        <f>5+19+10+46</f>
        <v>80</v>
      </c>
      <c r="E12" s="23">
        <f>5+2+13</f>
        <v>20</v>
      </c>
      <c r="F12" s="23">
        <f>3+4+3+10</f>
        <v>20</v>
      </c>
      <c r="G12" s="24">
        <f>24857.13+13714.28+17314.28+1714.29</f>
        <v>57599.98</v>
      </c>
      <c r="H12" s="24">
        <f>93085.7+36999.99+30171.43+12685.69</f>
        <v>172942.81</v>
      </c>
      <c r="I12" s="24">
        <v>31014.16</v>
      </c>
      <c r="J12" s="24">
        <v>2285.71</v>
      </c>
      <c r="K12" s="24">
        <v>574.4</v>
      </c>
      <c r="L12" s="18">
        <f>1142.86*3</f>
        <v>3428.58</v>
      </c>
      <c r="M12" s="25">
        <v>571.42999999999995</v>
      </c>
      <c r="N12" s="18">
        <v>11428.57</v>
      </c>
      <c r="O12" s="18">
        <v>0</v>
      </c>
      <c r="P12" s="18">
        <v>0</v>
      </c>
      <c r="Q12" s="19">
        <f t="shared" si="0"/>
        <v>248257.08000000007</v>
      </c>
      <c r="R12" s="20">
        <f t="shared" si="1"/>
        <v>31588.560000000001</v>
      </c>
      <c r="S12" s="28"/>
      <c r="T12" s="28"/>
    </row>
    <row r="13" spans="1:20" ht="23.1" customHeight="1" x14ac:dyDescent="0.25">
      <c r="A13" s="22" t="s">
        <v>28</v>
      </c>
      <c r="B13" s="23">
        <f>4+9+11</f>
        <v>24</v>
      </c>
      <c r="C13" s="23">
        <f>3</f>
        <v>3</v>
      </c>
      <c r="D13" s="23">
        <f>14+22+26</f>
        <v>62</v>
      </c>
      <c r="E13" s="23">
        <f>5+5+6</f>
        <v>16</v>
      </c>
      <c r="F13" s="23">
        <f>2+4+5</f>
        <v>11</v>
      </c>
      <c r="G13" s="24">
        <f>11142.85+12171.42+19817.14</f>
        <v>43131.41</v>
      </c>
      <c r="H13" s="24">
        <f>9142.97+36685.72+31257.14</f>
        <v>77085.83</v>
      </c>
      <c r="I13" s="29">
        <v>16427.669999999998</v>
      </c>
      <c r="J13" s="24">
        <v>1142.8599999999999</v>
      </c>
      <c r="K13" s="24">
        <v>1023.15</v>
      </c>
      <c r="L13" s="24">
        <f>1142.86*6</f>
        <v>6857.16</v>
      </c>
      <c r="M13" s="25">
        <f>114.27+114.29+114.29+285.72+380.95+380.95+380.96+1142.86+571.43+571.43+114.29</f>
        <v>4171.4399999999996</v>
      </c>
      <c r="N13" s="18">
        <v>2742.85</v>
      </c>
      <c r="O13" s="18">
        <v>0</v>
      </c>
      <c r="P13" s="18">
        <v>0</v>
      </c>
      <c r="Q13" s="19">
        <f t="shared" si="0"/>
        <v>135131.55000000002</v>
      </c>
      <c r="R13" s="20">
        <f t="shared" si="1"/>
        <v>17450.82</v>
      </c>
      <c r="S13" s="30"/>
    </row>
    <row r="14" spans="1:20" ht="23.1" customHeight="1" x14ac:dyDescent="0.25">
      <c r="A14" s="31" t="s">
        <v>29</v>
      </c>
      <c r="B14" s="32">
        <f>5+2+8+4</f>
        <v>19</v>
      </c>
      <c r="C14" s="33">
        <f>1+1</f>
        <v>2</v>
      </c>
      <c r="D14" s="32">
        <f>6+3+17+10</f>
        <v>36</v>
      </c>
      <c r="E14" s="32">
        <f>2+3+6+2</f>
        <v>13</v>
      </c>
      <c r="F14" s="32">
        <f>4+2+2</f>
        <v>8</v>
      </c>
      <c r="G14" s="34">
        <f>3428.57+3428.57+6857.13+6857.14</f>
        <v>20571.41</v>
      </c>
      <c r="H14" s="34">
        <f>14799.98+14571.42+18262.85+7988.57</f>
        <v>55622.82</v>
      </c>
      <c r="I14" s="34">
        <v>18057.11</v>
      </c>
      <c r="J14" s="34">
        <v>1142.8599999999999</v>
      </c>
      <c r="K14" s="34">
        <v>651.96</v>
      </c>
      <c r="L14" s="34">
        <f>1142.86*9</f>
        <v>10285.74</v>
      </c>
      <c r="M14" s="35">
        <f>1200+571.43+400+400+285.72+285.72+285.72+285.7+1200+380.95+380.95+380.96+257.14+257.14+257.15+300+300+300+300</f>
        <v>8028.58</v>
      </c>
      <c r="N14" s="18">
        <v>0</v>
      </c>
      <c r="O14" s="18">
        <v>0</v>
      </c>
      <c r="P14" s="18">
        <v>0</v>
      </c>
      <c r="Q14" s="19">
        <f t="shared" si="0"/>
        <v>95651.41</v>
      </c>
      <c r="R14" s="20">
        <f t="shared" si="1"/>
        <v>18709.07</v>
      </c>
      <c r="S14" s="28"/>
    </row>
    <row r="15" spans="1:20" ht="23.1" customHeight="1" x14ac:dyDescent="0.25">
      <c r="A15" s="36" t="s">
        <v>30</v>
      </c>
      <c r="B15" s="37">
        <f>6+5+6+3</f>
        <v>20</v>
      </c>
      <c r="C15" s="38">
        <f>1+2</f>
        <v>3</v>
      </c>
      <c r="D15" s="38">
        <f>14+6+19+7</f>
        <v>46</v>
      </c>
      <c r="E15" s="38">
        <f>2+1+4+2</f>
        <v>9</v>
      </c>
      <c r="F15" s="38">
        <f>4+5+4+1</f>
        <v>14</v>
      </c>
      <c r="G15" s="39">
        <f>3428.57+857.14+6171.42+4800.01+3428.57</f>
        <v>18685.710000000003</v>
      </c>
      <c r="H15" s="39">
        <f>15428.57+13371.41+5428.58+13702.85+16000</f>
        <v>63931.409999999996</v>
      </c>
      <c r="I15" s="39">
        <f>575.96+1122.88+183.92+1378.26+1120.46+1081.74+1096.26+206.4+1394.38+1125.3+335.34+308.61+1122.88+549.34+292.41+1125.3+1096.26+1040.6+931.7+701.96+1052.7+362.07+634.04+1708.72+356.4</f>
        <v>20903.890000000003</v>
      </c>
      <c r="J15" s="39">
        <v>0</v>
      </c>
      <c r="K15" s="39">
        <v>0</v>
      </c>
      <c r="L15" s="39">
        <f>1142.86*8</f>
        <v>9142.8799999999992</v>
      </c>
      <c r="M15" s="39">
        <f>300+300+1200+600+600+380.96+380.95+380.95+380.95+380.96+380.95+142.86+142.86+142.86+571.43+285.71+285.72+800</f>
        <v>7657.1599999999989</v>
      </c>
      <c r="N15" s="18">
        <v>0</v>
      </c>
      <c r="O15" s="18">
        <v>0</v>
      </c>
      <c r="P15" s="18">
        <v>0</v>
      </c>
      <c r="Q15" s="19">
        <f t="shared" si="0"/>
        <v>99417.16</v>
      </c>
      <c r="R15" s="20">
        <f t="shared" si="1"/>
        <v>20903.890000000003</v>
      </c>
      <c r="S15" s="40"/>
    </row>
    <row r="16" spans="1:20" ht="23.1" customHeight="1" x14ac:dyDescent="0.25">
      <c r="A16" s="41" t="s">
        <v>31</v>
      </c>
      <c r="B16" s="42">
        <f>5+8+8+3</f>
        <v>24</v>
      </c>
      <c r="C16" s="42">
        <f>1+2</f>
        <v>3</v>
      </c>
      <c r="D16" s="42">
        <f>5+19+10+8</f>
        <v>42</v>
      </c>
      <c r="E16" s="42">
        <f>3+5+6+2</f>
        <v>16</v>
      </c>
      <c r="F16" s="38">
        <f>2+4+4+1</f>
        <v>11</v>
      </c>
      <c r="G16" s="43">
        <f>9702.87+8571.43+8571.42</f>
        <v>26845.72</v>
      </c>
      <c r="H16" s="43">
        <f>5285.72+37085.72+16571.32+42571.43</f>
        <v>101514.19</v>
      </c>
      <c r="I16" s="43">
        <v>20571.240000000002</v>
      </c>
      <c r="J16" s="43">
        <v>0</v>
      </c>
      <c r="K16" s="43">
        <v>0</v>
      </c>
      <c r="L16" s="43">
        <f>(1142.86*10)</f>
        <v>11428.599999999999</v>
      </c>
      <c r="M16" s="43">
        <f>1142.86+514.29+380.96+380.95+380.95+571.43+571.43+1142.86+571.43+514.28+400+266.66</f>
        <v>6838.0999999999995</v>
      </c>
      <c r="N16" s="18">
        <f>5714.29+2666.66</f>
        <v>8380.9500000000007</v>
      </c>
      <c r="O16" s="18">
        <v>4571.43</v>
      </c>
      <c r="P16" s="18">
        <v>816.24</v>
      </c>
      <c r="Q16" s="19">
        <f>+SUM(G16:O16)-I16-K16</f>
        <v>159578.99000000002</v>
      </c>
      <c r="R16" s="20">
        <f>+I16+K16+P16</f>
        <v>21387.480000000003</v>
      </c>
    </row>
    <row r="17" spans="1:20" ht="23.1" customHeight="1" x14ac:dyDescent="0.25">
      <c r="A17" s="44" t="s">
        <v>32</v>
      </c>
      <c r="B17" s="45">
        <f>3+3+6+6</f>
        <v>18</v>
      </c>
      <c r="C17" s="45">
        <f>1</f>
        <v>1</v>
      </c>
      <c r="D17" s="45">
        <f>10+9+11+9</f>
        <v>39</v>
      </c>
      <c r="E17" s="45">
        <f>2+2+4+4</f>
        <v>12</v>
      </c>
      <c r="F17" s="45">
        <f>1+1+3+2</f>
        <v>7</v>
      </c>
      <c r="G17" s="46">
        <f>3428.57+6857.14+9428.57</f>
        <v>19714.28</v>
      </c>
      <c r="H17" s="46">
        <f>47142.86+14857.14+15017.14+10948.58</f>
        <v>87965.72</v>
      </c>
      <c r="I17" s="46">
        <v>16715.61</v>
      </c>
      <c r="J17" s="46">
        <v>571.42999999999995</v>
      </c>
      <c r="K17" s="46">
        <v>527.46</v>
      </c>
      <c r="L17" s="46">
        <f>1142.86*4</f>
        <v>4571.4399999999996</v>
      </c>
      <c r="M17" s="18">
        <f>380.95+380.95+380.96+190.47+190.48+190.48+1142.86</f>
        <v>2857.1499999999996</v>
      </c>
      <c r="N17" s="39">
        <v>0</v>
      </c>
      <c r="O17" s="39">
        <v>0</v>
      </c>
      <c r="P17" s="18">
        <v>0</v>
      </c>
      <c r="Q17" s="19">
        <f t="shared" si="0"/>
        <v>115680.01999999999</v>
      </c>
      <c r="R17" s="20">
        <f>+I17+K17+P17</f>
        <v>17243.07</v>
      </c>
    </row>
    <row r="18" spans="1:20" ht="35.25" customHeight="1" thickBot="1" x14ac:dyDescent="0.3">
      <c r="A18" s="47" t="s">
        <v>33</v>
      </c>
      <c r="B18" s="48">
        <f>SUM(B8:B17)</f>
        <v>213</v>
      </c>
      <c r="C18" s="48">
        <f>SUM(C6:C17)</f>
        <v>94</v>
      </c>
      <c r="D18" s="48">
        <f>SUM(D6:D17)</f>
        <v>607</v>
      </c>
      <c r="E18" s="48">
        <f>SUM(E6:E17)</f>
        <v>175</v>
      </c>
      <c r="F18" s="48">
        <f>SUM(F6:F17)</f>
        <v>132</v>
      </c>
      <c r="G18" s="49">
        <f t="shared" ref="G18:P18" si="2">SUM(G6:G17)</f>
        <v>329862.7300000001</v>
      </c>
      <c r="H18" s="49">
        <f t="shared" si="2"/>
        <v>1082125.1299999999</v>
      </c>
      <c r="I18" s="49">
        <f t="shared" si="2"/>
        <v>251116.93</v>
      </c>
      <c r="J18" s="49">
        <f t="shared" si="2"/>
        <v>12388.580000000002</v>
      </c>
      <c r="K18" s="49">
        <f t="shared" si="2"/>
        <v>4732.22</v>
      </c>
      <c r="L18" s="49">
        <f t="shared" si="2"/>
        <v>101714.54000000001</v>
      </c>
      <c r="M18" s="49">
        <f t="shared" si="2"/>
        <v>68104.899999999994</v>
      </c>
      <c r="N18" s="49">
        <f t="shared" si="2"/>
        <v>40838.080000000002</v>
      </c>
      <c r="O18" s="49">
        <f t="shared" si="2"/>
        <v>4571.43</v>
      </c>
      <c r="P18" s="49">
        <f t="shared" si="2"/>
        <v>816.24</v>
      </c>
      <c r="Q18" s="49">
        <f>SUM(Q6:Q17)</f>
        <v>1639605.39</v>
      </c>
      <c r="R18" s="50">
        <f t="shared" si="1"/>
        <v>256665.38999999998</v>
      </c>
      <c r="S18" s="51"/>
    </row>
    <row r="19" spans="1:20" x14ac:dyDescent="0.25">
      <c r="A19" s="52" t="s">
        <v>34</v>
      </c>
      <c r="B19" s="53" t="s">
        <v>35</v>
      </c>
      <c r="C19" s="53"/>
      <c r="D19" s="53"/>
      <c r="E19" s="53"/>
      <c r="F19" s="53"/>
      <c r="G19" s="54"/>
      <c r="H19" s="53"/>
      <c r="I19" s="53"/>
      <c r="J19" s="54"/>
      <c r="K19" s="54"/>
      <c r="L19" s="54"/>
      <c r="M19" s="54"/>
      <c r="N19" s="54"/>
      <c r="O19" s="2"/>
      <c r="P19" s="2" t="s">
        <v>36</v>
      </c>
      <c r="R19" s="55"/>
    </row>
    <row r="20" spans="1:20" x14ac:dyDescent="0.25">
      <c r="A20" s="52"/>
      <c r="B20" s="56"/>
      <c r="C20" s="53"/>
      <c r="D20" s="53"/>
      <c r="E20" s="53"/>
      <c r="F20" s="53"/>
      <c r="G20" s="54"/>
      <c r="H20" s="53"/>
      <c r="I20" s="53"/>
      <c r="J20" s="54"/>
      <c r="K20" s="54"/>
      <c r="L20" s="54"/>
      <c r="M20" s="54"/>
      <c r="N20" s="54"/>
      <c r="O20" s="54"/>
      <c r="P20" s="54"/>
      <c r="Q20" s="57"/>
      <c r="R20" s="55"/>
    </row>
    <row r="21" spans="1:20" x14ac:dyDescent="0.25">
      <c r="A21" s="52"/>
      <c r="B21" s="54"/>
      <c r="C21" s="53"/>
      <c r="D21" s="53"/>
      <c r="E21" s="53"/>
      <c r="F21" s="53"/>
      <c r="G21" s="54"/>
      <c r="H21" s="53"/>
      <c r="I21" s="53"/>
      <c r="J21" s="54"/>
      <c r="K21" s="54"/>
      <c r="L21" s="54"/>
      <c r="M21" s="54"/>
      <c r="N21" s="54"/>
      <c r="O21" s="54"/>
      <c r="P21" s="54"/>
      <c r="Q21" s="58"/>
      <c r="R21" s="55"/>
    </row>
    <row r="22" spans="1:20" x14ac:dyDescent="0.25">
      <c r="A22" s="52"/>
      <c r="B22" s="54"/>
      <c r="C22" s="53"/>
      <c r="D22" s="53"/>
      <c r="E22" s="53"/>
      <c r="F22" s="53"/>
      <c r="G22" s="54"/>
      <c r="H22" s="53"/>
      <c r="I22" s="53"/>
      <c r="J22" s="54"/>
      <c r="K22" s="54"/>
      <c r="L22" s="54"/>
      <c r="M22" s="54"/>
      <c r="N22" s="54"/>
      <c r="O22" s="54"/>
      <c r="P22" s="54"/>
      <c r="Q22" s="59"/>
      <c r="R22" s="60"/>
    </row>
    <row r="23" spans="1:20" x14ac:dyDescent="0.25">
      <c r="A23" s="52"/>
      <c r="B23" s="56"/>
      <c r="C23" s="53"/>
      <c r="D23" s="53"/>
      <c r="E23" s="53"/>
      <c r="F23" s="53"/>
      <c r="G23" s="54"/>
      <c r="H23" s="53"/>
      <c r="I23" s="53"/>
      <c r="J23" s="54"/>
      <c r="K23" s="54"/>
      <c r="L23" s="54"/>
      <c r="M23" s="54"/>
      <c r="N23" s="54"/>
      <c r="O23" s="54"/>
      <c r="P23" s="54"/>
      <c r="Q23" s="59"/>
      <c r="R23" s="60"/>
    </row>
    <row r="24" spans="1:20" x14ac:dyDescent="0.25">
      <c r="A24" s="52"/>
      <c r="B24" s="56"/>
      <c r="C24" s="52"/>
      <c r="D24" s="52"/>
      <c r="E24" s="52"/>
      <c r="F24" s="52"/>
      <c r="G24" s="56"/>
      <c r="H24" s="52"/>
      <c r="I24" s="52"/>
      <c r="J24" s="56"/>
      <c r="K24" s="56"/>
      <c r="L24" s="56"/>
      <c r="M24" s="56"/>
      <c r="N24" s="56"/>
      <c r="O24" s="56"/>
      <c r="P24" s="56"/>
      <c r="Q24" s="61"/>
      <c r="R24" s="62"/>
    </row>
    <row r="25" spans="1:20" x14ac:dyDescent="0.25">
      <c r="A25" s="52"/>
      <c r="B25" s="56"/>
      <c r="C25" s="52"/>
      <c r="D25" s="52"/>
      <c r="E25" s="52"/>
      <c r="F25" s="52"/>
      <c r="G25" s="56"/>
      <c r="H25" s="63"/>
      <c r="I25" s="63"/>
      <c r="Q25" s="64"/>
      <c r="R25" s="62"/>
    </row>
    <row r="26" spans="1:20" x14ac:dyDescent="0.25">
      <c r="A26" s="52"/>
      <c r="B26" s="56"/>
      <c r="C26" s="63"/>
      <c r="D26" s="63"/>
      <c r="E26" s="63"/>
      <c r="F26" s="63"/>
      <c r="G26" s="2"/>
      <c r="H26" s="63"/>
      <c r="I26" s="63"/>
      <c r="Q26" s="64"/>
      <c r="R26" s="62"/>
    </row>
    <row r="27" spans="1:20" x14ac:dyDescent="0.25">
      <c r="A27" s="52"/>
      <c r="B27" s="54"/>
      <c r="C27" s="53"/>
      <c r="D27" s="53"/>
      <c r="E27" s="53"/>
      <c r="F27" s="53"/>
      <c r="G27" s="54"/>
      <c r="H27" s="53"/>
      <c r="I27" s="53"/>
      <c r="J27" s="54"/>
      <c r="K27" s="54"/>
      <c r="L27" s="54"/>
      <c r="M27" s="54"/>
      <c r="Q27" s="64"/>
      <c r="R27" s="62"/>
    </row>
    <row r="28" spans="1:20" x14ac:dyDescent="0.25">
      <c r="A28" s="52"/>
      <c r="B28" s="54"/>
      <c r="C28" s="63"/>
      <c r="D28" s="63"/>
      <c r="E28" s="63"/>
      <c r="F28" s="63"/>
      <c r="G28" s="2"/>
      <c r="H28" s="63"/>
      <c r="I28" s="63"/>
      <c r="Q28" s="64"/>
      <c r="R28" s="62"/>
    </row>
    <row r="29" spans="1:20" x14ac:dyDescent="0.25">
      <c r="A29" s="52"/>
      <c r="B29" s="54"/>
      <c r="C29" s="63"/>
      <c r="D29" s="63"/>
      <c r="E29" s="63"/>
      <c r="F29" s="63"/>
      <c r="G29" s="2"/>
      <c r="H29" s="63"/>
      <c r="I29" s="63"/>
      <c r="Q29" s="64"/>
      <c r="R29" s="62"/>
    </row>
    <row r="30" spans="1:20" x14ac:dyDescent="0.25">
      <c r="A30" s="2"/>
      <c r="E30" s="65"/>
      <c r="G30" s="28"/>
      <c r="H30" s="28"/>
      <c r="J30" s="28"/>
      <c r="M30" s="2" t="s">
        <v>37</v>
      </c>
      <c r="N30" s="2"/>
      <c r="O30" s="2"/>
      <c r="P30" s="2"/>
      <c r="Q30" s="2"/>
      <c r="T30" s="2" t="s">
        <v>38</v>
      </c>
    </row>
    <row r="31" spans="1:20" x14ac:dyDescent="0.25">
      <c r="A31" s="66"/>
      <c r="B31" s="67"/>
      <c r="C31" s="2"/>
      <c r="D31" s="2"/>
      <c r="E31" s="68"/>
      <c r="M31" s="2" t="s">
        <v>39</v>
      </c>
      <c r="N31" s="2"/>
    </row>
    <row r="32" spans="1:20" x14ac:dyDescent="0.25">
      <c r="A32" s="69"/>
      <c r="B32" s="54"/>
      <c r="C32" s="54"/>
      <c r="D32" s="54"/>
      <c r="E32" s="68"/>
      <c r="F32" s="54"/>
      <c r="G32" s="54"/>
      <c r="H32" s="54"/>
      <c r="I32" s="54"/>
      <c r="J32" s="28"/>
      <c r="K32" s="28"/>
      <c r="L32" s="28"/>
      <c r="M32" s="54" t="s">
        <v>40</v>
      </c>
      <c r="N32" s="54"/>
      <c r="O32" s="54"/>
      <c r="P32" s="54"/>
      <c r="Q32" s="70"/>
    </row>
    <row r="33" spans="1:18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3"/>
    </row>
    <row r="34" spans="1:18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</row>
    <row r="35" spans="1:18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3"/>
    </row>
    <row r="36" spans="1:18" x14ac:dyDescent="0.25">
      <c r="A36" s="27"/>
      <c r="B36" s="27"/>
      <c r="C36" s="27"/>
      <c r="D36" s="27"/>
      <c r="E36" s="71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8" x14ac:dyDescent="0.25">
      <c r="A37" s="27"/>
      <c r="B37" s="27"/>
      <c r="C37" s="27"/>
      <c r="D37" s="27"/>
      <c r="E37" s="71"/>
    </row>
    <row r="38" spans="1:18" x14ac:dyDescent="0.25">
      <c r="A38" s="27"/>
      <c r="B38" s="27"/>
      <c r="C38" s="27"/>
      <c r="D38" s="27"/>
      <c r="E38" s="71"/>
      <c r="F38" s="2"/>
      <c r="G38" s="62"/>
    </row>
    <row r="39" spans="1:18" x14ac:dyDescent="0.25">
      <c r="A39" s="27"/>
      <c r="B39" s="27"/>
      <c r="C39" s="27"/>
      <c r="D39" s="27"/>
      <c r="E39" s="3"/>
      <c r="F39" s="54"/>
      <c r="G39" s="55"/>
      <c r="N39" s="54"/>
      <c r="O39" s="54"/>
      <c r="P39" s="54"/>
      <c r="Q39" s="54"/>
    </row>
    <row r="40" spans="1:18" x14ac:dyDescent="0.25">
      <c r="A40" s="27"/>
      <c r="B40" s="27"/>
      <c r="C40" s="27"/>
      <c r="D40" s="27"/>
      <c r="E40" s="3"/>
    </row>
    <row r="41" spans="1:18" x14ac:dyDescent="0.25">
      <c r="A41" s="27"/>
      <c r="B41" s="27"/>
      <c r="C41" s="27"/>
      <c r="D41" s="27"/>
      <c r="E41" s="3"/>
    </row>
    <row r="42" spans="1:18" x14ac:dyDescent="0.25">
      <c r="A42" s="27"/>
      <c r="B42" s="27"/>
      <c r="C42" s="27"/>
      <c r="D42" s="27"/>
      <c r="E42" s="3"/>
      <c r="R42" s="54"/>
    </row>
    <row r="43" spans="1:18" x14ac:dyDescent="0.25">
      <c r="A43" s="27"/>
      <c r="B43" s="27"/>
      <c r="C43" s="27"/>
      <c r="D43" s="27"/>
      <c r="E43" s="72"/>
      <c r="F43" s="54"/>
      <c r="L43" s="54"/>
      <c r="M43" s="54"/>
      <c r="N43" s="54"/>
      <c r="O43" s="54"/>
      <c r="P43" s="54"/>
      <c r="Q43" s="54"/>
      <c r="R43" s="54"/>
    </row>
    <row r="44" spans="1:18" x14ac:dyDescent="0.25">
      <c r="A44" s="27"/>
      <c r="B44" s="27"/>
      <c r="C44" s="27"/>
      <c r="D44" s="27"/>
      <c r="E44" s="3"/>
    </row>
    <row r="45" spans="1:18" x14ac:dyDescent="0.25">
      <c r="A45" s="27"/>
      <c r="B45" s="27"/>
      <c r="C45" s="27"/>
      <c r="D45" s="27"/>
      <c r="E45" s="3"/>
    </row>
    <row r="46" spans="1:18" x14ac:dyDescent="0.25">
      <c r="B46" s="2"/>
    </row>
    <row r="47" spans="1:18" x14ac:dyDescent="0.25">
      <c r="B47" s="2"/>
    </row>
  </sheetData>
  <mergeCells count="2">
    <mergeCell ref="A1:Q1"/>
    <mergeCell ref="A2:Q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J10" sqref="J10"/>
    </sheetView>
  </sheetViews>
  <sheetFormatPr baseColWidth="10" defaultRowHeight="15" x14ac:dyDescent="0.25"/>
  <cols>
    <col min="1" max="1" width="3.5703125" customWidth="1"/>
    <col min="2" max="2" width="16.28515625" customWidth="1"/>
    <col min="3" max="3" width="15" customWidth="1"/>
    <col min="5" max="5" width="14.85546875" customWidth="1"/>
    <col min="6" max="6" width="15.42578125" customWidth="1"/>
    <col min="7" max="7" width="13.42578125" customWidth="1"/>
    <col min="8" max="8" width="14.28515625" customWidth="1"/>
    <col min="9" max="9" width="10.42578125" customWidth="1"/>
    <col min="10" max="10" width="11.5703125" customWidth="1"/>
  </cols>
  <sheetData>
    <row r="1" spans="2:10" x14ac:dyDescent="0.25">
      <c r="F1" s="73" t="s">
        <v>66</v>
      </c>
    </row>
    <row r="3" spans="2:10" x14ac:dyDescent="0.25">
      <c r="B3" s="74"/>
    </row>
    <row r="4" spans="2:10" x14ac:dyDescent="0.25">
      <c r="B4" s="75"/>
      <c r="C4" s="75"/>
      <c r="D4" s="75"/>
      <c r="E4" s="75"/>
    </row>
    <row r="5" spans="2:10" x14ac:dyDescent="0.25">
      <c r="B5" s="236" t="s">
        <v>67</v>
      </c>
      <c r="C5" s="236"/>
      <c r="D5" s="236"/>
      <c r="E5" s="236"/>
      <c r="F5" s="236"/>
      <c r="G5" s="2"/>
    </row>
    <row r="6" spans="2:10" x14ac:dyDescent="0.25">
      <c r="B6" s="236" t="s">
        <v>68</v>
      </c>
      <c r="C6" s="236"/>
      <c r="D6" s="236"/>
      <c r="E6" s="236"/>
      <c r="F6" s="236"/>
      <c r="G6" s="2"/>
    </row>
    <row r="7" spans="2:10" x14ac:dyDescent="0.25">
      <c r="B7" s="78"/>
      <c r="C7" s="2"/>
      <c r="D7" s="2"/>
      <c r="E7" s="2"/>
      <c r="F7" s="2"/>
      <c r="G7" s="78"/>
    </row>
    <row r="8" spans="2:10" ht="24.95" customHeight="1" x14ac:dyDescent="0.25">
      <c r="B8" s="77"/>
      <c r="C8" s="237" t="s">
        <v>45</v>
      </c>
      <c r="D8" s="238"/>
      <c r="E8" s="238"/>
      <c r="F8" s="239"/>
      <c r="G8" s="78"/>
    </row>
    <row r="9" spans="2:10" ht="50.25" customHeight="1" x14ac:dyDescent="0.25">
      <c r="B9" s="79" t="s">
        <v>46</v>
      </c>
      <c r="C9" s="80" t="s">
        <v>47</v>
      </c>
      <c r="D9" s="81" t="s">
        <v>48</v>
      </c>
      <c r="E9" s="82" t="s">
        <v>49</v>
      </c>
      <c r="F9" s="83" t="s">
        <v>50</v>
      </c>
      <c r="G9" s="84"/>
      <c r="H9" s="84"/>
      <c r="I9" s="84"/>
      <c r="J9" s="84"/>
    </row>
    <row r="10" spans="2:10" ht="23.1" customHeight="1" x14ac:dyDescent="0.25">
      <c r="B10" s="85" t="s">
        <v>51</v>
      </c>
      <c r="C10" s="86">
        <f>17+27+32</f>
        <v>76</v>
      </c>
      <c r="D10" s="87">
        <f>32.35+23.45+30.05</f>
        <v>85.85</v>
      </c>
      <c r="E10" s="87">
        <f>16740.44+25757.06+26498.61</f>
        <v>68996.11</v>
      </c>
      <c r="F10" s="88">
        <f>15867.88+22846.5+24282.17</f>
        <v>62996.549999999996</v>
      </c>
      <c r="G10" s="93"/>
      <c r="H10" s="90"/>
      <c r="I10" s="90"/>
      <c r="J10" s="90"/>
    </row>
    <row r="11" spans="2:10" ht="23.1" customHeight="1" x14ac:dyDescent="0.25">
      <c r="B11" s="85" t="s">
        <v>52</v>
      </c>
      <c r="C11" s="86">
        <v>63</v>
      </c>
      <c r="D11" s="91">
        <v>65.92</v>
      </c>
      <c r="E11" s="91">
        <v>57381.91</v>
      </c>
      <c r="F11" s="88">
        <v>52594.04</v>
      </c>
      <c r="G11" s="89"/>
      <c r="H11" s="90" t="s">
        <v>38</v>
      </c>
      <c r="I11" s="90"/>
      <c r="J11" s="90"/>
    </row>
    <row r="12" spans="2:10" ht="23.1" customHeight="1" x14ac:dyDescent="0.25">
      <c r="B12" s="85" t="s">
        <v>53</v>
      </c>
      <c r="C12" s="86">
        <f>25+63+10</f>
        <v>98</v>
      </c>
      <c r="D12" s="92">
        <f>20.05+73.94+8.8</f>
        <v>102.78999999999999</v>
      </c>
      <c r="E12" s="92">
        <f>25564.49+54422.22+7899.42</f>
        <v>87886.13</v>
      </c>
      <c r="F12" s="88">
        <f>22675.69+48726.27+7048.23</f>
        <v>78450.189999999988</v>
      </c>
      <c r="G12" s="89"/>
      <c r="H12" s="90" t="s">
        <v>38</v>
      </c>
      <c r="I12" s="90"/>
      <c r="J12" s="90"/>
    </row>
    <row r="13" spans="2:10" ht="23.1" customHeight="1" x14ac:dyDescent="0.25">
      <c r="B13" s="85" t="s">
        <v>54</v>
      </c>
      <c r="C13" s="86">
        <f>9+29+17+17</f>
        <v>72</v>
      </c>
      <c r="D13" s="87">
        <f>25.75+10.36+24.33+37.32</f>
        <v>97.759999999999991</v>
      </c>
      <c r="E13" s="87">
        <f>10416.2+22109.65+17471.26+25640.14</f>
        <v>75637.25</v>
      </c>
      <c r="F13" s="88">
        <f>10090.61+19681.48+16838.49+24277.58</f>
        <v>70888.160000000003</v>
      </c>
      <c r="G13" s="93"/>
      <c r="H13" s="94"/>
      <c r="I13" s="90"/>
      <c r="J13" s="90"/>
    </row>
    <row r="14" spans="2:10" ht="23.1" customHeight="1" x14ac:dyDescent="0.25">
      <c r="B14" s="85" t="s">
        <v>55</v>
      </c>
      <c r="C14" s="86">
        <f>20+29+35</f>
        <v>84</v>
      </c>
      <c r="D14" s="87">
        <f>84.11+28.6+9.29+11.41+5.68</f>
        <v>139.09</v>
      </c>
      <c r="E14" s="87">
        <f>16190.42+41748.25+36178.12+6306</f>
        <v>100422.79000000001</v>
      </c>
      <c r="F14" s="87">
        <f>14415.25+37091.41+34907.87+5908.68</f>
        <v>92323.209999999992</v>
      </c>
      <c r="G14" s="95"/>
      <c r="H14" s="90"/>
      <c r="I14" s="90"/>
      <c r="J14" s="90"/>
    </row>
    <row r="15" spans="2:10" ht="23.1" customHeight="1" x14ac:dyDescent="0.25">
      <c r="B15" s="85" t="s">
        <v>56</v>
      </c>
      <c r="C15" s="86">
        <f>13+25+16</f>
        <v>54</v>
      </c>
      <c r="D15" s="91">
        <f>18.06+28.8+20.13</f>
        <v>66.989999999999995</v>
      </c>
      <c r="E15" s="91">
        <f>18045.25+24322.89+14814.52</f>
        <v>57182.66</v>
      </c>
      <c r="F15" s="88">
        <f>16762.41+22402.27+13275.71</f>
        <v>52440.39</v>
      </c>
      <c r="G15" s="89"/>
      <c r="H15" s="90" t="s">
        <v>38</v>
      </c>
      <c r="I15" s="90"/>
      <c r="J15" s="90"/>
    </row>
    <row r="16" spans="2:10" ht="23.1" customHeight="1" x14ac:dyDescent="0.25">
      <c r="B16" s="85" t="s">
        <v>57</v>
      </c>
      <c r="C16" s="86">
        <f>15+42+10+8</f>
        <v>75</v>
      </c>
      <c r="D16" s="87">
        <f>8.95+56.04+4.68+5.28</f>
        <v>74.949999999999989</v>
      </c>
      <c r="E16" s="87">
        <f>10416.81+40637.4+9457.85+6758.7</f>
        <v>67270.759999999995</v>
      </c>
      <c r="F16" s="88">
        <f>9446.04+36686.65+7997.78+6222.54</f>
        <v>60353.01</v>
      </c>
      <c r="G16" s="89"/>
      <c r="H16" s="94"/>
      <c r="I16" s="96" t="s">
        <v>38</v>
      </c>
      <c r="J16" s="90"/>
    </row>
    <row r="17" spans="1:10" ht="23.1" customHeight="1" x14ac:dyDescent="0.25">
      <c r="B17" s="85" t="s">
        <v>58</v>
      </c>
      <c r="C17" s="86">
        <f>12+51</f>
        <v>63</v>
      </c>
      <c r="D17" s="87">
        <f>27.56+25.15+2.63</f>
        <v>55.339999999999996</v>
      </c>
      <c r="E17" s="87">
        <f>37947.17+15100.24+6954.36</f>
        <v>60001.77</v>
      </c>
      <c r="F17" s="87">
        <f>13961.38+32368.4+6358.1</f>
        <v>52687.88</v>
      </c>
      <c r="G17" s="40"/>
      <c r="H17" s="90"/>
      <c r="I17" s="90"/>
      <c r="J17" s="90"/>
    </row>
    <row r="18" spans="1:10" ht="23.1" customHeight="1" x14ac:dyDescent="0.25">
      <c r="B18" s="85" t="s">
        <v>59</v>
      </c>
      <c r="C18" s="86">
        <v>59</v>
      </c>
      <c r="D18" s="87">
        <v>74.48</v>
      </c>
      <c r="E18" s="87">
        <v>61835.67</v>
      </c>
      <c r="F18" s="87">
        <v>56337.08</v>
      </c>
      <c r="G18" s="40"/>
      <c r="H18" s="90"/>
      <c r="I18" s="90"/>
      <c r="J18" s="90"/>
    </row>
    <row r="19" spans="1:10" ht="23.1" customHeight="1" x14ac:dyDescent="0.25">
      <c r="B19" s="85" t="s">
        <v>60</v>
      </c>
      <c r="C19" s="86">
        <f>16+72+26+16</f>
        <v>130</v>
      </c>
      <c r="D19" s="87">
        <f>5.84+9.07+16.11+5.7</f>
        <v>36.72</v>
      </c>
      <c r="E19" s="87">
        <f>11014.97+18219.85+21558.89+9957.05</f>
        <v>60750.759999999995</v>
      </c>
      <c r="F19" s="88">
        <f>10009.26+14971.22+19262.44+8811.75</f>
        <v>53054.67</v>
      </c>
      <c r="G19" s="89"/>
      <c r="H19" s="90"/>
      <c r="I19" s="90" t="s">
        <v>38</v>
      </c>
      <c r="J19" s="90"/>
    </row>
    <row r="20" spans="1:10" ht="23.1" customHeight="1" x14ac:dyDescent="0.25">
      <c r="B20" s="85" t="s">
        <v>61</v>
      </c>
      <c r="C20" s="86">
        <f>18+36+32+19</f>
        <v>105</v>
      </c>
      <c r="D20" s="91">
        <f>13.22+16.63+54.17+29.94</f>
        <v>113.96000000000001</v>
      </c>
      <c r="E20" s="91">
        <f>22291.28+23734.39+38393.35+15970.65</f>
        <v>100389.66999999998</v>
      </c>
      <c r="F20" s="88">
        <f>15048.76+34253.87+19851.23+20224.46</f>
        <v>89378.32</v>
      </c>
      <c r="G20" s="89"/>
      <c r="H20" s="90"/>
      <c r="I20" s="90"/>
      <c r="J20" s="90" t="s">
        <v>38</v>
      </c>
    </row>
    <row r="21" spans="1:10" ht="23.1" customHeight="1" x14ac:dyDescent="0.25">
      <c r="B21" s="85" t="s">
        <v>62</v>
      </c>
      <c r="C21" s="86">
        <f>7+12+48+2</f>
        <v>69</v>
      </c>
      <c r="D21" s="87">
        <f>2.1+11.48+35.38+2.84</f>
        <v>51.8</v>
      </c>
      <c r="E21" s="87">
        <f>8090.36+9373.68+38475.76+1730.64</f>
        <v>57670.44</v>
      </c>
      <c r="F21" s="88">
        <f>6975.2+8327.07+34248.01+1533.34</f>
        <v>51083.619999999995</v>
      </c>
      <c r="G21" s="89"/>
      <c r="H21" s="90"/>
      <c r="I21" s="90"/>
      <c r="J21" s="90"/>
    </row>
    <row r="22" spans="1:10" ht="24.95" customHeight="1" x14ac:dyDescent="0.25">
      <c r="B22" s="98" t="s">
        <v>33</v>
      </c>
      <c r="C22" s="99">
        <f>SUM(C10:C21)</f>
        <v>948</v>
      </c>
      <c r="D22" s="100">
        <f>SUM(D10:D21)</f>
        <v>965.65</v>
      </c>
      <c r="E22" s="100">
        <f>SUM(E10:E21)</f>
        <v>855425.92000000016</v>
      </c>
      <c r="F22" s="101">
        <f>SUM(F10:F21)</f>
        <v>772587.12</v>
      </c>
      <c r="G22" s="102"/>
      <c r="H22" s="102"/>
      <c r="I22" s="102"/>
      <c r="J22" s="102"/>
    </row>
    <row r="23" spans="1:10" ht="12" customHeight="1" x14ac:dyDescent="0.25">
      <c r="B23" s="103"/>
      <c r="C23" s="2"/>
      <c r="D23" s="2"/>
      <c r="E23" s="2"/>
      <c r="F23" s="70" t="s">
        <v>69</v>
      </c>
      <c r="G23" s="2"/>
      <c r="H23" t="s">
        <v>38</v>
      </c>
    </row>
    <row r="24" spans="1:10" ht="12" customHeight="1" x14ac:dyDescent="0.25">
      <c r="B24" s="2"/>
      <c r="C24" s="2"/>
      <c r="D24" s="2"/>
      <c r="E24" s="2"/>
      <c r="F24" s="2"/>
      <c r="G24" s="2"/>
    </row>
    <row r="25" spans="1:10" x14ac:dyDescent="0.25">
      <c r="B25" s="56"/>
      <c r="C25" s="2"/>
      <c r="D25" s="2"/>
      <c r="E25" s="2"/>
      <c r="F25" s="2"/>
      <c r="G25" s="2"/>
      <c r="H25" s="28"/>
    </row>
    <row r="26" spans="1:10" x14ac:dyDescent="0.25">
      <c r="B26" s="2"/>
      <c r="C26" s="2"/>
      <c r="D26" s="2"/>
      <c r="E26" s="2"/>
      <c r="F26" s="2"/>
      <c r="G26" s="2"/>
    </row>
    <row r="27" spans="1:10" x14ac:dyDescent="0.25">
      <c r="B27" s="56"/>
      <c r="C27" s="2"/>
      <c r="D27" s="2"/>
      <c r="E27" s="2"/>
      <c r="F27" s="2"/>
      <c r="G27" s="2"/>
    </row>
    <row r="28" spans="1:10" x14ac:dyDescent="0.25">
      <c r="B28" s="2"/>
      <c r="C28" s="30"/>
      <c r="D28" s="30"/>
      <c r="E28" s="30"/>
      <c r="F28" s="2"/>
      <c r="G28" s="2"/>
    </row>
    <row r="29" spans="1:10" x14ac:dyDescent="0.25">
      <c r="A29" s="2"/>
      <c r="D29" s="54"/>
      <c r="E29" s="2" t="s">
        <v>37</v>
      </c>
      <c r="G29" s="2"/>
    </row>
    <row r="30" spans="1:10" x14ac:dyDescent="0.25">
      <c r="A30" s="66"/>
      <c r="D30" s="2"/>
      <c r="E30" s="2" t="s">
        <v>64</v>
      </c>
      <c r="G30" s="2"/>
    </row>
    <row r="31" spans="1:10" x14ac:dyDescent="0.25">
      <c r="A31" s="56"/>
      <c r="B31" s="104"/>
      <c r="D31" s="2"/>
      <c r="E31" s="2" t="s">
        <v>65</v>
      </c>
      <c r="G31" s="2"/>
    </row>
    <row r="32" spans="1:10" x14ac:dyDescent="0.25">
      <c r="A32" s="56"/>
      <c r="B32" s="54"/>
      <c r="D32" s="54"/>
      <c r="E32" s="54"/>
      <c r="F32" s="54"/>
      <c r="G32" s="2"/>
    </row>
    <row r="33" spans="2:7" x14ac:dyDescent="0.25">
      <c r="G33" s="2"/>
    </row>
    <row r="34" spans="2:7" x14ac:dyDescent="0.25">
      <c r="G34" s="2"/>
    </row>
    <row r="35" spans="2:7" x14ac:dyDescent="0.25">
      <c r="G35" s="2"/>
    </row>
    <row r="36" spans="2:7" x14ac:dyDescent="0.25">
      <c r="B36" s="2"/>
      <c r="G36" s="2"/>
    </row>
    <row r="37" spans="2:7" x14ac:dyDescent="0.25">
      <c r="B37" s="105"/>
      <c r="C37" s="2"/>
      <c r="D37" s="2"/>
      <c r="E37" s="2"/>
      <c r="F37" s="2"/>
      <c r="G37" s="2"/>
    </row>
    <row r="38" spans="2:7" x14ac:dyDescent="0.25">
      <c r="C38" s="54"/>
      <c r="D38" s="54"/>
      <c r="E38" s="54"/>
      <c r="F38" s="2"/>
      <c r="G38" s="2"/>
    </row>
    <row r="39" spans="2:7" x14ac:dyDescent="0.25">
      <c r="C39" s="54"/>
      <c r="D39" s="54"/>
      <c r="E39" s="54"/>
      <c r="F39" s="2"/>
      <c r="G39" s="2"/>
    </row>
    <row r="40" spans="2:7" x14ac:dyDescent="0.25">
      <c r="B40" s="2"/>
      <c r="C40" s="2"/>
      <c r="D40" s="2"/>
      <c r="E40" s="2"/>
      <c r="F40" s="2"/>
      <c r="G40" s="2"/>
    </row>
    <row r="41" spans="2:7" x14ac:dyDescent="0.25">
      <c r="B41" s="2"/>
      <c r="C41" s="2"/>
      <c r="D41" s="2"/>
      <c r="E41" s="2"/>
      <c r="F41" s="2"/>
      <c r="G41" s="2"/>
    </row>
    <row r="42" spans="2:7" x14ac:dyDescent="0.25">
      <c r="B42" s="2"/>
      <c r="C42" s="2"/>
      <c r="D42" s="2"/>
      <c r="E42" s="2"/>
      <c r="F42" s="2"/>
      <c r="G42" s="2"/>
    </row>
    <row r="43" spans="2:7" x14ac:dyDescent="0.25">
      <c r="B43" s="2"/>
      <c r="C43" s="2"/>
      <c r="D43" s="2"/>
      <c r="E43" s="2"/>
      <c r="F43" s="2"/>
      <c r="G43" s="2"/>
    </row>
    <row r="44" spans="2:7" x14ac:dyDescent="0.25">
      <c r="B44" s="2"/>
      <c r="C44" s="2"/>
      <c r="D44" s="2"/>
      <c r="E44" s="2"/>
      <c r="F44" s="2"/>
      <c r="G44" s="2"/>
    </row>
    <row r="45" spans="2:7" x14ac:dyDescent="0.25">
      <c r="B45" s="2"/>
      <c r="C45" s="2"/>
      <c r="D45" s="2"/>
      <c r="E45" s="2"/>
      <c r="F45" s="2"/>
      <c r="G45" s="2"/>
    </row>
    <row r="46" spans="2:7" x14ac:dyDescent="0.25">
      <c r="B46" s="2"/>
      <c r="C46" s="2"/>
      <c r="D46" s="2"/>
      <c r="E46" s="2"/>
      <c r="F46" s="2"/>
      <c r="G46" s="2"/>
    </row>
    <row r="47" spans="2:7" x14ac:dyDescent="0.25">
      <c r="B47" s="2"/>
      <c r="C47" s="2"/>
      <c r="D47" s="2"/>
      <c r="E47" s="2"/>
      <c r="F47" s="2"/>
      <c r="G47" s="2"/>
    </row>
    <row r="48" spans="2:7" x14ac:dyDescent="0.25">
      <c r="B48" s="2"/>
      <c r="C48" s="2"/>
      <c r="D48" s="2"/>
      <c r="E48" s="2"/>
      <c r="F48" s="2"/>
      <c r="G48" s="2"/>
    </row>
  </sheetData>
  <mergeCells count="3">
    <mergeCell ref="B5:F5"/>
    <mergeCell ref="B6:F6"/>
    <mergeCell ref="C8:F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E29" sqref="E29"/>
    </sheetView>
  </sheetViews>
  <sheetFormatPr baseColWidth="10" defaultRowHeight="15" x14ac:dyDescent="0.25"/>
  <cols>
    <col min="1" max="1" width="6.7109375" customWidth="1"/>
    <col min="2" max="2" width="15.28515625" customWidth="1"/>
    <col min="3" max="3" width="13.28515625" customWidth="1"/>
    <col min="4" max="5" width="13.85546875" customWidth="1"/>
    <col min="6" max="6" width="14.42578125" customWidth="1"/>
  </cols>
  <sheetData>
    <row r="1" spans="2:7" x14ac:dyDescent="0.25">
      <c r="F1" s="73" t="s">
        <v>70</v>
      </c>
    </row>
    <row r="4" spans="2:7" x14ac:dyDescent="0.25">
      <c r="B4" s="74"/>
    </row>
    <row r="5" spans="2:7" x14ac:dyDescent="0.25">
      <c r="B5" s="75"/>
      <c r="C5" s="75"/>
      <c r="D5" s="75"/>
      <c r="E5" s="75"/>
    </row>
    <row r="6" spans="2:7" x14ac:dyDescent="0.25">
      <c r="B6" s="75"/>
      <c r="C6" s="75"/>
      <c r="D6" s="75"/>
      <c r="E6" s="75"/>
    </row>
    <row r="7" spans="2:7" x14ac:dyDescent="0.25">
      <c r="B7" s="236" t="s">
        <v>71</v>
      </c>
      <c r="C7" s="236"/>
      <c r="D7" s="236"/>
      <c r="E7" s="236"/>
      <c r="F7" s="236"/>
    </row>
    <row r="8" spans="2:7" x14ac:dyDescent="0.25">
      <c r="B8" s="236" t="s">
        <v>72</v>
      </c>
      <c r="C8" s="236"/>
      <c r="D8" s="236"/>
      <c r="E8" s="236"/>
      <c r="F8" s="236"/>
    </row>
    <row r="9" spans="2:7" x14ac:dyDescent="0.25">
      <c r="B9" s="106"/>
      <c r="C9" s="107"/>
      <c r="D9" s="107"/>
      <c r="E9" s="107"/>
      <c r="F9" s="107"/>
    </row>
    <row r="10" spans="2:7" x14ac:dyDescent="0.25">
      <c r="B10" s="77"/>
      <c r="C10" s="237" t="s">
        <v>45</v>
      </c>
      <c r="D10" s="238"/>
      <c r="E10" s="238"/>
      <c r="F10" s="240"/>
    </row>
    <row r="11" spans="2:7" ht="45" x14ac:dyDescent="0.25">
      <c r="B11" s="79" t="s">
        <v>46</v>
      </c>
      <c r="C11" s="108" t="s">
        <v>73</v>
      </c>
      <c r="D11" s="81" t="s">
        <v>48</v>
      </c>
      <c r="E11" s="81" t="s">
        <v>74</v>
      </c>
      <c r="F11" s="109" t="s">
        <v>75</v>
      </c>
      <c r="G11" s="110"/>
    </row>
    <row r="12" spans="2:7" ht="20.100000000000001" customHeight="1" x14ac:dyDescent="0.25">
      <c r="B12" s="85" t="s">
        <v>51</v>
      </c>
      <c r="C12" s="111">
        <f>10+30+18</f>
        <v>58</v>
      </c>
      <c r="D12" s="88">
        <f>96.77+204.79+127.81</f>
        <v>429.37</v>
      </c>
      <c r="E12" s="88">
        <f>17889.6+48277.38+34059</f>
        <v>100225.98</v>
      </c>
      <c r="F12" s="87">
        <f>18760.37+51223.84+36443.66</f>
        <v>106427.87</v>
      </c>
      <c r="G12" s="94"/>
    </row>
    <row r="13" spans="2:7" ht="20.100000000000001" customHeight="1" x14ac:dyDescent="0.25">
      <c r="B13" s="85" t="s">
        <v>52</v>
      </c>
      <c r="C13" s="86">
        <v>45</v>
      </c>
      <c r="D13" s="88">
        <v>303.01</v>
      </c>
      <c r="E13" s="88">
        <v>60549</v>
      </c>
      <c r="F13" s="88">
        <v>63697.08</v>
      </c>
      <c r="G13" s="94"/>
    </row>
    <row r="14" spans="2:7" ht="20.100000000000001" customHeight="1" x14ac:dyDescent="0.25">
      <c r="B14" s="85" t="s">
        <v>53</v>
      </c>
      <c r="C14" s="86">
        <f>17+33+7</f>
        <v>57</v>
      </c>
      <c r="D14" s="88">
        <f>197.43+272.55+44.11</f>
        <v>514.09</v>
      </c>
      <c r="E14" s="88">
        <f>26597.4+49275+8130.6</f>
        <v>84003</v>
      </c>
      <c r="F14" s="88">
        <f>28374.02+51727.52+8527.34</f>
        <v>88628.87999999999</v>
      </c>
      <c r="G14" s="94"/>
    </row>
    <row r="15" spans="2:7" ht="20.100000000000001" customHeight="1" x14ac:dyDescent="0.25">
      <c r="B15" s="85" t="s">
        <v>54</v>
      </c>
      <c r="C15" s="86">
        <f>8+21+8+11</f>
        <v>48</v>
      </c>
      <c r="D15" s="88">
        <f>73.68+185.79+57.7+70.77</f>
        <v>387.94</v>
      </c>
      <c r="E15" s="88">
        <f>12406.2+36201.6+11423.12+15989.4</f>
        <v>76020.320000000007</v>
      </c>
      <c r="F15" s="88">
        <f>13069.19+38099.94+11942.32+17072.11</f>
        <v>80183.56</v>
      </c>
      <c r="G15" s="94"/>
    </row>
    <row r="16" spans="2:7" ht="20.100000000000001" customHeight="1" x14ac:dyDescent="0.25">
      <c r="B16" s="85" t="s">
        <v>55</v>
      </c>
      <c r="C16" s="86">
        <f>12+52+11</f>
        <v>75</v>
      </c>
      <c r="D16" s="88">
        <f>98.24+479.44+65.63+15.84</f>
        <v>659.15</v>
      </c>
      <c r="E16" s="88">
        <f>21495.6+100561.8+11915.4+2698.8</f>
        <v>136671.59999999998</v>
      </c>
      <c r="F16" s="88">
        <f>22758.92+106377.79+12505.82+2841.31</f>
        <v>144483.84</v>
      </c>
    </row>
    <row r="17" spans="1:6" ht="20.100000000000001" customHeight="1" x14ac:dyDescent="0.25">
      <c r="B17" s="85" t="s">
        <v>56</v>
      </c>
      <c r="C17" s="86">
        <f>6+11+23+10</f>
        <v>50</v>
      </c>
      <c r="D17" s="91">
        <f>50.75+190.65+56.05</f>
        <v>297.45</v>
      </c>
      <c r="E17" s="91">
        <f>3737.61+14844.6+35236.8+9725.4</f>
        <v>63544.41</v>
      </c>
      <c r="F17" s="88">
        <f>3138.99+15949.27+36952.24+10229.69</f>
        <v>66270.19</v>
      </c>
    </row>
    <row r="18" spans="1:6" ht="20.100000000000001" customHeight="1" x14ac:dyDescent="0.25">
      <c r="B18" s="85" t="s">
        <v>76</v>
      </c>
      <c r="C18" s="86">
        <f>8+38+12+8</f>
        <v>66</v>
      </c>
      <c r="D18" s="91">
        <f>59.21+301.58+96.49+65.02</f>
        <v>522.29999999999995</v>
      </c>
      <c r="E18" s="91">
        <f>10836.6+64568.4+17892.6+11921.4</f>
        <v>105219</v>
      </c>
      <c r="F18" s="88">
        <f>11369.37+68841.33+18760.68+12506.42</f>
        <v>111477.8</v>
      </c>
    </row>
    <row r="19" spans="1:6" ht="20.100000000000001" customHeight="1" x14ac:dyDescent="0.25">
      <c r="B19" s="85" t="s">
        <v>58</v>
      </c>
      <c r="C19" s="86">
        <f>8+35</f>
        <v>43</v>
      </c>
      <c r="D19" s="88">
        <f>152.24+257.67+38.55</f>
        <v>448.46000000000004</v>
      </c>
      <c r="E19" s="88">
        <f>27049.2+55419.6+7614.6</f>
        <v>90083.400000000009</v>
      </c>
      <c r="F19" s="88">
        <f>28419.2+58599.51+7961.45</f>
        <v>94980.160000000003</v>
      </c>
    </row>
    <row r="20" spans="1:6" ht="20.100000000000001" customHeight="1" x14ac:dyDescent="0.25">
      <c r="B20" s="85" t="s">
        <v>59</v>
      </c>
      <c r="C20" s="86">
        <v>80</v>
      </c>
      <c r="D20" s="112">
        <v>706.43</v>
      </c>
      <c r="E20" s="112">
        <v>146833.07999999999</v>
      </c>
      <c r="F20" s="113">
        <v>155865.13</v>
      </c>
    </row>
    <row r="21" spans="1:6" ht="20.100000000000001" customHeight="1" x14ac:dyDescent="0.25">
      <c r="B21" s="85" t="s">
        <v>60</v>
      </c>
      <c r="C21" s="86">
        <f>4+12+52+9</f>
        <v>77</v>
      </c>
      <c r="D21" s="88">
        <f>25.29+64.38+426.85+67.59</f>
        <v>584.11</v>
      </c>
      <c r="E21" s="88">
        <f>4890+24886.8+103178.4+16419.24</f>
        <v>149374.43999999997</v>
      </c>
      <c r="F21" s="88">
        <f>5117.57+27364.21+110430.37+18218.14</f>
        <v>161130.28999999998</v>
      </c>
    </row>
    <row r="22" spans="1:6" ht="20.100000000000001" customHeight="1" x14ac:dyDescent="0.25">
      <c r="B22" s="85" t="s">
        <v>61</v>
      </c>
      <c r="C22" s="86">
        <f>20+31+8+4</f>
        <v>63</v>
      </c>
      <c r="D22" s="88">
        <f>23.08+64.69+247.54+198.58</f>
        <v>533.89</v>
      </c>
      <c r="E22" s="88">
        <f>7723.8+12496.2+51483+35728.8</f>
        <v>107431.8</v>
      </c>
      <c r="F22" s="88">
        <f>8548.35+13078.18+54609.67+37515.72</f>
        <v>113751.92</v>
      </c>
    </row>
    <row r="23" spans="1:6" ht="20.100000000000001" customHeight="1" x14ac:dyDescent="0.25">
      <c r="B23" s="85" t="s">
        <v>62</v>
      </c>
      <c r="C23" s="86">
        <f>5+12+22+17</f>
        <v>56</v>
      </c>
      <c r="D23" s="91">
        <f>59.92+64.8+151.69+114.84</f>
        <v>391.25</v>
      </c>
      <c r="E23" s="91">
        <f>10829.4+12495+45435.48+24732.6</f>
        <v>93492.48000000001</v>
      </c>
      <c r="F23" s="91">
        <f>11368.65+13078.08+49562.64+26170.9</f>
        <v>100180.26999999999</v>
      </c>
    </row>
    <row r="24" spans="1:6" ht="20.100000000000001" customHeight="1" x14ac:dyDescent="0.25">
      <c r="B24" s="98" t="s">
        <v>33</v>
      </c>
      <c r="C24" s="99">
        <f>SUM(C12:C23)</f>
        <v>718</v>
      </c>
      <c r="D24" s="100">
        <f t="shared" ref="D24:E24" si="0">SUM(D12:D23)</f>
        <v>5777.45</v>
      </c>
      <c r="E24" s="100">
        <f t="shared" si="0"/>
        <v>1213448.5099999998</v>
      </c>
      <c r="F24" s="100">
        <f>SUM(F12:F23)</f>
        <v>1287076.99</v>
      </c>
    </row>
    <row r="25" spans="1:6" ht="20.100000000000001" customHeight="1" x14ac:dyDescent="0.25">
      <c r="B25" s="103"/>
      <c r="C25" s="2"/>
      <c r="D25" s="66" t="s">
        <v>77</v>
      </c>
      <c r="E25" s="2"/>
      <c r="F25" s="70"/>
    </row>
    <row r="26" spans="1:6" x14ac:dyDescent="0.25">
      <c r="B26" s="114"/>
      <c r="C26" s="2"/>
      <c r="D26" s="2"/>
      <c r="E26" s="2"/>
      <c r="F26" s="70"/>
    </row>
    <row r="27" spans="1:6" ht="18" x14ac:dyDescent="0.25">
      <c r="A27" s="115"/>
      <c r="B27" s="56"/>
      <c r="C27" s="56"/>
      <c r="D27" s="56"/>
      <c r="E27" s="56"/>
      <c r="F27" s="116"/>
    </row>
    <row r="28" spans="1:6" x14ac:dyDescent="0.25">
      <c r="A28" s="56"/>
      <c r="F28" s="56"/>
    </row>
    <row r="29" spans="1:6" x14ac:dyDescent="0.25">
      <c r="C29" s="2"/>
      <c r="D29" s="2"/>
      <c r="E29" s="2"/>
    </row>
    <row r="32" spans="1:6" x14ac:dyDescent="0.25">
      <c r="A32" s="2"/>
      <c r="D32" s="2" t="s">
        <v>78</v>
      </c>
    </row>
    <row r="33" spans="1:6" x14ac:dyDescent="0.25">
      <c r="A33" s="2"/>
      <c r="B33" s="104"/>
      <c r="D33" s="2"/>
      <c r="E33" s="2" t="s">
        <v>79</v>
      </c>
      <c r="F33" s="2"/>
    </row>
    <row r="34" spans="1:6" x14ac:dyDescent="0.25">
      <c r="A34" s="107"/>
      <c r="B34" s="2"/>
      <c r="D34" s="2"/>
      <c r="E34" s="2" t="s">
        <v>80</v>
      </c>
      <c r="F34" s="2"/>
    </row>
    <row r="35" spans="1:6" x14ac:dyDescent="0.25">
      <c r="A35" s="117"/>
      <c r="B35" s="117"/>
      <c r="C35" s="117"/>
      <c r="F35" s="2"/>
    </row>
    <row r="36" spans="1:6" x14ac:dyDescent="0.25">
      <c r="B36" s="2"/>
      <c r="C36" s="2"/>
      <c r="D36" s="2"/>
      <c r="E36" s="2"/>
      <c r="F36" s="2"/>
    </row>
    <row r="37" spans="1:6" x14ac:dyDescent="0.25">
      <c r="B37" s="2"/>
      <c r="F37" s="2"/>
    </row>
    <row r="38" spans="1:6" x14ac:dyDescent="0.25">
      <c r="B38" s="2"/>
      <c r="F38" s="2"/>
    </row>
    <row r="39" spans="1:6" x14ac:dyDescent="0.25">
      <c r="B39" s="2"/>
      <c r="F39" s="2"/>
    </row>
    <row r="40" spans="1:6" x14ac:dyDescent="0.25">
      <c r="B40" s="2"/>
      <c r="C40" s="2"/>
      <c r="D40" s="2"/>
      <c r="E40" s="2"/>
      <c r="F40" s="2"/>
    </row>
    <row r="41" spans="1:6" x14ac:dyDescent="0.25">
      <c r="B41" s="2"/>
      <c r="C41" s="2"/>
      <c r="D41" s="2"/>
      <c r="E41" s="2"/>
      <c r="F41" s="2"/>
    </row>
    <row r="42" spans="1:6" x14ac:dyDescent="0.25">
      <c r="B42" s="2"/>
      <c r="C42" s="2"/>
      <c r="D42" s="2"/>
      <c r="E42" s="2"/>
      <c r="F42" s="2"/>
    </row>
    <row r="43" spans="1:6" x14ac:dyDescent="0.25">
      <c r="B43" s="2"/>
      <c r="C43" s="2"/>
      <c r="D43" s="2"/>
      <c r="E43" s="2"/>
      <c r="F43" s="2"/>
    </row>
    <row r="44" spans="1:6" x14ac:dyDescent="0.25">
      <c r="B44" s="2"/>
      <c r="C44" s="2"/>
      <c r="D44" s="2"/>
      <c r="E44" s="2"/>
      <c r="F44" s="2"/>
    </row>
  </sheetData>
  <mergeCells count="3">
    <mergeCell ref="B7:F7"/>
    <mergeCell ref="B8:F8"/>
    <mergeCell ref="C10:F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D26" sqref="D26"/>
    </sheetView>
  </sheetViews>
  <sheetFormatPr baseColWidth="10" defaultRowHeight="15" x14ac:dyDescent="0.25"/>
  <cols>
    <col min="1" max="1" width="3.5703125" customWidth="1"/>
    <col min="2" max="2" width="16.28515625" customWidth="1"/>
    <col min="3" max="3" width="15" customWidth="1"/>
    <col min="4" max="4" width="12.28515625" customWidth="1"/>
    <col min="5" max="5" width="14.85546875" customWidth="1"/>
    <col min="6" max="6" width="15.42578125" customWidth="1"/>
    <col min="7" max="7" width="13.42578125" customWidth="1"/>
    <col min="8" max="8" width="14.28515625" customWidth="1"/>
    <col min="9" max="9" width="10.42578125" customWidth="1"/>
    <col min="10" max="10" width="11.5703125" customWidth="1"/>
  </cols>
  <sheetData>
    <row r="1" spans="2:10" x14ac:dyDescent="0.25">
      <c r="F1" s="73" t="s">
        <v>41</v>
      </c>
    </row>
    <row r="3" spans="2:10" x14ac:dyDescent="0.25">
      <c r="B3" s="74"/>
    </row>
    <row r="4" spans="2:10" x14ac:dyDescent="0.25">
      <c r="B4" s="75"/>
      <c r="C4" s="75"/>
      <c r="D4" s="75"/>
      <c r="E4" s="75"/>
    </row>
    <row r="5" spans="2:10" x14ac:dyDescent="0.25">
      <c r="B5" s="236" t="s">
        <v>42</v>
      </c>
      <c r="C5" s="236"/>
      <c r="D5" s="236"/>
      <c r="E5" s="236"/>
      <c r="F5" s="236"/>
      <c r="G5" s="2"/>
    </row>
    <row r="6" spans="2:10" x14ac:dyDescent="0.25">
      <c r="B6" s="236" t="s">
        <v>43</v>
      </c>
      <c r="C6" s="236"/>
      <c r="D6" s="236"/>
      <c r="E6" s="236"/>
      <c r="F6" s="236"/>
      <c r="G6" s="2"/>
    </row>
    <row r="7" spans="2:10" x14ac:dyDescent="0.25">
      <c r="B7" s="236" t="s">
        <v>44</v>
      </c>
      <c r="C7" s="236"/>
      <c r="D7" s="236"/>
      <c r="E7" s="236"/>
      <c r="F7" s="236"/>
      <c r="G7" s="76"/>
    </row>
    <row r="8" spans="2:10" ht="24.95" customHeight="1" x14ac:dyDescent="0.25">
      <c r="B8" s="77"/>
      <c r="C8" s="237" t="s">
        <v>45</v>
      </c>
      <c r="D8" s="238"/>
      <c r="E8" s="238"/>
      <c r="F8" s="239"/>
      <c r="G8" s="78"/>
    </row>
    <row r="9" spans="2:10" ht="50.25" customHeight="1" x14ac:dyDescent="0.25">
      <c r="B9" s="79" t="s">
        <v>46</v>
      </c>
      <c r="C9" s="80" t="s">
        <v>47</v>
      </c>
      <c r="D9" s="81" t="s">
        <v>48</v>
      </c>
      <c r="E9" s="82" t="s">
        <v>49</v>
      </c>
      <c r="F9" s="83" t="s">
        <v>50</v>
      </c>
      <c r="G9" s="84"/>
      <c r="H9" s="84"/>
      <c r="I9" s="84"/>
      <c r="J9" s="84"/>
    </row>
    <row r="10" spans="2:10" ht="23.1" customHeight="1" x14ac:dyDescent="0.25">
      <c r="B10" s="85" t="s">
        <v>51</v>
      </c>
      <c r="C10" s="86">
        <f>35+19+10</f>
        <v>64</v>
      </c>
      <c r="D10" s="87">
        <f>1189.09+687.84+311.06</f>
        <v>2187.9899999999998</v>
      </c>
      <c r="E10" s="87">
        <f>39636.13+22927.88+10368.26</f>
        <v>72932.26999999999</v>
      </c>
      <c r="F10" s="88">
        <f>10701.78+6190.52+2799.41</f>
        <v>19691.710000000003</v>
      </c>
      <c r="G10" s="89"/>
      <c r="H10" s="90"/>
      <c r="I10" s="90"/>
      <c r="J10" s="90"/>
    </row>
    <row r="11" spans="2:10" ht="23.1" customHeight="1" x14ac:dyDescent="0.25">
      <c r="B11" s="85" t="s">
        <v>52</v>
      </c>
      <c r="C11" s="86">
        <v>59</v>
      </c>
      <c r="D11" s="91">
        <v>2118.44</v>
      </c>
      <c r="E11" s="91">
        <v>70614.05</v>
      </c>
      <c r="F11" s="88">
        <v>19065.759999999998</v>
      </c>
      <c r="G11" s="89"/>
      <c r="H11" s="90" t="s">
        <v>38</v>
      </c>
      <c r="I11" s="90"/>
      <c r="J11" s="90"/>
    </row>
    <row r="12" spans="2:10" ht="23.1" customHeight="1" x14ac:dyDescent="0.25">
      <c r="B12" s="85" t="s">
        <v>53</v>
      </c>
      <c r="C12" s="86">
        <f>24+29+23</f>
        <v>76</v>
      </c>
      <c r="D12" s="92">
        <f>713.59+960.56+753.54</f>
        <v>2427.69</v>
      </c>
      <c r="E12" s="92">
        <f>7135.83+9605.6+7535.25</f>
        <v>24276.68</v>
      </c>
      <c r="F12" s="88">
        <f>6422.24+8645.04+6781.71</f>
        <v>21848.99</v>
      </c>
      <c r="G12" s="89"/>
      <c r="H12" s="90" t="s">
        <v>38</v>
      </c>
      <c r="I12" s="90"/>
      <c r="J12" s="90"/>
    </row>
    <row r="13" spans="2:10" ht="23.1" customHeight="1" x14ac:dyDescent="0.25">
      <c r="B13" s="85" t="s">
        <v>54</v>
      </c>
      <c r="C13" s="86">
        <f>18+11+9+14</f>
        <v>52</v>
      </c>
      <c r="D13" s="87">
        <f>645.74+462.36+276.08+536.04</f>
        <v>1920.2199999999998</v>
      </c>
      <c r="E13" s="87">
        <f>21524.19+15412.16+9202.42+17868.62</f>
        <v>64007.39</v>
      </c>
      <c r="F13" s="88">
        <f>5811.5+4161.26+2484.62+4824.49</f>
        <v>17281.870000000003</v>
      </c>
      <c r="G13" s="93"/>
      <c r="H13" s="94"/>
      <c r="I13" s="90"/>
      <c r="J13" s="90"/>
    </row>
    <row r="14" spans="2:10" ht="23.1" customHeight="1" x14ac:dyDescent="0.25">
      <c r="B14" s="85" t="s">
        <v>55</v>
      </c>
      <c r="C14" s="86">
        <f>11+16+28</f>
        <v>55</v>
      </c>
      <c r="D14" s="87">
        <f>436.89+578.94+1001.74+381.18</f>
        <v>2398.75</v>
      </c>
      <c r="E14" s="87">
        <f>14563.38+19298.34+33392.55+12706.2</f>
        <v>79960.47</v>
      </c>
      <c r="F14" s="87">
        <f>3932.11+5210.21+9015.86+3430.67</f>
        <v>21588.85</v>
      </c>
      <c r="G14" s="95"/>
      <c r="H14" s="90"/>
      <c r="I14" s="90"/>
      <c r="J14" s="90"/>
    </row>
    <row r="15" spans="2:10" ht="23.1" customHeight="1" x14ac:dyDescent="0.25">
      <c r="B15" s="85" t="s">
        <v>56</v>
      </c>
      <c r="C15" s="86">
        <f>8+8+13+8</f>
        <v>37</v>
      </c>
      <c r="D15" s="91">
        <f>312.91+369.45+205.76+246.97</f>
        <v>1135.0899999999999</v>
      </c>
      <c r="E15" s="91">
        <f>10430.24+12315.08+6858.55+8232.39</f>
        <v>37836.259999999995</v>
      </c>
      <c r="F15" s="88">
        <f>2816.16+3324.96+1851.8+2222.74</f>
        <v>10215.66</v>
      </c>
      <c r="G15" s="89"/>
      <c r="H15" s="90" t="s">
        <v>38</v>
      </c>
      <c r="I15" s="90"/>
      <c r="J15" s="90"/>
    </row>
    <row r="16" spans="2:10" ht="23.1" customHeight="1" x14ac:dyDescent="0.25">
      <c r="B16" s="85" t="s">
        <v>57</v>
      </c>
      <c r="C16" s="86">
        <f>7+22+3+7</f>
        <v>39</v>
      </c>
      <c r="D16" s="87">
        <f>217.16+722.11+117.61+221.68</f>
        <v>1278.56</v>
      </c>
      <c r="E16" s="87">
        <f>7238.63+24069.81+3919.98+7389.14</f>
        <v>42617.560000000005</v>
      </c>
      <c r="F16" s="88">
        <f>1954.38+6498.85+1058.38+1995.06</f>
        <v>11506.67</v>
      </c>
      <c r="G16" s="89"/>
      <c r="H16" s="94"/>
      <c r="I16" s="96" t="s">
        <v>38</v>
      </c>
      <c r="J16" s="90"/>
    </row>
    <row r="17" spans="1:10" ht="23.1" customHeight="1" x14ac:dyDescent="0.25">
      <c r="B17" s="85" t="s">
        <v>58</v>
      </c>
      <c r="C17" s="86">
        <f>8+26</f>
        <v>34</v>
      </c>
      <c r="D17" s="87">
        <f>284.24+928.41+76.09</f>
        <v>1288.74</v>
      </c>
      <c r="E17" s="87">
        <f>9474.65+30952.56+2536.3</f>
        <v>42963.51</v>
      </c>
      <c r="F17" s="88">
        <f>2558.16+8355.46+684.8</f>
        <v>11598.419999999998</v>
      </c>
      <c r="G17" s="89"/>
      <c r="H17" s="90"/>
      <c r="I17" s="90"/>
      <c r="J17" s="90"/>
    </row>
    <row r="18" spans="1:10" ht="23.1" customHeight="1" x14ac:dyDescent="0.25">
      <c r="B18" s="85" t="s">
        <v>59</v>
      </c>
      <c r="C18" s="86">
        <f>15+15+8+18</f>
        <v>56</v>
      </c>
      <c r="D18" s="87">
        <f>587.99+266.39+432.78+535.94</f>
        <v>1823.1</v>
      </c>
      <c r="E18" s="97">
        <f>17865.73+14426.28+8878.94+19600.93</f>
        <v>60771.880000000005</v>
      </c>
      <c r="F18" s="87">
        <f>4823.59+3895.06+2397.25+5291.86</f>
        <v>16407.759999999998</v>
      </c>
      <c r="G18" s="89"/>
      <c r="H18" s="90"/>
      <c r="I18" s="90"/>
      <c r="J18" s="90"/>
    </row>
    <row r="19" spans="1:10" ht="23.1" customHeight="1" x14ac:dyDescent="0.25">
      <c r="B19" s="85" t="s">
        <v>60</v>
      </c>
      <c r="C19" s="86">
        <f>8+2+14+6</f>
        <v>30</v>
      </c>
      <c r="D19" s="87">
        <f>275.91+66.91+582.86+227.4</f>
        <v>1153.0800000000002</v>
      </c>
      <c r="E19" s="88">
        <f>9196.9+2238.26+19429.27+7580</f>
        <v>38444.43</v>
      </c>
      <c r="F19" s="87">
        <f>2483.15+602.15+5245.89+2046.59</f>
        <v>10377.780000000001</v>
      </c>
      <c r="G19" s="89"/>
      <c r="H19" s="90"/>
      <c r="I19" s="90" t="s">
        <v>38</v>
      </c>
      <c r="J19" s="90"/>
    </row>
    <row r="20" spans="1:10" ht="23.1" customHeight="1" x14ac:dyDescent="0.25">
      <c r="B20" s="85" t="s">
        <v>61</v>
      </c>
      <c r="C20" s="86">
        <f>3+9+15+2</f>
        <v>29</v>
      </c>
      <c r="D20" s="91">
        <f>143.85+307.63+662.26+72.07</f>
        <v>1185.81</v>
      </c>
      <c r="E20" s="87">
        <f>4795.7+10254.93+22075.08+2402.36</f>
        <v>39528.070000000007</v>
      </c>
      <c r="F20" s="88">
        <f>648.64+5960.18+2768.71+1294.7</f>
        <v>10672.230000000001</v>
      </c>
      <c r="G20" s="89"/>
      <c r="H20" s="90"/>
      <c r="I20" s="90"/>
      <c r="J20" s="90" t="s">
        <v>38</v>
      </c>
    </row>
    <row r="21" spans="1:10" ht="23.1" customHeight="1" x14ac:dyDescent="0.25">
      <c r="B21" s="85" t="s">
        <v>62</v>
      </c>
      <c r="C21" s="86">
        <f>1+10+10+1</f>
        <v>22</v>
      </c>
      <c r="D21" s="87">
        <f>10.57+375.85+429.92+50.29</f>
        <v>866.63</v>
      </c>
      <c r="E21" s="87">
        <f>352.35+12536.11+14330.02+1676.48</f>
        <v>28894.960000000003</v>
      </c>
      <c r="F21" s="88">
        <f>95.14+3382.55+3869.08+452.65</f>
        <v>7799.42</v>
      </c>
      <c r="G21" s="89"/>
      <c r="H21" s="90"/>
      <c r="I21" s="90"/>
      <c r="J21" s="90"/>
    </row>
    <row r="22" spans="1:10" ht="24.95" customHeight="1" x14ac:dyDescent="0.25">
      <c r="B22" s="98" t="s">
        <v>33</v>
      </c>
      <c r="C22" s="99">
        <f>SUM(C10:C21)</f>
        <v>553</v>
      </c>
      <c r="D22" s="100">
        <f>SUM(D10:D21)</f>
        <v>19784.100000000002</v>
      </c>
      <c r="E22" s="100">
        <f>SUM(E10:E21)</f>
        <v>602847.53</v>
      </c>
      <c r="F22" s="101">
        <f>SUM(F10:F21)</f>
        <v>178055.12000000005</v>
      </c>
      <c r="G22" s="102"/>
      <c r="H22" s="102"/>
      <c r="I22" s="102"/>
      <c r="J22" s="102"/>
    </row>
    <row r="23" spans="1:10" ht="12" customHeight="1" x14ac:dyDescent="0.25">
      <c r="B23" s="103"/>
      <c r="C23" s="2"/>
      <c r="D23" s="2"/>
      <c r="E23" s="2"/>
      <c r="F23" s="70" t="s">
        <v>63</v>
      </c>
      <c r="G23" s="2"/>
      <c r="H23" t="s">
        <v>38</v>
      </c>
    </row>
    <row r="24" spans="1:10" ht="12" customHeight="1" x14ac:dyDescent="0.25">
      <c r="B24" s="2"/>
      <c r="C24" s="2"/>
      <c r="D24" s="2"/>
      <c r="E24" s="2"/>
      <c r="F24" s="2"/>
      <c r="G24" s="2"/>
    </row>
    <row r="25" spans="1:10" x14ac:dyDescent="0.25">
      <c r="B25" s="56"/>
      <c r="C25" s="2"/>
      <c r="D25" s="2"/>
      <c r="E25" s="2"/>
      <c r="F25" s="2"/>
      <c r="G25" s="2"/>
      <c r="H25" s="28"/>
    </row>
    <row r="26" spans="1:10" x14ac:dyDescent="0.25">
      <c r="B26" s="2"/>
      <c r="C26" s="2"/>
      <c r="D26" s="2"/>
      <c r="E26" s="2"/>
      <c r="F26" s="2"/>
      <c r="G26" s="2"/>
    </row>
    <row r="27" spans="1:10" x14ac:dyDescent="0.25">
      <c r="B27" s="56"/>
      <c r="C27" s="2"/>
      <c r="D27" s="2"/>
      <c r="E27" s="2"/>
      <c r="F27" s="2"/>
      <c r="G27" s="2"/>
    </row>
    <row r="28" spans="1:10" x14ac:dyDescent="0.25">
      <c r="B28" s="2"/>
      <c r="C28" s="30"/>
      <c r="D28" s="30"/>
      <c r="E28" s="30"/>
      <c r="F28" s="2"/>
      <c r="G28" s="2"/>
    </row>
    <row r="29" spans="1:10" x14ac:dyDescent="0.25">
      <c r="A29" s="2"/>
      <c r="D29" s="54"/>
      <c r="E29" s="2" t="s">
        <v>37</v>
      </c>
      <c r="G29" s="2"/>
    </row>
    <row r="30" spans="1:10" x14ac:dyDescent="0.25">
      <c r="A30" s="66"/>
      <c r="D30" s="2"/>
      <c r="E30" s="2" t="s">
        <v>64</v>
      </c>
      <c r="G30" s="2"/>
    </row>
    <row r="31" spans="1:10" x14ac:dyDescent="0.25">
      <c r="A31" s="56"/>
      <c r="B31" s="104"/>
      <c r="D31" s="2"/>
      <c r="E31" s="2" t="s">
        <v>65</v>
      </c>
      <c r="G31" s="2"/>
    </row>
    <row r="32" spans="1:10" x14ac:dyDescent="0.25">
      <c r="A32" s="56"/>
      <c r="B32" s="54"/>
      <c r="D32" s="54"/>
      <c r="E32" s="54"/>
      <c r="F32" s="54"/>
      <c r="G32" s="2"/>
    </row>
    <row r="33" spans="2:7" x14ac:dyDescent="0.25">
      <c r="G33" s="2"/>
    </row>
    <row r="34" spans="2:7" x14ac:dyDescent="0.25">
      <c r="G34" s="2"/>
    </row>
    <row r="35" spans="2:7" x14ac:dyDescent="0.25">
      <c r="G35" s="2"/>
    </row>
    <row r="36" spans="2:7" x14ac:dyDescent="0.25">
      <c r="B36" s="2"/>
      <c r="G36" s="2"/>
    </row>
    <row r="37" spans="2:7" x14ac:dyDescent="0.25">
      <c r="B37" s="105"/>
      <c r="C37" s="2"/>
      <c r="D37" s="2"/>
      <c r="E37" s="2"/>
      <c r="F37" s="2"/>
      <c r="G37" s="2"/>
    </row>
    <row r="38" spans="2:7" x14ac:dyDescent="0.25">
      <c r="C38" s="54"/>
      <c r="D38" s="54"/>
      <c r="E38" s="54"/>
      <c r="F38" s="2"/>
      <c r="G38" s="2"/>
    </row>
    <row r="39" spans="2:7" x14ac:dyDescent="0.25">
      <c r="C39" s="54"/>
      <c r="D39" s="54"/>
      <c r="E39" s="54"/>
      <c r="F39" s="2"/>
      <c r="G39" s="2"/>
    </row>
    <row r="40" spans="2:7" x14ac:dyDescent="0.25">
      <c r="B40" s="2"/>
      <c r="C40" s="2"/>
      <c r="D40" s="2"/>
      <c r="E40" s="2"/>
      <c r="F40" s="2"/>
      <c r="G40" s="2"/>
    </row>
    <row r="41" spans="2:7" x14ac:dyDescent="0.25">
      <c r="B41" s="2"/>
      <c r="C41" s="2"/>
      <c r="D41" s="2"/>
      <c r="E41" s="2"/>
      <c r="F41" s="2"/>
      <c r="G41" s="2"/>
    </row>
    <row r="42" spans="2:7" x14ac:dyDescent="0.25">
      <c r="B42" s="2"/>
      <c r="C42" s="2"/>
      <c r="D42" s="2"/>
      <c r="E42" s="2"/>
      <c r="F42" s="2"/>
      <c r="G42" s="2"/>
    </row>
    <row r="43" spans="2:7" x14ac:dyDescent="0.25">
      <c r="B43" s="2"/>
      <c r="C43" s="2"/>
      <c r="D43" s="2"/>
      <c r="E43" s="2"/>
      <c r="F43" s="2"/>
      <c r="G43" s="2"/>
    </row>
    <row r="44" spans="2:7" x14ac:dyDescent="0.25">
      <c r="B44" s="2"/>
      <c r="C44" s="2"/>
      <c r="D44" s="2"/>
      <c r="E44" s="2"/>
      <c r="F44" s="2"/>
      <c r="G44" s="2"/>
    </row>
    <row r="45" spans="2:7" x14ac:dyDescent="0.25">
      <c r="B45" s="2"/>
      <c r="C45" s="2"/>
      <c r="D45" s="2"/>
      <c r="E45" s="2"/>
      <c r="F45" s="2"/>
      <c r="G45" s="2"/>
    </row>
    <row r="46" spans="2:7" x14ac:dyDescent="0.25">
      <c r="B46" s="2"/>
      <c r="C46" s="2"/>
      <c r="D46" s="2"/>
      <c r="E46" s="2"/>
      <c r="F46" s="2"/>
      <c r="G46" s="2"/>
    </row>
    <row r="47" spans="2:7" x14ac:dyDescent="0.25">
      <c r="B47" s="2"/>
      <c r="C47" s="2"/>
      <c r="D47" s="2"/>
      <c r="E47" s="2"/>
      <c r="F47" s="2"/>
      <c r="G47" s="2"/>
    </row>
    <row r="48" spans="2:7" x14ac:dyDescent="0.25">
      <c r="B48" s="2"/>
      <c r="C48" s="2"/>
      <c r="D48" s="2"/>
      <c r="E48" s="2"/>
      <c r="F48" s="2"/>
      <c r="G48" s="2"/>
    </row>
  </sheetData>
  <mergeCells count="4">
    <mergeCell ref="B5:F5"/>
    <mergeCell ref="B6:F6"/>
    <mergeCell ref="B7:F7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Fallecidos por Sexo</vt:lpstr>
      <vt:lpstr>FallecidosXSexo tipos de seguro</vt:lpstr>
      <vt:lpstr>Seguros Pagados 2018</vt:lpstr>
      <vt:lpstr>Valores de Rescate</vt:lpstr>
      <vt:lpstr>Vencimiento de Plazo</vt:lpstr>
      <vt:lpstr>Devolución 30%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2019-04-24T19:50:29Z</dcterms:modified>
</cp:coreProperties>
</file>