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8\Al 3er trimestre 2018\"/>
    </mc:Choice>
  </mc:AlternateContent>
  <bookViews>
    <workbookView xWindow="0" yWindow="0" windowWidth="19200" windowHeight="12885" tabRatio="601" firstSheet="1" activeTab="2"/>
  </bookViews>
  <sheets>
    <sheet name="FALLECIDOS POR SEXO 2018 " sheetId="1" r:id="rId1"/>
    <sheet name="FALLECIDOS POR SEGURO 2018 " sheetId="2" r:id="rId2"/>
    <sheet name="SEGUROS PAGADOS AÑO 2018" sheetId="5" r:id="rId3"/>
    <sheet name="VALORES DE RESCATE PAGADOS 2018" sheetId="3" r:id="rId4"/>
    <sheet name="PAGO DE S.V.D. VENC POLIZA 2018" sheetId="4" r:id="rId5"/>
  </sheets>
  <definedNames>
    <definedName name="_xlnm.Print_Area" localSheetId="1">'FALLECIDOS POR SEGURO 2018 '!$1:$1048576</definedName>
  </definedNames>
  <calcPr calcId="152511"/>
</workbook>
</file>

<file path=xl/calcChain.xml><?xml version="1.0" encoding="utf-8"?>
<calcChain xmlns="http://schemas.openxmlformats.org/spreadsheetml/2006/main">
  <c r="P18" i="5" l="1"/>
  <c r="O18" i="5"/>
  <c r="N18" i="5"/>
  <c r="K18" i="5"/>
  <c r="I18" i="5"/>
  <c r="R18" i="5" s="1"/>
  <c r="R17" i="5"/>
  <c r="Q17" i="5"/>
  <c r="R16" i="5"/>
  <c r="Q16" i="5"/>
  <c r="R15" i="5"/>
  <c r="Q15" i="5"/>
  <c r="R14" i="5"/>
  <c r="M14" i="5"/>
  <c r="L14" i="5"/>
  <c r="H14" i="5"/>
  <c r="G14" i="5"/>
  <c r="Q14" i="5" s="1"/>
  <c r="F14" i="5"/>
  <c r="E14" i="5"/>
  <c r="D14" i="5"/>
  <c r="C14" i="5"/>
  <c r="B14" i="5"/>
  <c r="R13" i="5"/>
  <c r="M13" i="5"/>
  <c r="L13" i="5"/>
  <c r="H13" i="5"/>
  <c r="G13" i="5"/>
  <c r="Q13" i="5" s="1"/>
  <c r="F13" i="5"/>
  <c r="E13" i="5"/>
  <c r="D13" i="5"/>
  <c r="C13" i="5"/>
  <c r="B13" i="5"/>
  <c r="R12" i="5"/>
  <c r="L12" i="5"/>
  <c r="H12" i="5"/>
  <c r="G12" i="5"/>
  <c r="Q12" i="5" s="1"/>
  <c r="F12" i="5"/>
  <c r="E12" i="5"/>
  <c r="D12" i="5"/>
  <c r="C12" i="5"/>
  <c r="B12" i="5"/>
  <c r="R11" i="5"/>
  <c r="M11" i="5"/>
  <c r="L11" i="5"/>
  <c r="J11" i="5"/>
  <c r="H11" i="5"/>
  <c r="G11" i="5"/>
  <c r="Q11" i="5" s="1"/>
  <c r="F11" i="5"/>
  <c r="E11" i="5"/>
  <c r="D11" i="5"/>
  <c r="C11" i="5"/>
  <c r="B11" i="5"/>
  <c r="R10" i="5"/>
  <c r="M10" i="5"/>
  <c r="L10" i="5"/>
  <c r="H10" i="5"/>
  <c r="G10" i="5"/>
  <c r="Q10" i="5" s="1"/>
  <c r="F10" i="5"/>
  <c r="E10" i="5"/>
  <c r="D10" i="5"/>
  <c r="C10" i="5"/>
  <c r="B10" i="5"/>
  <c r="R9" i="5"/>
  <c r="M9" i="5"/>
  <c r="L9" i="5"/>
  <c r="J9" i="5"/>
  <c r="J18" i="5" s="1"/>
  <c r="H9" i="5"/>
  <c r="Q9" i="5" s="1"/>
  <c r="G9" i="5"/>
  <c r="F9" i="5"/>
  <c r="E9" i="5"/>
  <c r="C9" i="5"/>
  <c r="B9" i="5"/>
  <c r="R8" i="5"/>
  <c r="M8" i="5"/>
  <c r="M18" i="5" s="1"/>
  <c r="L8" i="5"/>
  <c r="H8" i="5"/>
  <c r="G8" i="5"/>
  <c r="Q8" i="5" s="1"/>
  <c r="F8" i="5"/>
  <c r="F18" i="5" s="1"/>
  <c r="E8" i="5"/>
  <c r="D8" i="5"/>
  <c r="C8" i="5"/>
  <c r="B8" i="5"/>
  <c r="B18" i="5" s="1"/>
  <c r="R7" i="5"/>
  <c r="M7" i="5"/>
  <c r="L7" i="5"/>
  <c r="H7" i="5"/>
  <c r="G7" i="5"/>
  <c r="G18" i="5" s="1"/>
  <c r="D7" i="5"/>
  <c r="C7" i="5"/>
  <c r="M6" i="5"/>
  <c r="L6" i="5"/>
  <c r="L18" i="5" s="1"/>
  <c r="I6" i="5"/>
  <c r="R6" i="5" s="1"/>
  <c r="H6" i="5"/>
  <c r="H18" i="5" s="1"/>
  <c r="G6" i="5"/>
  <c r="E6" i="5"/>
  <c r="E18" i="5" s="1"/>
  <c r="D6" i="5"/>
  <c r="D18" i="5" s="1"/>
  <c r="C6" i="5"/>
  <c r="C18" i="5" s="1"/>
  <c r="Q6" i="5" l="1"/>
  <c r="Q7" i="5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2" i="4"/>
  <c r="F24" i="4" s="1"/>
  <c r="E12" i="4"/>
  <c r="E24" i="4" s="1"/>
  <c r="D12" i="4"/>
  <c r="D24" i="4" s="1"/>
  <c r="C12" i="4"/>
  <c r="C24" i="4" s="1"/>
  <c r="Q18" i="5" l="1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0" i="3"/>
  <c r="F22" i="3" s="1"/>
  <c r="E10" i="3"/>
  <c r="E22" i="3" s="1"/>
  <c r="D10" i="3"/>
  <c r="D22" i="3" s="1"/>
  <c r="C10" i="3"/>
  <c r="C22" i="3" s="1"/>
  <c r="M22" i="2" l="1"/>
  <c r="L22" i="2"/>
  <c r="K22" i="2"/>
  <c r="J22" i="2"/>
  <c r="I22" i="2"/>
  <c r="H22" i="2"/>
  <c r="G22" i="2"/>
  <c r="F22" i="2"/>
  <c r="E22" i="2"/>
  <c r="D22" i="2"/>
  <c r="C22" i="2"/>
  <c r="O21" i="2"/>
  <c r="N21" i="2"/>
  <c r="P21" i="2" s="1"/>
  <c r="H21" i="2"/>
  <c r="O20" i="2"/>
  <c r="N20" i="2"/>
  <c r="P20" i="2" s="1"/>
  <c r="H20" i="2"/>
  <c r="O19" i="2"/>
  <c r="N19" i="2"/>
  <c r="P19" i="2" s="1"/>
  <c r="H19" i="2"/>
  <c r="O18" i="2"/>
  <c r="N18" i="2"/>
  <c r="P18" i="2" s="1"/>
  <c r="H18" i="2"/>
  <c r="O17" i="2"/>
  <c r="N17" i="2"/>
  <c r="P17" i="2" s="1"/>
  <c r="H17" i="2"/>
  <c r="O16" i="2"/>
  <c r="N16" i="2"/>
  <c r="P16" i="2" s="1"/>
  <c r="H16" i="2"/>
  <c r="O15" i="2"/>
  <c r="N15" i="2"/>
  <c r="P15" i="2" s="1"/>
  <c r="H15" i="2"/>
  <c r="O14" i="2"/>
  <c r="N14" i="2"/>
  <c r="P14" i="2" s="1"/>
  <c r="H14" i="2"/>
  <c r="O13" i="2"/>
  <c r="N13" i="2"/>
  <c r="P13" i="2" s="1"/>
  <c r="H13" i="2"/>
  <c r="O12" i="2"/>
  <c r="N12" i="2"/>
  <c r="P12" i="2" s="1"/>
  <c r="H12" i="2"/>
  <c r="O11" i="2"/>
  <c r="N11" i="2"/>
  <c r="P11" i="2" s="1"/>
  <c r="H11" i="2"/>
  <c r="O10" i="2"/>
  <c r="O22" i="2" s="1"/>
  <c r="N10" i="2"/>
  <c r="N22" i="2" s="1"/>
  <c r="H10" i="2"/>
  <c r="P10" i="2" l="1"/>
  <c r="P22" i="2" s="1"/>
  <c r="E22" i="1" l="1"/>
  <c r="E21" i="1" l="1"/>
  <c r="E20" i="1" l="1"/>
  <c r="E19" i="1" l="1"/>
  <c r="E18" i="1" l="1"/>
  <c r="E17" i="1" l="1"/>
  <c r="E16" i="1" l="1"/>
  <c r="E15" i="1" l="1"/>
  <c r="E14" i="1" l="1"/>
  <c r="E13" i="1" l="1"/>
  <c r="E12" i="1" l="1"/>
  <c r="E11" i="1" l="1"/>
  <c r="E23" i="1" l="1"/>
  <c r="D23" i="1"/>
  <c r="C23" i="1"/>
</calcChain>
</file>

<file path=xl/sharedStrings.xml><?xml version="1.0" encoding="utf-8"?>
<sst xmlns="http://schemas.openxmlformats.org/spreadsheetml/2006/main" count="192" uniqueCount="113">
  <si>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</si>
  <si>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</si>
  <si>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</si>
  <si>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</si>
  <si>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</si>
  <si>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</si>
  <si>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</si>
  <si>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</si>
  <si>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</si>
  <si>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</si>
  <si>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</si>
  <si>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</si>
  <si>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</si>
  <si>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</si>
  <si>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</si>
  <si>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</si>
  <si>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</si>
  <si>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</si>
  <si>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</si>
  <si>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</si>
  <si>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</si>
  <si>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</si>
  <si>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</si>
  <si>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</si>
  <si>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</si>
  <si>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</si>
  <si>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</si>
  <si>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DEL 1 ENERO AL 30 DE SEPTIEMBRE, AÑO 2018</t>
  </si>
  <si>
    <t>San Salvador, 05 de octubre de 2018</t>
  </si>
  <si>
    <t>ASEGURADOS REPORTADOS FALLECIDOS EN SEGUROS DE VIDA BÁSICO,</t>
  </si>
  <si>
    <t>OPCIONAL,  DOTAL Y SEGURO POR SEPELIO.</t>
  </si>
  <si>
    <t>TAMBIÉN SEGUROS RECLAMADOS POR TIPO DE SEGURO</t>
  </si>
  <si>
    <t>DEL 01 DE ENERO AL 30 DE SEPTIEMBRE DEL AÑO 2018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</si>
  <si>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</si>
  <si>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</si>
  <si>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</si>
  <si>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</si>
  <si>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</si>
  <si>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</si>
  <si>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</si>
  <si>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</si>
  <si>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</si>
  <si>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</si>
  <si>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</si>
  <si>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</si>
  <si>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</si>
  <si>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</si>
  <si>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</si>
  <si>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</si>
  <si>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</si>
  <si>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</si>
  <si>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</si>
  <si>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</si>
  <si>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 xml:space="preserve">RESUMEN SOBRE VALORES DE RESCATE </t>
  </si>
  <si>
    <t>DE SEGURO DE VIDA DOTAL PAGADOS AÑO 2018</t>
  </si>
  <si>
    <t>DEL 01 DE ENERO AL 30 DE SEPTIEMBRE AÑO 2018</t>
  </si>
  <si>
    <t>Nº DE VALORES DE RESCATE RECLAMADOS</t>
  </si>
  <si>
    <t>RENTA RETENIDA 10%</t>
  </si>
  <si>
    <t>VALORES PAGADOS POR LOS ASEGURADOS</t>
  </si>
  <si>
    <t>CANTIDAD PAGADA</t>
  </si>
  <si>
    <t xml:space="preserve">        Dina Lariza Rivera Menjívar</t>
  </si>
  <si>
    <t xml:space="preserve">             Colaborador de Reclamos</t>
  </si>
  <si>
    <t xml:space="preserve">       Jefa Unidad de Seguros</t>
  </si>
  <si>
    <t xml:space="preserve">RESUMEN MENSUAL SOBRE PAGO DE SEGURO  </t>
  </si>
  <si>
    <t>DE VIDA DOTAL POR VENCIMIENTO DE PÓLIZA  AÑO 2018</t>
  </si>
  <si>
    <t>NUMERO DE SEGUROS RECLAMADOS</t>
  </si>
  <si>
    <t>VALORES PAGADOS POR EL ASEGURADO</t>
  </si>
  <si>
    <t>CANTIDAD LIQUIDA PAGADA</t>
  </si>
  <si>
    <t xml:space="preserve">JULIO  </t>
  </si>
  <si>
    <t>San Salvador, 05 de octubre del 2018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</si>
  <si>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</si>
  <si>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</si>
  <si>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</si>
  <si>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</si>
  <si>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</si>
  <si>
    <t>CUADRO RESUMEN DE SEGUROS DE VIDA OPCIONAL Y DOTAL, PAGADOS A BENEFICIARIOS Y COTIZACIONES REALIZADAS POR LOS ASEGURADOS</t>
  </si>
  <si>
    <t>CORRESPONDIENTE AL PERIODO DEL 01 DE ENERO AL 30 DE SEPTIEMBRE DEL AÑO 2018</t>
  </si>
  <si>
    <t xml:space="preserve">MES   </t>
  </si>
  <si>
    <t>ASEGURADOS FALLECIDOS DEL AÑO 2018 DE QUIENES HAN RECLAMADO PAGOS</t>
  </si>
  <si>
    <t>CASOS DE SEGUROS PEND.DE PAGO DE OTROS AÑOS, PAGADOS EN EL 2018</t>
  </si>
  <si>
    <t>Nº DE BENEF. A LOS QUE SE LES HA PAGADO</t>
  </si>
  <si>
    <t>FALLECIDOS MUJERES</t>
  </si>
  <si>
    <t>FALLECIDOS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</si>
  <si>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</si>
  <si>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</si>
  <si>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</si>
  <si>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</si>
  <si>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</si>
  <si>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</si>
  <si>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</si>
  <si>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</si>
  <si>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</si>
  <si>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 xml:space="preserve">AL PAGAR INCAPACIDAD TOTAL Y PERMANENTE, MONTOS PAGADOS POR LOS ASEGURADOS A TRAVÉS DE LAS CUOTAS MENSUALES EN  EL SVO 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</si>
  <si>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</si>
  <si>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</si>
  <si>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</si>
  <si>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</si>
  <si>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</si>
  <si>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</si>
  <si>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</si>
  <si>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</si>
  <si>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</si>
  <si>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</si>
  <si>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</si>
  <si>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</si>
  <si>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</si>
  <si>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</si>
  <si>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 xml:space="preserve">NOTA : </t>
  </si>
  <si>
    <t xml:space="preserve">           Silvia Elena Henríquez Campos</t>
  </si>
  <si>
    <t xml:space="preserve">         Dina Lariza Rivera Menjívar</t>
  </si>
  <si>
    <t xml:space="preserve">               Encargada de  Reclamos</t>
  </si>
  <si>
    <t xml:space="preserve">            Jefa Unidad de Seguros</t>
  </si>
  <si>
    <t>Donde aparece "0" es porque no hubo reclamo. También donde aparece"-" es cantidad cero pero excel por estar trabajando con valores solo pone guión.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</si>
</sst>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11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7" fontId="16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4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Font="1" applyBorder="1"/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1" xfId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top" wrapText="1"/>
    </xf>
    <xf numFmtId="0" fontId="21" fillId="0" borderId="24" xfId="1" applyFont="1" applyBorder="1" applyAlignment="1">
      <alignment horizontal="center" vertical="center" wrapText="1"/>
    </xf>
    <xf numFmtId="17" fontId="14" fillId="0" borderId="4" xfId="1" applyNumberFormat="1" applyFont="1" applyBorder="1" applyAlignment="1">
      <alignment horizontal="left"/>
    </xf>
    <xf numFmtId="0" fontId="17" fillId="0" borderId="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26" xfId="1" applyFont="1" applyBorder="1" applyAlignment="1">
      <alignment horizontal="center"/>
    </xf>
    <xf numFmtId="0" fontId="17" fillId="0" borderId="27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23" fillId="0" borderId="3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164" fontId="1" fillId="0" borderId="0" xfId="1" applyNumberFormat="1" applyBorder="1" applyAlignment="1">
      <alignment horizontal="center"/>
    </xf>
    <xf numFmtId="17" fontId="14" fillId="0" borderId="6" xfId="1" applyNumberFormat="1" applyFont="1" applyBorder="1" applyAlignment="1">
      <alignment horizontal="left"/>
    </xf>
    <xf numFmtId="0" fontId="17" fillId="0" borderId="7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17" fillId="0" borderId="32" xfId="1" applyFont="1" applyBorder="1" applyAlignment="1">
      <alignment horizontal="center"/>
    </xf>
    <xf numFmtId="0" fontId="15" fillId="0" borderId="33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164" fontId="1" fillId="0" borderId="0" xfId="1" applyNumberFormat="1" applyBorder="1" applyAlignment="1">
      <alignment horizontal="right"/>
    </xf>
    <xf numFmtId="0" fontId="17" fillId="0" borderId="10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1" fillId="0" borderId="36" xfId="1" applyFont="1" applyBorder="1" applyAlignment="1">
      <alignment horizontal="center"/>
    </xf>
    <xf numFmtId="0" fontId="23" fillId="0" borderId="3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7" fontId="14" fillId="0" borderId="14" xfId="1" applyNumberFormat="1" applyFont="1" applyBorder="1" applyAlignment="1">
      <alignment horizontal="left"/>
    </xf>
    <xf numFmtId="17" fontId="24" fillId="0" borderId="38" xfId="1" applyNumberFormat="1" applyFont="1" applyBorder="1" applyAlignment="1">
      <alignment horizontal="left"/>
    </xf>
    <xf numFmtId="0" fontId="17" fillId="0" borderId="39" xfId="1" applyFont="1" applyBorder="1" applyAlignment="1">
      <alignment horizontal="center"/>
    </xf>
    <xf numFmtId="0" fontId="15" fillId="0" borderId="39" xfId="1" applyFont="1" applyBorder="1" applyAlignment="1">
      <alignment horizontal="center"/>
    </xf>
    <xf numFmtId="0" fontId="15" fillId="0" borderId="40" xfId="1" applyFont="1" applyBorder="1" applyAlignment="1">
      <alignment horizontal="center"/>
    </xf>
    <xf numFmtId="0" fontId="17" fillId="0" borderId="41" xfId="1" applyFont="1" applyBorder="1" applyAlignment="1">
      <alignment horizontal="center"/>
    </xf>
    <xf numFmtId="0" fontId="15" fillId="0" borderId="42" xfId="1" applyFont="1" applyBorder="1" applyAlignment="1">
      <alignment horizontal="center"/>
    </xf>
    <xf numFmtId="0" fontId="17" fillId="0" borderId="43" xfId="1" applyFont="1" applyBorder="1" applyAlignment="1">
      <alignment horizontal="center"/>
    </xf>
    <xf numFmtId="17" fontId="14" fillId="0" borderId="44" xfId="1" applyNumberFormat="1" applyFont="1" applyBorder="1" applyAlignment="1">
      <alignment horizontal="left"/>
    </xf>
    <xf numFmtId="0" fontId="17" fillId="0" borderId="45" xfId="1" applyFont="1" applyBorder="1" applyAlignment="1">
      <alignment horizontal="center"/>
    </xf>
    <xf numFmtId="0" fontId="15" fillId="0" borderId="45" xfId="1" applyFont="1" applyBorder="1" applyAlignment="1">
      <alignment horizontal="center"/>
    </xf>
    <xf numFmtId="0" fontId="15" fillId="0" borderId="46" xfId="1" applyFont="1" applyBorder="1" applyAlignment="1">
      <alignment horizontal="center"/>
    </xf>
    <xf numFmtId="0" fontId="17" fillId="0" borderId="47" xfId="1" applyFont="1" applyBorder="1" applyAlignment="1">
      <alignment horizontal="center"/>
    </xf>
    <xf numFmtId="0" fontId="15" fillId="0" borderId="48" xfId="1" applyFont="1" applyBorder="1" applyAlignment="1">
      <alignment horizontal="center"/>
    </xf>
    <xf numFmtId="17" fontId="14" fillId="0" borderId="49" xfId="1" applyNumberFormat="1" applyFont="1" applyBorder="1" applyAlignment="1">
      <alignment horizontal="left"/>
    </xf>
    <xf numFmtId="0" fontId="17" fillId="0" borderId="50" xfId="1" applyFont="1" applyBorder="1" applyAlignment="1">
      <alignment horizontal="center"/>
    </xf>
    <xf numFmtId="0" fontId="15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center"/>
    </xf>
    <xf numFmtId="0" fontId="17" fillId="0" borderId="52" xfId="1" applyFont="1" applyBorder="1" applyAlignment="1">
      <alignment horizontal="center"/>
    </xf>
    <xf numFmtId="0" fontId="15" fillId="0" borderId="53" xfId="1" applyFont="1" applyBorder="1" applyAlignment="1">
      <alignment horizontal="center"/>
    </xf>
    <xf numFmtId="17" fontId="24" fillId="0" borderId="54" xfId="1" applyNumberFormat="1" applyFont="1" applyBorder="1" applyAlignment="1">
      <alignment horizontal="left"/>
    </xf>
    <xf numFmtId="0" fontId="17" fillId="0" borderId="55" xfId="1" applyFont="1" applyBorder="1" applyAlignment="1">
      <alignment horizontal="center"/>
    </xf>
    <xf numFmtId="0" fontId="15" fillId="0" borderId="55" xfId="1" applyFont="1" applyBorder="1" applyAlignment="1">
      <alignment horizontal="center"/>
    </xf>
    <xf numFmtId="0" fontId="15" fillId="0" borderId="56" xfId="1" applyFont="1" applyBorder="1" applyAlignment="1">
      <alignment horizontal="center"/>
    </xf>
    <xf numFmtId="0" fontId="17" fillId="0" borderId="57" xfId="1" applyFont="1" applyBorder="1" applyAlignment="1">
      <alignment horizontal="center"/>
    </xf>
    <xf numFmtId="0" fontId="15" fillId="0" borderId="58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0" borderId="60" xfId="1" applyFont="1" applyBorder="1" applyAlignment="1">
      <alignment horizontal="center"/>
    </xf>
    <xf numFmtId="17" fontId="25" fillId="0" borderId="61" xfId="1" applyNumberFormat="1" applyFont="1" applyBorder="1" applyAlignment="1">
      <alignment horizontal="center"/>
    </xf>
    <xf numFmtId="0" fontId="17" fillId="0" borderId="62" xfId="1" applyFont="1" applyBorder="1" applyAlignment="1">
      <alignment horizontal="center"/>
    </xf>
    <xf numFmtId="0" fontId="17" fillId="0" borderId="63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64" xfId="1" applyFont="1" applyBorder="1" applyAlignment="1">
      <alignment horizontal="center"/>
    </xf>
    <xf numFmtId="0" fontId="17" fillId="0" borderId="65" xfId="1" applyFont="1" applyBorder="1" applyAlignment="1">
      <alignment horizontal="center"/>
    </xf>
    <xf numFmtId="0" fontId="26" fillId="0" borderId="66" xfId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9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27" fillId="0" borderId="0" xfId="1" applyFont="1"/>
    <xf numFmtId="0" fontId="11" fillId="0" borderId="0" xfId="1" applyFont="1"/>
    <xf numFmtId="0" fontId="2" fillId="0" borderId="0" xfId="1" applyFont="1"/>
    <xf numFmtId="0" fontId="8" fillId="0" borderId="0" xfId="1" applyFont="1"/>
    <xf numFmtId="0" fontId="11" fillId="0" borderId="0" xfId="1" applyFont="1" applyAlignment="1">
      <alignment horizontal="center"/>
    </xf>
    <xf numFmtId="0" fontId="1" fillId="0" borderId="0" xfId="1" applyFont="1" applyAlignment="1"/>
    <xf numFmtId="0" fontId="11" fillId="0" borderId="0" xfId="1" applyFont="1" applyAlignment="1"/>
    <xf numFmtId="0" fontId="2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2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top" wrapText="1"/>
    </xf>
    <xf numFmtId="17" fontId="14" fillId="0" borderId="0" xfId="1" applyNumberFormat="1" applyFont="1" applyBorder="1" applyAlignment="1">
      <alignment horizontal="left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7" fontId="25" fillId="0" borderId="0" xfId="1" applyNumberFormat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9" fillId="0" borderId="0" xfId="1" applyFont="1" applyBorder="1"/>
    <xf numFmtId="0" fontId="11" fillId="0" borderId="0" xfId="1" applyFont="1" applyBorder="1" applyAlignment="1">
      <alignment horizontal="left"/>
    </xf>
    <xf numFmtId="0" fontId="1" fillId="0" borderId="0" xfId="1" applyBorder="1"/>
    <xf numFmtId="0" fontId="11" fillId="0" borderId="0" xfId="1" applyFont="1" applyBorder="1" applyAlignment="1">
      <alignment horizontal="right"/>
    </xf>
    <xf numFmtId="0" fontId="31" fillId="0" borderId="0" xfId="1" applyFont="1"/>
    <xf numFmtId="0" fontId="1" fillId="0" borderId="67" xfId="1" applyFont="1" applyBorder="1"/>
    <xf numFmtId="0" fontId="33" fillId="0" borderId="71" xfId="1" applyFont="1" applyBorder="1" applyAlignment="1">
      <alignment horizontal="center" vertical="center" wrapText="1"/>
    </xf>
    <xf numFmtId="0" fontId="34" fillId="0" borderId="67" xfId="1" applyFont="1" applyBorder="1" applyAlignment="1">
      <alignment horizontal="center" vertical="center" wrapText="1"/>
    </xf>
    <xf numFmtId="0" fontId="33" fillId="0" borderId="72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3" fillId="0" borderId="74" xfId="1" applyFont="1" applyBorder="1" applyAlignment="1">
      <alignment horizontal="center" vertical="center" wrapText="1"/>
    </xf>
    <xf numFmtId="17" fontId="35" fillId="0" borderId="34" xfId="1" applyNumberFormat="1" applyFont="1" applyBorder="1" applyAlignment="1">
      <alignment horizontal="left"/>
    </xf>
    <xf numFmtId="0" fontId="1" fillId="0" borderId="34" xfId="1" applyFont="1" applyBorder="1" applyAlignment="1">
      <alignment horizontal="center"/>
    </xf>
    <xf numFmtId="165" fontId="1" fillId="0" borderId="34" xfId="2" applyFont="1" applyBorder="1" applyAlignment="1">
      <alignment horizontal="center"/>
    </xf>
    <xf numFmtId="166" fontId="1" fillId="0" borderId="34" xfId="1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right"/>
    </xf>
    <xf numFmtId="165" fontId="0" fillId="0" borderId="34" xfId="2" applyFont="1" applyBorder="1"/>
    <xf numFmtId="164" fontId="1" fillId="0" borderId="0" xfId="1" applyNumberFormat="1" applyFont="1" applyBorder="1" applyAlignment="1">
      <alignment horizontal="right"/>
    </xf>
    <xf numFmtId="165" fontId="36" fillId="0" borderId="34" xfId="2" applyFont="1" applyBorder="1" applyProtection="1">
      <protection locked="0"/>
    </xf>
    <xf numFmtId="166" fontId="1" fillId="0" borderId="0" xfId="1" applyNumberFormat="1" applyBorder="1" applyAlignment="1">
      <alignment horizontal="center"/>
    </xf>
    <xf numFmtId="165" fontId="12" fillId="0" borderId="0" xfId="2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right"/>
    </xf>
    <xf numFmtId="0" fontId="2" fillId="0" borderId="34" xfId="1" applyFont="1" applyBorder="1"/>
    <xf numFmtId="0" fontId="2" fillId="0" borderId="34" xfId="1" applyFont="1" applyBorder="1" applyAlignment="1">
      <alignment horizontal="center"/>
    </xf>
    <xf numFmtId="165" fontId="2" fillId="0" borderId="34" xfId="2" applyFont="1" applyBorder="1" applyAlignment="1">
      <alignment horizontal="center"/>
    </xf>
    <xf numFmtId="166" fontId="2" fillId="0" borderId="34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7" fillId="0" borderId="0" xfId="1" applyFont="1"/>
    <xf numFmtId="165" fontId="1" fillId="0" borderId="0" xfId="1" applyNumberFormat="1"/>
    <xf numFmtId="165" fontId="1" fillId="0" borderId="0" xfId="1" applyNumberFormat="1" applyFont="1"/>
    <xf numFmtId="0" fontId="19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3" fillId="0" borderId="0" xfId="1" applyFont="1"/>
    <xf numFmtId="0" fontId="12" fillId="0" borderId="0" xfId="1" applyFont="1" applyBorder="1" applyAlignment="1">
      <alignment horizontal="left"/>
    </xf>
    <xf numFmtId="0" fontId="34" fillId="0" borderId="74" xfId="1" applyFont="1" applyBorder="1" applyAlignment="1">
      <alignment horizontal="center" vertical="center" wrapText="1"/>
    </xf>
    <xf numFmtId="0" fontId="33" fillId="0" borderId="67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0" fontId="1" fillId="0" borderId="34" xfId="1" applyBorder="1" applyAlignment="1">
      <alignment horizontal="center"/>
    </xf>
    <xf numFmtId="166" fontId="1" fillId="0" borderId="0" xfId="1" applyNumberFormat="1"/>
    <xf numFmtId="164" fontId="38" fillId="0" borderId="0" xfId="1" applyNumberFormat="1" applyFont="1" applyBorder="1" applyAlignment="1">
      <alignment horizontal="left"/>
    </xf>
    <xf numFmtId="166" fontId="1" fillId="0" borderId="34" xfId="1" applyNumberFormat="1" applyBorder="1" applyAlignment="1">
      <alignment horizontal="center"/>
    </xf>
    <xf numFmtId="0" fontId="12" fillId="0" borderId="0" xfId="1" applyFont="1" applyProtection="1">
      <protection locked="0"/>
    </xf>
    <xf numFmtId="0" fontId="3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0" fontId="33" fillId="0" borderId="68" xfId="1" applyFont="1" applyBorder="1" applyAlignment="1">
      <alignment horizontal="center" vertical="center" wrapText="1"/>
    </xf>
    <xf numFmtId="0" fontId="33" fillId="0" borderId="69" xfId="1" applyFont="1" applyBorder="1" applyAlignment="1">
      <alignment horizontal="center" vertical="center" wrapText="1"/>
    </xf>
    <xf numFmtId="0" fontId="33" fillId="0" borderId="70" xfId="1" applyFont="1" applyBorder="1" applyAlignment="1">
      <alignment horizontal="center" vertical="center" wrapText="1"/>
    </xf>
    <xf numFmtId="0" fontId="33" fillId="0" borderId="75" xfId="1" applyFont="1" applyBorder="1" applyAlignment="1">
      <alignment horizontal="center" vertical="center" wrapText="1"/>
    </xf>
    <xf numFmtId="0" fontId="0" fillId="0" borderId="0" xfId="0" applyBorder="1"/>
    <xf numFmtId="0" fontId="22" fillId="0" borderId="76" xfId="0" applyFont="1" applyBorder="1" applyAlignment="1">
      <alignment horizontal="center" wrapText="1" shrinkToFit="1"/>
    </xf>
    <xf numFmtId="0" fontId="22" fillId="0" borderId="77" xfId="0" applyFont="1" applyBorder="1" applyAlignment="1">
      <alignment horizontal="center" wrapText="1" shrinkToFit="1"/>
    </xf>
    <xf numFmtId="0" fontId="12" fillId="0" borderId="78" xfId="0" applyFont="1" applyBorder="1" applyAlignment="1">
      <alignment horizontal="center" wrapText="1" shrinkToFit="1"/>
    </xf>
    <xf numFmtId="0" fontId="4" fillId="0" borderId="79" xfId="0" applyFont="1" applyBorder="1" applyAlignment="1">
      <alignment horizontal="center" wrapText="1" shrinkToFit="1"/>
    </xf>
    <xf numFmtId="0" fontId="4" fillId="0" borderId="80" xfId="0" applyFont="1" applyBorder="1" applyAlignment="1">
      <alignment horizontal="center" wrapText="1" shrinkToFit="1"/>
    </xf>
    <xf numFmtId="0" fontId="12" fillId="0" borderId="81" xfId="0" applyFont="1" applyBorder="1" applyAlignment="1">
      <alignment horizontal="center" wrapText="1" shrinkToFit="1"/>
    </xf>
    <xf numFmtId="0" fontId="20" fillId="0" borderId="80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82" xfId="0" applyNumberFormat="1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165" fontId="19" fillId="0" borderId="83" xfId="2" applyFont="1" applyBorder="1" applyAlignment="1">
      <alignment horizontal="center"/>
    </xf>
    <xf numFmtId="165" fontId="19" fillId="0" borderId="84" xfId="2" applyFont="1" applyBorder="1" applyAlignment="1">
      <alignment horizontal="center"/>
    </xf>
    <xf numFmtId="165" fontId="19" fillId="0" borderId="29" xfId="2" applyFont="1" applyBorder="1" applyAlignment="1">
      <alignment horizontal="center"/>
    </xf>
    <xf numFmtId="165" fontId="19" fillId="0" borderId="34" xfId="2" applyFont="1" applyBorder="1" applyAlignment="1">
      <alignment horizontal="center"/>
    </xf>
    <xf numFmtId="165" fontId="19" fillId="0" borderId="85" xfId="2" applyFont="1" applyBorder="1" applyAlignment="1">
      <alignment horizontal="center"/>
    </xf>
    <xf numFmtId="165" fontId="19" fillId="0" borderId="86" xfId="2" applyFont="1" applyBorder="1" applyAlignment="1">
      <alignment horizontal="center"/>
    </xf>
    <xf numFmtId="164" fontId="0" fillId="0" borderId="0" xfId="0" applyNumberFormat="1"/>
    <xf numFmtId="17" fontId="19" fillId="0" borderId="8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65" fontId="19" fillId="0" borderId="7" xfId="2" applyFont="1" applyBorder="1" applyAlignment="1">
      <alignment horizontal="center"/>
    </xf>
    <xf numFmtId="165" fontId="19" fillId="0" borderId="36" xfId="2" applyFont="1" applyBorder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165" fontId="0" fillId="0" borderId="0" xfId="0" applyNumberFormat="1"/>
    <xf numFmtId="164" fontId="19" fillId="0" borderId="7" xfId="2" applyNumberFormat="1" applyFont="1" applyBorder="1" applyAlignment="1">
      <alignment horizontal="center"/>
    </xf>
    <xf numFmtId="165" fontId="1" fillId="0" borderId="0" xfId="0" applyNumberFormat="1" applyFont="1"/>
    <xf numFmtId="17" fontId="19" fillId="0" borderId="88" xfId="0" applyNumberFormat="1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165" fontId="19" fillId="0" borderId="89" xfId="2" applyFont="1" applyBorder="1" applyAlignment="1">
      <alignment horizontal="center"/>
    </xf>
    <xf numFmtId="165" fontId="19" fillId="0" borderId="91" xfId="2" applyFont="1" applyBorder="1" applyAlignment="1">
      <alignment horizontal="center"/>
    </xf>
    <xf numFmtId="17" fontId="19" fillId="0" borderId="92" xfId="0" applyNumberFormat="1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165" fontId="19" fillId="0" borderId="94" xfId="2" applyFont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17" fontId="19" fillId="0" borderId="95" xfId="0" applyNumberFormat="1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165" fontId="19" fillId="0" borderId="96" xfId="2" applyFont="1" applyBorder="1" applyAlignment="1">
      <alignment horizontal="center"/>
    </xf>
    <xf numFmtId="17" fontId="19" fillId="0" borderId="97" xfId="0" applyNumberFormat="1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165" fontId="19" fillId="0" borderId="98" xfId="2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165" fontId="39" fillId="0" borderId="59" xfId="2" applyFont="1" applyBorder="1" applyAlignment="1">
      <alignment horizontal="center"/>
    </xf>
    <xf numFmtId="165" fontId="19" fillId="0" borderId="100" xfId="2" applyFont="1" applyBorder="1" applyAlignment="1">
      <alignment horizontal="center"/>
    </xf>
    <xf numFmtId="165" fontId="39" fillId="0" borderId="0" xfId="2" applyFont="1" applyFill="1" applyBorder="1" applyAlignment="1">
      <alignment horizontal="center"/>
    </xf>
    <xf numFmtId="0" fontId="20" fillId="0" borderId="0" xfId="0" applyFont="1"/>
    <xf numFmtId="0" fontId="40" fillId="0" borderId="0" xfId="0" applyFont="1"/>
    <xf numFmtId="164" fontId="19" fillId="0" borderId="0" xfId="3" applyNumberFormat="1" applyFont="1"/>
    <xf numFmtId="9" fontId="19" fillId="0" borderId="0" xfId="3" applyFont="1"/>
    <xf numFmtId="165" fontId="11" fillId="0" borderId="0" xfId="3" applyNumberFormat="1" applyFont="1"/>
    <xf numFmtId="164" fontId="40" fillId="0" borderId="0" xfId="0" applyNumberFormat="1" applyFont="1"/>
    <xf numFmtId="9" fontId="11" fillId="0" borderId="0" xfId="3" applyFont="1"/>
    <xf numFmtId="9" fontId="0" fillId="0" borderId="0" xfId="3" applyFont="1"/>
    <xf numFmtId="0" fontId="4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2" fillId="0" borderId="0" xfId="0" applyFont="1"/>
    <xf numFmtId="0" fontId="19" fillId="0" borderId="0" xfId="0" applyFont="1" applyAlignment="1">
      <alignment horizontal="left"/>
    </xf>
    <xf numFmtId="0" fontId="42" fillId="0" borderId="0" xfId="0" applyFont="1" applyBorder="1"/>
    <xf numFmtId="0" fontId="19" fillId="0" borderId="0" xfId="0" applyFont="1" applyBorder="1"/>
    <xf numFmtId="0" fontId="4" fillId="0" borderId="101" xfId="0" applyFont="1" applyBorder="1" applyAlignment="1">
      <alignment horizontal="center" wrapText="1" shrinkToFit="1"/>
    </xf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2</xdr:col>
      <xdr:colOff>495300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0</xdr:rowOff>
    </xdr:from>
    <xdr:to>
      <xdr:col>1</xdr:col>
      <xdr:colOff>476251</xdr:colOff>
      <xdr:row>3</xdr:row>
      <xdr:rowOff>133350</xdr:rowOff>
    </xdr:to>
    <xdr:pic>
      <xdr:nvPicPr>
        <xdr:cNvPr id="2" name="3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0"/>
          <a:ext cx="7429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C34" sqref="C34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201" t="s">
        <v>16</v>
      </c>
      <c r="C6" s="201"/>
      <c r="D6" s="201"/>
      <c r="E6" s="201"/>
      <c r="F6" s="11"/>
    </row>
    <row r="7" spans="2:10" x14ac:dyDescent="0.2">
      <c r="B7" s="201" t="s">
        <v>21</v>
      </c>
      <c r="C7" s="201"/>
      <c r="D7" s="201"/>
      <c r="E7" s="201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thickBot="1" x14ac:dyDescent="0.25">
      <c r="B9" s="22"/>
      <c r="C9" s="200" t="s">
        <v>27</v>
      </c>
      <c r="D9" s="200"/>
      <c r="E9" s="200"/>
      <c r="F9" s="15"/>
      <c r="G9" s="2"/>
      <c r="H9" s="2"/>
      <c r="I9" s="2"/>
      <c r="J9" s="2"/>
    </row>
    <row r="10" spans="2:10" ht="24.95" customHeight="1" thickBot="1" x14ac:dyDescent="0.25">
      <c r="B10" s="24" t="s">
        <v>1</v>
      </c>
      <c r="C10" s="23" t="s">
        <v>2</v>
      </c>
      <c r="D10" s="23" t="s">
        <v>3</v>
      </c>
      <c r="E10" s="33" t="s">
        <v>0</v>
      </c>
      <c r="F10" s="15"/>
      <c r="G10" s="2"/>
      <c r="H10" s="2"/>
      <c r="I10" s="2"/>
      <c r="J10" s="2"/>
    </row>
    <row r="11" spans="2:10" ht="21.95" customHeight="1" x14ac:dyDescent="0.2">
      <c r="B11" s="25" t="s">
        <v>4</v>
      </c>
      <c r="C11" s="26">
        <v>11</v>
      </c>
      <c r="D11" s="26">
        <v>16</v>
      </c>
      <c r="E11" s="38">
        <f>+C11+D11</f>
        <v>27</v>
      </c>
      <c r="F11" s="37"/>
      <c r="G11" s="37"/>
      <c r="H11" s="7"/>
      <c r="I11" s="3"/>
      <c r="J11" s="3"/>
    </row>
    <row r="12" spans="2:10" ht="21.95" customHeight="1" x14ac:dyDescent="0.2">
      <c r="B12" s="27" t="s">
        <v>6</v>
      </c>
      <c r="C12" s="28">
        <v>10</v>
      </c>
      <c r="D12" s="28">
        <v>10</v>
      </c>
      <c r="E12" s="38">
        <f t="shared" ref="E12:E20" si="0">SUM(C12:D12)</f>
        <v>20</v>
      </c>
      <c r="F12" s="16"/>
      <c r="G12" s="4"/>
      <c r="H12" s="3"/>
      <c r="I12" s="3"/>
      <c r="J12" s="3"/>
    </row>
    <row r="13" spans="2:10" ht="21.95" customHeight="1" x14ac:dyDescent="0.2">
      <c r="B13" s="27" t="s">
        <v>7</v>
      </c>
      <c r="C13" s="31">
        <v>4</v>
      </c>
      <c r="D13" s="31">
        <v>13</v>
      </c>
      <c r="E13" s="38">
        <f t="shared" si="0"/>
        <v>17</v>
      </c>
      <c r="F13" s="16"/>
      <c r="G13" s="4"/>
      <c r="H13" s="3"/>
      <c r="I13" s="3" t="s">
        <v>13</v>
      </c>
      <c r="J13" s="3"/>
    </row>
    <row r="14" spans="2:10" ht="21.95" customHeight="1" x14ac:dyDescent="0.2">
      <c r="B14" s="27" t="s">
        <v>8</v>
      </c>
      <c r="C14" s="35">
        <v>11</v>
      </c>
      <c r="D14" s="35">
        <v>14</v>
      </c>
      <c r="E14" s="38">
        <f t="shared" si="0"/>
        <v>25</v>
      </c>
      <c r="F14" s="16"/>
      <c r="G14" s="4"/>
      <c r="H14" s="3"/>
      <c r="I14" s="3"/>
      <c r="J14" s="3"/>
    </row>
    <row r="15" spans="2:10" ht="21.95" customHeight="1" x14ac:dyDescent="0.2">
      <c r="B15" s="27" t="s">
        <v>9</v>
      </c>
      <c r="C15" s="35">
        <v>12</v>
      </c>
      <c r="D15" s="35">
        <v>17</v>
      </c>
      <c r="E15" s="38">
        <f t="shared" si="0"/>
        <v>29</v>
      </c>
      <c r="F15" s="16"/>
      <c r="G15" s="4"/>
      <c r="H15" s="3"/>
      <c r="I15" s="3"/>
      <c r="J15" s="3"/>
    </row>
    <row r="16" spans="2:10" ht="21.95" customHeight="1" x14ac:dyDescent="0.2">
      <c r="B16" s="27" t="s">
        <v>10</v>
      </c>
      <c r="C16" s="28">
        <v>10</v>
      </c>
      <c r="D16" s="28">
        <v>14</v>
      </c>
      <c r="E16" s="38">
        <f t="shared" si="0"/>
        <v>24</v>
      </c>
      <c r="F16" s="16"/>
      <c r="G16" s="4"/>
      <c r="H16" s="3"/>
      <c r="I16" s="3"/>
      <c r="J16" s="3"/>
    </row>
    <row r="17" spans="1:10" ht="21.95" customHeight="1" x14ac:dyDescent="0.2">
      <c r="B17" s="27" t="s">
        <v>11</v>
      </c>
      <c r="C17" s="28">
        <v>12</v>
      </c>
      <c r="D17" s="28">
        <v>11</v>
      </c>
      <c r="E17" s="38">
        <f t="shared" si="0"/>
        <v>23</v>
      </c>
      <c r="F17" s="17"/>
      <c r="G17" s="8"/>
      <c r="H17" s="8"/>
      <c r="I17" s="3"/>
      <c r="J17" s="3"/>
    </row>
    <row r="18" spans="1:10" ht="21.95" customHeight="1" x14ac:dyDescent="0.2">
      <c r="B18" s="27" t="s">
        <v>12</v>
      </c>
      <c r="C18" s="28">
        <v>16</v>
      </c>
      <c r="D18" s="28">
        <v>17</v>
      </c>
      <c r="E18" s="38">
        <f t="shared" si="0"/>
        <v>33</v>
      </c>
      <c r="F18" s="17"/>
      <c r="G18" s="8"/>
      <c r="H18" s="8"/>
      <c r="I18" s="3"/>
      <c r="J18" s="3"/>
    </row>
    <row r="19" spans="1:10" ht="21.95" customHeight="1" x14ac:dyDescent="0.2">
      <c r="B19" s="36" t="s">
        <v>15</v>
      </c>
      <c r="C19" s="31">
        <v>8</v>
      </c>
      <c r="D19" s="31">
        <v>13</v>
      </c>
      <c r="E19" s="38">
        <f t="shared" si="0"/>
        <v>21</v>
      </c>
      <c r="F19" s="17"/>
      <c r="G19" s="8" t="s">
        <v>14</v>
      </c>
      <c r="H19" s="8"/>
      <c r="I19" s="3"/>
      <c r="J19" s="3"/>
    </row>
    <row r="20" spans="1:10" ht="21.95" customHeight="1" x14ac:dyDescent="0.2">
      <c r="B20" s="36" t="s">
        <v>17</v>
      </c>
      <c r="C20" s="31"/>
      <c r="D20" s="31"/>
      <c r="E20" s="38">
        <f t="shared" si="0"/>
        <v>0</v>
      </c>
      <c r="F20" s="17"/>
      <c r="G20" s="8"/>
      <c r="H20" s="8"/>
      <c r="I20" s="3"/>
      <c r="J20" s="3"/>
    </row>
    <row r="21" spans="1:10" ht="21.95" customHeight="1" x14ac:dyDescent="0.2">
      <c r="B21" s="36" t="s">
        <v>18</v>
      </c>
      <c r="C21" s="31"/>
      <c r="D21" s="31"/>
      <c r="E21" s="38">
        <f>SUM(C21:D21)</f>
        <v>0</v>
      </c>
      <c r="F21" s="17"/>
      <c r="G21" s="8"/>
      <c r="H21" s="8"/>
      <c r="I21" s="3"/>
      <c r="J21" s="3"/>
    </row>
    <row r="22" spans="1:10" ht="21.95" customHeight="1" x14ac:dyDescent="0.2">
      <c r="B22" s="36" t="s">
        <v>19</v>
      </c>
      <c r="C22" s="31"/>
      <c r="D22" s="31"/>
      <c r="E22" s="38">
        <f>SUM(C22:D22)</f>
        <v>0</v>
      </c>
      <c r="F22" s="17"/>
      <c r="G22" s="8"/>
      <c r="H22" s="8"/>
      <c r="I22" s="3"/>
      <c r="J22" s="3"/>
    </row>
    <row r="23" spans="1:10" ht="22.5" customHeight="1" thickBot="1" x14ac:dyDescent="0.25">
      <c r="B23" s="29" t="s">
        <v>5</v>
      </c>
      <c r="C23" s="30">
        <f>SUM(C11:C22)</f>
        <v>94</v>
      </c>
      <c r="D23" s="30">
        <f>SUM(D11:D22)</f>
        <v>125</v>
      </c>
      <c r="E23" s="32">
        <f>SUM(E11:E22)</f>
        <v>219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4" t="s">
        <v>28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12"/>
      <c r="C27" s="10"/>
      <c r="D27" s="10"/>
      <c r="E27" s="10"/>
      <c r="F27" s="10"/>
      <c r="G27" s="5"/>
    </row>
    <row r="28" spans="1:10" x14ac:dyDescent="0.2">
      <c r="B28" s="20" t="s">
        <v>14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 t="s">
        <v>20</v>
      </c>
      <c r="B30" s="10"/>
      <c r="C30" s="10"/>
      <c r="D30" s="39" t="s">
        <v>23</v>
      </c>
      <c r="E30" s="39"/>
      <c r="F30" s="10"/>
      <c r="G30" s="5"/>
    </row>
    <row r="31" spans="1:10" x14ac:dyDescent="0.2">
      <c r="A31" s="41" t="s">
        <v>22</v>
      </c>
      <c r="B31" s="14"/>
      <c r="C31" s="10"/>
      <c r="D31" s="39" t="s">
        <v>24</v>
      </c>
      <c r="E31" s="40"/>
      <c r="F31" s="10"/>
      <c r="G31" s="5"/>
    </row>
    <row r="32" spans="1:10" x14ac:dyDescent="0.2">
      <c r="A32" s="14"/>
      <c r="B32" t="s">
        <v>26</v>
      </c>
      <c r="C32" s="10"/>
      <c r="D32" s="19" t="s">
        <v>25</v>
      </c>
      <c r="E32" s="3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E36" s="10"/>
      <c r="F36" s="10"/>
      <c r="G36" s="5"/>
    </row>
    <row r="37" spans="2:7" x14ac:dyDescent="0.2">
      <c r="B37" s="39"/>
      <c r="E37" s="10"/>
      <c r="F37" s="10"/>
      <c r="G37" s="5"/>
    </row>
    <row r="38" spans="2:7" x14ac:dyDescent="0.2">
      <c r="B38" s="10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13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O22" sqref="O22:P22"/>
    </sheetView>
  </sheetViews>
  <sheetFormatPr baseColWidth="10" defaultRowHeight="12.75" x14ac:dyDescent="0.2"/>
  <cols>
    <col min="1" max="1" width="4" style="44" customWidth="1"/>
    <col min="2" max="2" width="11.140625" style="44" customWidth="1"/>
    <col min="3" max="3" width="9.7109375" style="44" customWidth="1"/>
    <col min="4" max="4" width="6.7109375" style="44" customWidth="1"/>
    <col min="5" max="5" width="8.85546875" style="44" customWidth="1"/>
    <col min="6" max="6" width="6.140625" style="44" customWidth="1"/>
    <col min="7" max="7" width="7.28515625" style="44" customWidth="1"/>
    <col min="8" max="8" width="11" style="44" customWidth="1"/>
    <col min="9" max="9" width="8.85546875" style="44" customWidth="1"/>
    <col min="10" max="10" width="6.7109375" style="44" customWidth="1"/>
    <col min="11" max="11" width="8.85546875" style="44" customWidth="1"/>
    <col min="12" max="12" width="6.140625" style="44" customWidth="1"/>
    <col min="13" max="13" width="7.140625" style="44" customWidth="1"/>
    <col min="14" max="14" width="10.5703125" style="44" customWidth="1"/>
    <col min="15" max="15" width="8.7109375" style="44" customWidth="1"/>
    <col min="16" max="16" width="13" style="44" customWidth="1"/>
    <col min="17" max="17" width="10.5703125" style="44" customWidth="1"/>
    <col min="18" max="18" width="11.5703125" style="44" customWidth="1"/>
    <col min="19" max="19" width="10.42578125" style="44" customWidth="1"/>
    <col min="20" max="20" width="11.5703125" style="44" customWidth="1"/>
    <col min="21" max="16384" width="11.42578125" style="44"/>
  </cols>
  <sheetData>
    <row r="1" spans="2:20" x14ac:dyDescent="0.2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20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2:20" x14ac:dyDescent="0.2">
      <c r="B3" s="202" t="s">
        <v>29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2:20" x14ac:dyDescent="0.2">
      <c r="B4" s="202" t="s">
        <v>30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2:20" x14ac:dyDescent="0.2">
      <c r="B5" s="202" t="s">
        <v>31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</row>
    <row r="6" spans="2:20" ht="13.5" thickBot="1" x14ac:dyDescent="0.25">
      <c r="B6" s="45"/>
      <c r="C6" s="45"/>
      <c r="D6" s="45"/>
      <c r="E6" s="45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 t="s">
        <v>14</v>
      </c>
    </row>
    <row r="7" spans="2:20" ht="16.5" customHeight="1" thickBot="1" x14ac:dyDescent="0.25">
      <c r="B7" s="47"/>
      <c r="C7" s="205" t="s">
        <v>32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6"/>
      <c r="P7" s="48"/>
      <c r="Q7" s="49"/>
      <c r="R7" s="49"/>
      <c r="S7" s="49"/>
      <c r="T7" s="49"/>
    </row>
    <row r="8" spans="2:20" ht="15" customHeight="1" thickBot="1" x14ac:dyDescent="0.25">
      <c r="B8" s="50"/>
      <c r="C8" s="207" t="s">
        <v>33</v>
      </c>
      <c r="D8" s="208"/>
      <c r="E8" s="208"/>
      <c r="F8" s="208"/>
      <c r="G8" s="209"/>
      <c r="H8" s="51" t="s">
        <v>34</v>
      </c>
      <c r="I8" s="207" t="s">
        <v>35</v>
      </c>
      <c r="J8" s="208"/>
      <c r="K8" s="208"/>
      <c r="L8" s="208"/>
      <c r="M8" s="209"/>
      <c r="N8" s="52" t="s">
        <v>34</v>
      </c>
      <c r="O8" s="53" t="s">
        <v>34</v>
      </c>
      <c r="P8" s="54" t="s">
        <v>0</v>
      </c>
      <c r="Q8" s="49"/>
      <c r="R8" s="49"/>
      <c r="S8" s="49"/>
      <c r="T8" s="49"/>
    </row>
    <row r="9" spans="2:20" ht="35.25" customHeight="1" thickBot="1" x14ac:dyDescent="0.25">
      <c r="B9" s="55" t="s">
        <v>1</v>
      </c>
      <c r="C9" s="56" t="s">
        <v>36</v>
      </c>
      <c r="D9" s="57" t="s">
        <v>37</v>
      </c>
      <c r="E9" s="57" t="s">
        <v>38</v>
      </c>
      <c r="F9" s="57" t="s">
        <v>39</v>
      </c>
      <c r="G9" s="57" t="s">
        <v>40</v>
      </c>
      <c r="H9" s="58" t="s">
        <v>41</v>
      </c>
      <c r="I9" s="59" t="s">
        <v>42</v>
      </c>
      <c r="J9" s="57" t="s">
        <v>37</v>
      </c>
      <c r="K9" s="57" t="s">
        <v>38</v>
      </c>
      <c r="L9" s="57" t="s">
        <v>39</v>
      </c>
      <c r="M9" s="60" t="s">
        <v>40</v>
      </c>
      <c r="N9" s="58" t="s">
        <v>43</v>
      </c>
      <c r="O9" s="61" t="s">
        <v>44</v>
      </c>
      <c r="P9" s="62" t="s">
        <v>45</v>
      </c>
      <c r="Q9" s="49"/>
      <c r="R9" s="49"/>
      <c r="S9" s="49"/>
      <c r="T9" s="49"/>
    </row>
    <row r="10" spans="2:20" ht="21.95" customHeight="1" thickBot="1" x14ac:dyDescent="0.25">
      <c r="B10" s="63" t="s">
        <v>4</v>
      </c>
      <c r="C10" s="64">
        <v>11</v>
      </c>
      <c r="D10" s="65">
        <v>6</v>
      </c>
      <c r="E10" s="65">
        <v>9</v>
      </c>
      <c r="F10" s="65">
        <v>0</v>
      </c>
      <c r="G10" s="66">
        <v>5</v>
      </c>
      <c r="H10" s="67">
        <f>SUM(D10:G10)</f>
        <v>20</v>
      </c>
      <c r="I10" s="68">
        <v>16</v>
      </c>
      <c r="J10" s="65">
        <v>5</v>
      </c>
      <c r="K10" s="65">
        <v>15</v>
      </c>
      <c r="L10" s="65">
        <v>0</v>
      </c>
      <c r="M10" s="65">
        <v>9</v>
      </c>
      <c r="N10" s="69">
        <f>SUM(J10:M10)</f>
        <v>29</v>
      </c>
      <c r="O10" s="70">
        <f>+C10+I10</f>
        <v>27</v>
      </c>
      <c r="P10" s="71">
        <f t="shared" ref="P10:P21" si="0">+N10+H10</f>
        <v>49</v>
      </c>
      <c r="Q10" s="72"/>
      <c r="R10" s="72"/>
      <c r="S10" s="73"/>
      <c r="T10" s="73"/>
    </row>
    <row r="11" spans="2:20" ht="21.95" customHeight="1" thickBot="1" x14ac:dyDescent="0.25">
      <c r="B11" s="74" t="s">
        <v>6</v>
      </c>
      <c r="C11" s="75">
        <v>10</v>
      </c>
      <c r="D11" s="76">
        <v>2</v>
      </c>
      <c r="E11" s="76">
        <v>10</v>
      </c>
      <c r="F11" s="76">
        <v>0</v>
      </c>
      <c r="G11" s="77">
        <v>4</v>
      </c>
      <c r="H11" s="67">
        <f t="shared" ref="H11:H21" si="1">SUM(D11:G11)</f>
        <v>16</v>
      </c>
      <c r="I11" s="78">
        <v>10</v>
      </c>
      <c r="J11" s="79">
        <v>1</v>
      </c>
      <c r="K11" s="79">
        <v>10</v>
      </c>
      <c r="L11" s="79">
        <v>0</v>
      </c>
      <c r="M11" s="79">
        <v>2</v>
      </c>
      <c r="N11" s="69">
        <f t="shared" ref="N11:N21" si="2">SUM(J11:M11)</f>
        <v>13</v>
      </c>
      <c r="O11" s="80">
        <f t="shared" ref="O11:O21" si="3">+C11+I11</f>
        <v>20</v>
      </c>
      <c r="P11" s="71">
        <f t="shared" si="0"/>
        <v>29</v>
      </c>
      <c r="Q11" s="81"/>
      <c r="R11" s="73"/>
      <c r="S11" s="73"/>
      <c r="T11" s="73"/>
    </row>
    <row r="12" spans="2:20" ht="21.95" customHeight="1" thickBot="1" x14ac:dyDescent="0.25">
      <c r="B12" s="74" t="s">
        <v>7</v>
      </c>
      <c r="C12" s="82">
        <v>4</v>
      </c>
      <c r="D12" s="83">
        <v>2</v>
      </c>
      <c r="E12" s="83">
        <v>2</v>
      </c>
      <c r="F12" s="83">
        <v>1</v>
      </c>
      <c r="G12" s="84">
        <v>1</v>
      </c>
      <c r="H12" s="67">
        <f t="shared" si="1"/>
        <v>6</v>
      </c>
      <c r="I12" s="85">
        <v>13</v>
      </c>
      <c r="J12" s="79">
        <v>2</v>
      </c>
      <c r="K12" s="79">
        <v>11</v>
      </c>
      <c r="L12" s="79">
        <v>0</v>
      </c>
      <c r="M12" s="79">
        <v>1</v>
      </c>
      <c r="N12" s="69">
        <f t="shared" si="2"/>
        <v>14</v>
      </c>
      <c r="O12" s="80">
        <f t="shared" si="3"/>
        <v>17</v>
      </c>
      <c r="P12" s="71">
        <f t="shared" si="0"/>
        <v>20</v>
      </c>
      <c r="Q12" s="81"/>
      <c r="R12" s="73"/>
      <c r="S12" s="73" t="s">
        <v>13</v>
      </c>
      <c r="T12" s="73"/>
    </row>
    <row r="13" spans="2:20" ht="21.95" customHeight="1" thickBot="1" x14ac:dyDescent="0.25">
      <c r="B13" s="74" t="s">
        <v>8</v>
      </c>
      <c r="C13" s="86">
        <v>11</v>
      </c>
      <c r="D13" s="87">
        <v>4</v>
      </c>
      <c r="E13" s="87">
        <v>9</v>
      </c>
      <c r="F13" s="87">
        <v>2</v>
      </c>
      <c r="G13" s="88">
        <v>5</v>
      </c>
      <c r="H13" s="67">
        <f t="shared" si="1"/>
        <v>20</v>
      </c>
      <c r="I13" s="89">
        <v>14</v>
      </c>
      <c r="J13" s="90">
        <v>4</v>
      </c>
      <c r="K13" s="90">
        <v>12</v>
      </c>
      <c r="L13" s="90">
        <v>0</v>
      </c>
      <c r="M13" s="90">
        <v>3</v>
      </c>
      <c r="N13" s="69">
        <f t="shared" si="2"/>
        <v>19</v>
      </c>
      <c r="O13" s="80">
        <f t="shared" si="3"/>
        <v>25</v>
      </c>
      <c r="P13" s="71">
        <f t="shared" si="0"/>
        <v>39</v>
      </c>
      <c r="Q13" s="81"/>
      <c r="R13" s="73"/>
      <c r="S13" s="73"/>
      <c r="T13" s="73"/>
    </row>
    <row r="14" spans="2:20" ht="21.95" customHeight="1" thickBot="1" x14ac:dyDescent="0.25">
      <c r="B14" s="74" t="s">
        <v>9</v>
      </c>
      <c r="C14" s="86">
        <v>12</v>
      </c>
      <c r="D14" s="87">
        <v>8</v>
      </c>
      <c r="E14" s="87">
        <v>11</v>
      </c>
      <c r="F14" s="87">
        <v>0</v>
      </c>
      <c r="G14" s="88">
        <v>6</v>
      </c>
      <c r="H14" s="67">
        <f t="shared" si="1"/>
        <v>25</v>
      </c>
      <c r="I14" s="89">
        <v>17</v>
      </c>
      <c r="J14" s="90">
        <v>6</v>
      </c>
      <c r="K14" s="90">
        <v>14</v>
      </c>
      <c r="L14" s="90">
        <v>1</v>
      </c>
      <c r="M14" s="90">
        <v>5</v>
      </c>
      <c r="N14" s="69">
        <f t="shared" si="2"/>
        <v>26</v>
      </c>
      <c r="O14" s="80">
        <f>+C14+I14</f>
        <v>29</v>
      </c>
      <c r="P14" s="91">
        <f t="shared" si="0"/>
        <v>51</v>
      </c>
      <c r="Q14" s="81"/>
      <c r="R14" s="73"/>
      <c r="S14" s="73"/>
      <c r="T14" s="73"/>
    </row>
    <row r="15" spans="2:20" ht="21.95" customHeight="1" thickBot="1" x14ac:dyDescent="0.25">
      <c r="B15" s="74" t="s">
        <v>10</v>
      </c>
      <c r="C15" s="75">
        <v>10</v>
      </c>
      <c r="D15" s="76">
        <v>4</v>
      </c>
      <c r="E15" s="76">
        <v>8</v>
      </c>
      <c r="F15" s="76">
        <v>1</v>
      </c>
      <c r="G15" s="77">
        <v>2</v>
      </c>
      <c r="H15" s="67">
        <f t="shared" si="1"/>
        <v>15</v>
      </c>
      <c r="I15" s="78">
        <v>14</v>
      </c>
      <c r="J15" s="79">
        <v>8</v>
      </c>
      <c r="K15" s="79">
        <v>11</v>
      </c>
      <c r="L15" s="79">
        <v>1</v>
      </c>
      <c r="M15" s="79">
        <v>4</v>
      </c>
      <c r="N15" s="69">
        <f t="shared" si="2"/>
        <v>24</v>
      </c>
      <c r="O15" s="80">
        <f t="shared" si="3"/>
        <v>24</v>
      </c>
      <c r="P15" s="91">
        <f t="shared" si="0"/>
        <v>39</v>
      </c>
      <c r="Q15" s="81"/>
      <c r="R15" s="73"/>
      <c r="S15" s="73"/>
      <c r="T15" s="73"/>
    </row>
    <row r="16" spans="2:20" ht="21.95" customHeight="1" thickBot="1" x14ac:dyDescent="0.25">
      <c r="B16" s="74" t="s">
        <v>11</v>
      </c>
      <c r="C16" s="75">
        <v>11</v>
      </c>
      <c r="D16" s="76">
        <v>2</v>
      </c>
      <c r="E16" s="76">
        <v>9</v>
      </c>
      <c r="F16" s="76">
        <v>0</v>
      </c>
      <c r="G16" s="77">
        <v>0</v>
      </c>
      <c r="H16" s="67">
        <f t="shared" si="1"/>
        <v>11</v>
      </c>
      <c r="I16" s="78">
        <v>12</v>
      </c>
      <c r="J16" s="79">
        <v>3</v>
      </c>
      <c r="K16" s="79">
        <v>11</v>
      </c>
      <c r="L16" s="79">
        <v>0</v>
      </c>
      <c r="M16" s="79">
        <v>4</v>
      </c>
      <c r="N16" s="69">
        <f t="shared" si="2"/>
        <v>18</v>
      </c>
      <c r="O16" s="80">
        <f t="shared" si="3"/>
        <v>23</v>
      </c>
      <c r="P16" s="91">
        <f t="shared" si="0"/>
        <v>29</v>
      </c>
      <c r="Q16" s="92"/>
      <c r="R16" s="92"/>
      <c r="S16" s="73"/>
      <c r="T16" s="73"/>
    </row>
    <row r="17" spans="2:20" ht="21.95" customHeight="1" thickBot="1" x14ac:dyDescent="0.25">
      <c r="B17" s="93" t="s">
        <v>12</v>
      </c>
      <c r="C17" s="82">
        <v>16</v>
      </c>
      <c r="D17" s="83">
        <v>9</v>
      </c>
      <c r="E17" s="83">
        <v>10</v>
      </c>
      <c r="F17" s="83">
        <v>0</v>
      </c>
      <c r="G17" s="84">
        <v>4</v>
      </c>
      <c r="H17" s="67">
        <f t="shared" si="1"/>
        <v>23</v>
      </c>
      <c r="I17" s="85">
        <v>17</v>
      </c>
      <c r="J17" s="79">
        <v>2</v>
      </c>
      <c r="K17" s="79">
        <v>16</v>
      </c>
      <c r="L17" s="79">
        <v>0</v>
      </c>
      <c r="M17" s="79">
        <v>5</v>
      </c>
      <c r="N17" s="69">
        <f t="shared" si="2"/>
        <v>23</v>
      </c>
      <c r="O17" s="80">
        <f t="shared" si="3"/>
        <v>33</v>
      </c>
      <c r="P17" s="91">
        <f t="shared" si="0"/>
        <v>46</v>
      </c>
      <c r="Q17" s="92"/>
      <c r="R17" s="92"/>
      <c r="S17" s="73"/>
      <c r="T17" s="73"/>
    </row>
    <row r="18" spans="2:20" ht="21.95" customHeight="1" thickBot="1" x14ac:dyDescent="0.25">
      <c r="B18" s="94" t="s">
        <v>15</v>
      </c>
      <c r="C18" s="95">
        <v>8</v>
      </c>
      <c r="D18" s="96">
        <v>3</v>
      </c>
      <c r="E18" s="96">
        <v>5</v>
      </c>
      <c r="F18" s="96">
        <v>0</v>
      </c>
      <c r="G18" s="97">
        <v>2</v>
      </c>
      <c r="H18" s="67">
        <f t="shared" si="1"/>
        <v>10</v>
      </c>
      <c r="I18" s="98">
        <v>13</v>
      </c>
      <c r="J18" s="99">
        <v>7</v>
      </c>
      <c r="K18" s="99">
        <v>12</v>
      </c>
      <c r="L18" s="99">
        <v>1</v>
      </c>
      <c r="M18" s="99">
        <v>7</v>
      </c>
      <c r="N18" s="69">
        <f t="shared" si="2"/>
        <v>27</v>
      </c>
      <c r="O18" s="80">
        <f t="shared" si="3"/>
        <v>21</v>
      </c>
      <c r="P18" s="100">
        <f t="shared" si="0"/>
        <v>37</v>
      </c>
      <c r="Q18" s="92"/>
      <c r="R18" s="92"/>
      <c r="S18" s="73"/>
      <c r="T18" s="73"/>
    </row>
    <row r="19" spans="2:20" ht="21.95" customHeight="1" thickBot="1" x14ac:dyDescent="0.25">
      <c r="B19" s="101" t="s">
        <v>17</v>
      </c>
      <c r="C19" s="102"/>
      <c r="D19" s="103"/>
      <c r="E19" s="103"/>
      <c r="F19" s="103"/>
      <c r="G19" s="104"/>
      <c r="H19" s="67">
        <f t="shared" si="1"/>
        <v>0</v>
      </c>
      <c r="I19" s="105"/>
      <c r="J19" s="106"/>
      <c r="K19" s="106"/>
      <c r="L19" s="106"/>
      <c r="M19" s="106"/>
      <c r="N19" s="69">
        <f t="shared" si="2"/>
        <v>0</v>
      </c>
      <c r="O19" s="80">
        <f t="shared" si="3"/>
        <v>0</v>
      </c>
      <c r="P19" s="100">
        <f t="shared" si="0"/>
        <v>0</v>
      </c>
      <c r="Q19" s="92"/>
      <c r="R19" s="92"/>
      <c r="S19" s="73"/>
      <c r="T19" s="73"/>
    </row>
    <row r="20" spans="2:20" ht="21.95" customHeight="1" thickBot="1" x14ac:dyDescent="0.25">
      <c r="B20" s="107" t="s">
        <v>18</v>
      </c>
      <c r="C20" s="108"/>
      <c r="D20" s="109"/>
      <c r="E20" s="109"/>
      <c r="F20" s="109"/>
      <c r="G20" s="110"/>
      <c r="H20" s="67">
        <f t="shared" si="1"/>
        <v>0</v>
      </c>
      <c r="I20" s="111"/>
      <c r="J20" s="112"/>
      <c r="K20" s="112"/>
      <c r="L20" s="112"/>
      <c r="M20" s="112"/>
      <c r="N20" s="69">
        <f t="shared" si="2"/>
        <v>0</v>
      </c>
      <c r="O20" s="80">
        <f t="shared" si="3"/>
        <v>0</v>
      </c>
      <c r="P20" s="100">
        <f t="shared" si="0"/>
        <v>0</v>
      </c>
      <c r="Q20" s="92"/>
      <c r="R20" s="92"/>
      <c r="S20" s="73"/>
      <c r="T20" s="73"/>
    </row>
    <row r="21" spans="2:20" ht="21.95" customHeight="1" thickBot="1" x14ac:dyDescent="0.25">
      <c r="B21" s="113" t="s">
        <v>19</v>
      </c>
      <c r="C21" s="114"/>
      <c r="D21" s="115"/>
      <c r="E21" s="115"/>
      <c r="F21" s="115"/>
      <c r="G21" s="116"/>
      <c r="H21" s="67">
        <f t="shared" si="1"/>
        <v>0</v>
      </c>
      <c r="I21" s="117"/>
      <c r="J21" s="118"/>
      <c r="K21" s="118"/>
      <c r="L21" s="118"/>
      <c r="M21" s="118"/>
      <c r="N21" s="69">
        <f t="shared" si="2"/>
        <v>0</v>
      </c>
      <c r="O21" s="119">
        <f t="shared" si="3"/>
        <v>0</v>
      </c>
      <c r="P21" s="120">
        <f t="shared" si="0"/>
        <v>0</v>
      </c>
      <c r="Q21" s="92"/>
      <c r="R21" s="92"/>
      <c r="S21" s="73"/>
      <c r="T21" s="73"/>
    </row>
    <row r="22" spans="2:20" ht="17.25" customHeight="1" thickBot="1" x14ac:dyDescent="0.3">
      <c r="B22" s="121" t="s">
        <v>5</v>
      </c>
      <c r="C22" s="122">
        <f t="shared" ref="C22:P22" si="4">SUM(C10:C21)</f>
        <v>93</v>
      </c>
      <c r="D22" s="122">
        <f t="shared" si="4"/>
        <v>40</v>
      </c>
      <c r="E22" s="122">
        <f t="shared" si="4"/>
        <v>73</v>
      </c>
      <c r="F22" s="122">
        <f t="shared" si="4"/>
        <v>4</v>
      </c>
      <c r="G22" s="123">
        <f t="shared" si="4"/>
        <v>29</v>
      </c>
      <c r="H22" s="124">
        <f t="shared" si="4"/>
        <v>146</v>
      </c>
      <c r="I22" s="125">
        <f t="shared" si="4"/>
        <v>126</v>
      </c>
      <c r="J22" s="126">
        <f t="shared" si="4"/>
        <v>38</v>
      </c>
      <c r="K22" s="126">
        <f t="shared" si="4"/>
        <v>112</v>
      </c>
      <c r="L22" s="126">
        <f t="shared" si="4"/>
        <v>3</v>
      </c>
      <c r="M22" s="126">
        <f t="shared" si="4"/>
        <v>40</v>
      </c>
      <c r="N22" s="124">
        <f t="shared" si="4"/>
        <v>193</v>
      </c>
      <c r="O22" s="127">
        <f t="shared" si="4"/>
        <v>219</v>
      </c>
      <c r="P22" s="128">
        <f t="shared" si="4"/>
        <v>339</v>
      </c>
      <c r="Q22" s="92"/>
      <c r="R22" s="92"/>
      <c r="S22" s="73"/>
      <c r="T22" s="73"/>
    </row>
    <row r="23" spans="2:20" ht="14.25" customHeight="1" x14ac:dyDescent="0.2">
      <c r="B23" s="129"/>
      <c r="C23" s="46"/>
      <c r="D23" s="46"/>
      <c r="E23" s="46"/>
      <c r="F23" s="46"/>
      <c r="G23" s="46"/>
      <c r="H23" s="46"/>
      <c r="I23" s="130"/>
      <c r="J23" s="130"/>
      <c r="K23" s="130"/>
      <c r="L23" s="130"/>
      <c r="M23" s="130"/>
      <c r="N23" s="130"/>
      <c r="P23" s="131" t="s">
        <v>28</v>
      </c>
    </row>
    <row r="24" spans="2:20" x14ac:dyDescent="0.2">
      <c r="B24" s="132" t="s">
        <v>46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2:20" x14ac:dyDescent="0.2">
      <c r="B25" s="133"/>
      <c r="C25" s="134"/>
      <c r="D25" s="134"/>
      <c r="E25" s="134"/>
      <c r="F25" s="134"/>
      <c r="G25" s="134"/>
      <c r="H25" s="134"/>
      <c r="I25" s="46"/>
      <c r="J25" s="46"/>
      <c r="K25" s="46"/>
      <c r="L25" s="46"/>
      <c r="M25" s="46"/>
      <c r="N25" s="46"/>
      <c r="O25" s="46"/>
      <c r="P25" s="46"/>
      <c r="Q25" s="135"/>
    </row>
    <row r="26" spans="2:20" x14ac:dyDescent="0.2">
      <c r="B26" s="46" t="s">
        <v>47</v>
      </c>
      <c r="C26" s="13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 t="s">
        <v>48</v>
      </c>
      <c r="O26" s="46"/>
      <c r="P26" s="46"/>
      <c r="Q26" s="135"/>
    </row>
    <row r="27" spans="2:20" x14ac:dyDescent="0.2">
      <c r="B27" s="46" t="s">
        <v>49</v>
      </c>
      <c r="C27" s="136"/>
      <c r="F27" s="46"/>
      <c r="G27" s="46"/>
      <c r="H27" s="46"/>
      <c r="L27" s="46"/>
      <c r="M27" s="46"/>
      <c r="N27" s="46" t="s">
        <v>50</v>
      </c>
      <c r="O27" s="46"/>
      <c r="P27" s="46"/>
      <c r="Q27" s="46"/>
    </row>
    <row r="28" spans="2:20" x14ac:dyDescent="0.2">
      <c r="B28" s="137" t="s">
        <v>51</v>
      </c>
      <c r="C28" s="138"/>
      <c r="D28" s="138"/>
      <c r="F28" s="46"/>
      <c r="G28" s="46"/>
      <c r="H28" s="133"/>
      <c r="I28" s="133"/>
      <c r="J28" s="133"/>
      <c r="K28" s="133"/>
      <c r="L28" s="133"/>
      <c r="M28" s="46"/>
      <c r="N28" s="46" t="s">
        <v>52</v>
      </c>
      <c r="O28" s="133"/>
      <c r="P28" s="133"/>
      <c r="Q28" s="133"/>
    </row>
    <row r="29" spans="2:20" x14ac:dyDescent="0.2">
      <c r="C29" s="13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P29" s="136"/>
      <c r="Q29" s="135"/>
    </row>
    <row r="30" spans="2:20" x14ac:dyDescent="0.2">
      <c r="C30" s="13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P30" s="136"/>
      <c r="Q30" s="135"/>
    </row>
    <row r="31" spans="2:20" ht="15.9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Q31" s="135"/>
    </row>
    <row r="32" spans="2:20" ht="15.95" customHeight="1" x14ac:dyDescent="0.2"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135"/>
    </row>
    <row r="33" spans="1:17" ht="15.95" customHeight="1" x14ac:dyDescent="0.2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135"/>
    </row>
    <row r="34" spans="1:17" ht="15.95" customHeight="1" x14ac:dyDescent="0.2"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</row>
    <row r="35" spans="1:17" ht="15.95" customHeight="1" x14ac:dyDescent="0.2">
      <c r="B35" s="45"/>
      <c r="C35" s="45"/>
      <c r="D35" s="45"/>
      <c r="E35" s="45"/>
      <c r="F35" s="45"/>
      <c r="G35" s="45"/>
      <c r="H35" s="45"/>
      <c r="I35" s="46"/>
      <c r="J35" s="46"/>
      <c r="K35" s="46"/>
      <c r="L35" s="46"/>
      <c r="M35" s="46"/>
      <c r="N35" s="46"/>
      <c r="O35" s="46"/>
      <c r="P35" s="46"/>
    </row>
    <row r="36" spans="1:17" ht="21.95" customHeight="1" x14ac:dyDescent="0.2">
      <c r="B36" s="139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140"/>
    </row>
    <row r="37" spans="1:17" ht="21.95" customHeight="1" x14ac:dyDescent="0.2">
      <c r="B37" s="139"/>
      <c r="C37" s="204"/>
      <c r="D37" s="204"/>
      <c r="E37" s="204"/>
      <c r="F37" s="204"/>
      <c r="G37" s="204"/>
      <c r="H37" s="141"/>
      <c r="I37" s="204"/>
      <c r="J37" s="204"/>
      <c r="K37" s="204"/>
      <c r="L37" s="204"/>
      <c r="M37" s="204"/>
      <c r="N37" s="141"/>
      <c r="O37" s="142"/>
      <c r="P37" s="142"/>
    </row>
    <row r="38" spans="1:17" ht="34.5" customHeight="1" x14ac:dyDescent="0.2">
      <c r="B38" s="139"/>
      <c r="C38" s="49"/>
      <c r="D38" s="143"/>
      <c r="E38" s="143"/>
      <c r="F38" s="143"/>
      <c r="G38" s="143"/>
      <c r="H38" s="49"/>
      <c r="I38" s="144"/>
      <c r="J38" s="143"/>
      <c r="K38" s="143"/>
      <c r="L38" s="143"/>
      <c r="M38" s="143"/>
      <c r="N38" s="49"/>
      <c r="O38" s="145"/>
      <c r="P38" s="142"/>
    </row>
    <row r="39" spans="1:17" ht="21.95" customHeight="1" x14ac:dyDescent="0.2">
      <c r="B39" s="146"/>
      <c r="C39" s="147"/>
      <c r="D39" s="148"/>
      <c r="E39" s="148"/>
      <c r="F39" s="148"/>
      <c r="G39" s="148"/>
      <c r="H39" s="148"/>
      <c r="I39" s="147"/>
      <c r="J39" s="148"/>
      <c r="K39" s="148"/>
      <c r="L39" s="148"/>
      <c r="M39" s="148"/>
      <c r="N39" s="148"/>
      <c r="O39" s="147"/>
      <c r="P39" s="149"/>
    </row>
    <row r="40" spans="1:17" ht="21.95" customHeight="1" x14ac:dyDescent="0.2">
      <c r="B40" s="146"/>
      <c r="C40" s="147"/>
      <c r="D40" s="148"/>
      <c r="E40" s="148"/>
      <c r="F40" s="148"/>
      <c r="G40" s="148"/>
      <c r="H40" s="148"/>
      <c r="I40" s="147"/>
      <c r="J40" s="148"/>
      <c r="K40" s="148"/>
      <c r="L40" s="148"/>
      <c r="M40" s="148"/>
      <c r="N40" s="148"/>
      <c r="O40" s="147"/>
      <c r="P40" s="149"/>
    </row>
    <row r="41" spans="1:17" ht="21.95" customHeight="1" x14ac:dyDescent="0.2">
      <c r="B41" s="146"/>
      <c r="C41" s="147"/>
      <c r="D41" s="148"/>
      <c r="E41" s="148"/>
      <c r="F41" s="148"/>
      <c r="G41" s="148"/>
      <c r="H41" s="148"/>
      <c r="I41" s="147"/>
      <c r="J41" s="148"/>
      <c r="K41" s="148"/>
      <c r="L41" s="148"/>
      <c r="M41" s="148"/>
      <c r="N41" s="148"/>
      <c r="O41" s="147"/>
      <c r="P41" s="149"/>
    </row>
    <row r="42" spans="1:17" ht="21.95" customHeight="1" x14ac:dyDescent="0.2">
      <c r="B42" s="146"/>
      <c r="C42" s="150"/>
      <c r="D42" s="151"/>
      <c r="E42" s="151"/>
      <c r="F42" s="151"/>
      <c r="G42" s="151"/>
      <c r="H42" s="148"/>
      <c r="I42" s="150"/>
      <c r="J42" s="151"/>
      <c r="K42" s="151"/>
      <c r="L42" s="151"/>
      <c r="M42" s="151"/>
      <c r="N42" s="148"/>
      <c r="O42" s="150"/>
      <c r="P42" s="149"/>
    </row>
    <row r="43" spans="1:17" ht="21.95" customHeight="1" x14ac:dyDescent="0.2">
      <c r="B43" s="146"/>
      <c r="C43" s="150"/>
      <c r="D43" s="151"/>
      <c r="E43" s="151"/>
      <c r="F43" s="151"/>
      <c r="G43" s="151"/>
      <c r="H43" s="148"/>
      <c r="I43" s="150"/>
      <c r="J43" s="151"/>
      <c r="K43" s="151"/>
      <c r="L43" s="151"/>
      <c r="M43" s="151"/>
      <c r="N43" s="148"/>
      <c r="O43" s="150"/>
      <c r="P43" s="149"/>
    </row>
    <row r="44" spans="1:17" ht="21.95" customHeight="1" x14ac:dyDescent="0.2">
      <c r="B44" s="146"/>
      <c r="C44" s="147"/>
      <c r="D44" s="148"/>
      <c r="E44" s="148"/>
      <c r="F44" s="148"/>
      <c r="G44" s="148"/>
      <c r="H44" s="148"/>
      <c r="I44" s="147"/>
      <c r="J44" s="148"/>
      <c r="K44" s="148"/>
      <c r="L44" s="148"/>
      <c r="M44" s="148"/>
      <c r="N44" s="148"/>
      <c r="O44" s="150"/>
      <c r="P44" s="149"/>
    </row>
    <row r="45" spans="1:17" ht="21.95" customHeight="1" x14ac:dyDescent="0.2">
      <c r="A45" s="44" t="s">
        <v>13</v>
      </c>
      <c r="B45" s="146"/>
      <c r="C45" s="147"/>
      <c r="D45" s="148"/>
      <c r="E45" s="148"/>
      <c r="F45" s="148"/>
      <c r="G45" s="148"/>
      <c r="H45" s="148"/>
      <c r="I45" s="147"/>
      <c r="J45" s="148"/>
      <c r="K45" s="148"/>
      <c r="L45" s="148"/>
      <c r="M45" s="148"/>
      <c r="N45" s="148"/>
      <c r="O45" s="147"/>
      <c r="P45" s="149"/>
    </row>
    <row r="46" spans="1:17" ht="21.95" customHeight="1" x14ac:dyDescent="0.2">
      <c r="B46" s="146"/>
      <c r="C46" s="147"/>
      <c r="D46" s="148"/>
      <c r="E46" s="148"/>
      <c r="F46" s="148"/>
      <c r="G46" s="148"/>
      <c r="H46" s="148"/>
      <c r="I46" s="147"/>
      <c r="J46" s="148"/>
      <c r="K46" s="148"/>
      <c r="L46" s="148"/>
      <c r="M46" s="148"/>
      <c r="N46" s="148"/>
      <c r="O46" s="147"/>
      <c r="P46" s="149"/>
    </row>
    <row r="47" spans="1:17" ht="21.95" customHeight="1" x14ac:dyDescent="0.2">
      <c r="B47" s="146"/>
      <c r="C47" s="147"/>
      <c r="D47" s="148"/>
      <c r="E47" s="148"/>
      <c r="F47" s="148"/>
      <c r="G47" s="148"/>
      <c r="H47" s="148"/>
      <c r="I47" s="147"/>
      <c r="J47" s="148"/>
      <c r="K47" s="148"/>
      <c r="L47" s="148"/>
      <c r="M47" s="148"/>
      <c r="N47" s="148"/>
      <c r="O47" s="147"/>
      <c r="P47" s="148"/>
    </row>
    <row r="48" spans="1:17" ht="21.95" customHeight="1" x14ac:dyDescent="0.2">
      <c r="B48" s="146"/>
      <c r="C48" s="147"/>
      <c r="D48" s="148"/>
      <c r="E48" s="148"/>
      <c r="F48" s="148"/>
      <c r="G48" s="148"/>
      <c r="H48" s="148"/>
      <c r="I48" s="147"/>
      <c r="J48" s="148"/>
      <c r="K48" s="148"/>
      <c r="L48" s="148"/>
      <c r="M48" s="148"/>
      <c r="N48" s="148"/>
      <c r="O48" s="147"/>
      <c r="P48" s="148"/>
    </row>
    <row r="49" spans="2:16" ht="21.95" customHeight="1" x14ac:dyDescent="0.2">
      <c r="B49" s="146"/>
      <c r="C49" s="147"/>
      <c r="D49" s="148"/>
      <c r="E49" s="148"/>
      <c r="F49" s="148"/>
      <c r="G49" s="148"/>
      <c r="H49" s="148"/>
      <c r="I49" s="147"/>
      <c r="J49" s="148"/>
      <c r="K49" s="148"/>
      <c r="L49" s="148"/>
      <c r="M49" s="148"/>
      <c r="N49" s="148"/>
      <c r="O49" s="147"/>
      <c r="P49" s="148"/>
    </row>
    <row r="50" spans="2:16" ht="21.95" customHeight="1" x14ac:dyDescent="0.2">
      <c r="B50" s="146"/>
      <c r="C50" s="147"/>
      <c r="D50" s="148"/>
      <c r="E50" s="148"/>
      <c r="F50" s="148"/>
      <c r="G50" s="148"/>
      <c r="H50" s="151"/>
      <c r="I50" s="147"/>
      <c r="J50" s="148"/>
      <c r="K50" s="148"/>
      <c r="L50" s="148"/>
      <c r="M50" s="148"/>
      <c r="N50" s="151"/>
      <c r="O50" s="147"/>
      <c r="P50" s="148"/>
    </row>
    <row r="51" spans="2:16" ht="21.95" customHeight="1" x14ac:dyDescent="0.25">
      <c r="B51" s="152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53"/>
      <c r="P51" s="153"/>
    </row>
    <row r="52" spans="2:16" x14ac:dyDescent="0.2">
      <c r="B52" s="154"/>
      <c r="C52" s="45"/>
      <c r="D52" s="45"/>
      <c r="E52" s="45"/>
      <c r="F52" s="45"/>
      <c r="G52" s="45"/>
      <c r="H52" s="45"/>
      <c r="I52" s="155"/>
      <c r="J52" s="155"/>
      <c r="K52" s="155"/>
      <c r="L52" s="155"/>
      <c r="M52" s="155"/>
      <c r="N52" s="155"/>
      <c r="O52" s="156"/>
      <c r="P52" s="157"/>
    </row>
    <row r="53" spans="2:16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2:16" x14ac:dyDescent="0.2">
      <c r="B54" s="133"/>
      <c r="C54" s="134"/>
      <c r="D54" s="134"/>
      <c r="E54" s="134"/>
      <c r="F54" s="134"/>
      <c r="G54" s="134"/>
      <c r="H54" s="134"/>
      <c r="I54" s="46"/>
      <c r="J54" s="46"/>
      <c r="K54" s="46"/>
      <c r="L54" s="46"/>
      <c r="M54" s="46"/>
      <c r="N54" s="46"/>
      <c r="O54" s="46"/>
      <c r="P54" s="46"/>
    </row>
    <row r="55" spans="2:16" x14ac:dyDescent="0.2">
      <c r="B55" s="46"/>
      <c r="C55" s="13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2:16" x14ac:dyDescent="0.2">
      <c r="B56" s="46"/>
      <c r="C56" s="13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spans="2:16" x14ac:dyDescent="0.2">
      <c r="B57" s="138"/>
      <c r="C57" s="138"/>
      <c r="D57" s="138"/>
      <c r="F57" s="46"/>
      <c r="G57" s="46"/>
      <c r="H57" s="46"/>
      <c r="I57" s="46"/>
      <c r="J57" s="46"/>
      <c r="K57" s="46"/>
      <c r="L57" s="46"/>
      <c r="M57" s="46"/>
      <c r="N57" s="46"/>
      <c r="O57" s="136"/>
      <c r="P57" s="46"/>
    </row>
    <row r="58" spans="2:16" x14ac:dyDescent="0.2">
      <c r="C58" s="13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P58" s="136"/>
    </row>
    <row r="59" spans="2:16" x14ac:dyDescent="0.2">
      <c r="C59" s="13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P59" s="136"/>
    </row>
    <row r="60" spans="2:16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</row>
    <row r="61" spans="2:16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spans="2:16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2:16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2:16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spans="2:16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2:16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6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6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spans="2:16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</row>
    <row r="70" spans="2:16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  <row r="71" spans="2:16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</row>
    <row r="72" spans="2:16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</row>
    <row r="73" spans="2:16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</row>
    <row r="74" spans="2:16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</row>
    <row r="75" spans="2:16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spans="2:16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2:16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spans="2:16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</row>
    <row r="79" spans="2:16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</row>
    <row r="80" spans="2:16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</row>
    <row r="81" spans="2:16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spans="2:16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spans="2:16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</row>
    <row r="84" spans="2:16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</row>
  </sheetData>
  <mergeCells count="12">
    <mergeCell ref="B3:P3"/>
    <mergeCell ref="B4:P4"/>
    <mergeCell ref="B5:P5"/>
    <mergeCell ref="C7:O7"/>
    <mergeCell ref="C8:G8"/>
    <mergeCell ref="I8:M8"/>
    <mergeCell ref="B32:P32"/>
    <mergeCell ref="B33:P33"/>
    <mergeCell ref="B34:P34"/>
    <mergeCell ref="C36:O36"/>
    <mergeCell ref="C37:G37"/>
    <mergeCell ref="I37:M37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Normal="100" workbookViewId="0">
      <selection activeCell="B19" sqref="B19"/>
    </sheetView>
  </sheetViews>
  <sheetFormatPr baseColWidth="10" defaultRowHeight="12.75" x14ac:dyDescent="0.2"/>
  <cols>
    <col min="1" max="1" width="7.140625" customWidth="1"/>
    <col min="2" max="2" width="9.28515625" customWidth="1"/>
    <col min="3" max="3" width="7.85546875" customWidth="1"/>
    <col min="4" max="4" width="6" customWidth="1"/>
    <col min="5" max="5" width="6.5703125" customWidth="1"/>
    <col min="6" max="6" width="6.28515625" customWidth="1"/>
    <col min="7" max="7" width="11.85546875" customWidth="1"/>
    <col min="8" max="8" width="13.42578125" customWidth="1"/>
    <col min="9" max="9" width="13.28515625" customWidth="1"/>
    <col min="10" max="10" width="11.42578125" customWidth="1"/>
    <col min="11" max="11" width="10.85546875" customWidth="1"/>
    <col min="12" max="12" width="11.28515625" customWidth="1"/>
    <col min="13" max="13" width="11.42578125" customWidth="1"/>
    <col min="14" max="14" width="11.140625" customWidth="1"/>
    <col min="15" max="15" width="15.85546875" customWidth="1"/>
    <col min="16" max="16" width="15.7109375" customWidth="1"/>
    <col min="17" max="17" width="14.28515625" customWidth="1"/>
    <col min="18" max="18" width="12.42578125" customWidth="1"/>
    <col min="19" max="20" width="12.28515625" bestFit="1" customWidth="1"/>
  </cols>
  <sheetData>
    <row r="1" spans="1:20" x14ac:dyDescent="0.2">
      <c r="A1" s="201" t="s">
        <v>75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0" x14ac:dyDescent="0.2">
      <c r="A2" s="201" t="s">
        <v>76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0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0" ht="12.75" customHeight="1" thickBo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O4" s="215"/>
      <c r="P4" s="215"/>
      <c r="Q4" s="41"/>
    </row>
    <row r="5" spans="1:20" ht="79.5" customHeight="1" thickBot="1" x14ac:dyDescent="0.25">
      <c r="A5" s="216" t="s">
        <v>77</v>
      </c>
      <c r="B5" s="217" t="s">
        <v>78</v>
      </c>
      <c r="C5" s="217" t="s">
        <v>79</v>
      </c>
      <c r="D5" s="217" t="s">
        <v>80</v>
      </c>
      <c r="E5" s="217" t="s">
        <v>81</v>
      </c>
      <c r="F5" s="217" t="s">
        <v>82</v>
      </c>
      <c r="G5" s="217" t="s">
        <v>83</v>
      </c>
      <c r="H5" s="217" t="s">
        <v>84</v>
      </c>
      <c r="I5" s="217" t="s">
        <v>85</v>
      </c>
      <c r="J5" s="217" t="s">
        <v>86</v>
      </c>
      <c r="K5" s="217" t="s">
        <v>87</v>
      </c>
      <c r="L5" s="217" t="s">
        <v>88</v>
      </c>
      <c r="M5" s="218" t="s">
        <v>89</v>
      </c>
      <c r="N5" s="219" t="s">
        <v>90</v>
      </c>
      <c r="O5" s="220" t="s">
        <v>91</v>
      </c>
      <c r="P5" s="278" t="s">
        <v>92</v>
      </c>
      <c r="Q5" s="221" t="s">
        <v>93</v>
      </c>
      <c r="R5" s="222" t="s">
        <v>94</v>
      </c>
      <c r="S5" s="223"/>
    </row>
    <row r="6" spans="1:20" ht="23.1" customHeight="1" x14ac:dyDescent="0.2">
      <c r="A6" s="224" t="s">
        <v>95</v>
      </c>
      <c r="B6" s="225">
        <v>0</v>
      </c>
      <c r="C6" s="225">
        <f>7+5+6+1</f>
        <v>19</v>
      </c>
      <c r="D6" s="225">
        <f>10+25+15+2</f>
        <v>52</v>
      </c>
      <c r="E6" s="225">
        <f>2+2+5</f>
        <v>9</v>
      </c>
      <c r="F6" s="225">
        <v>10</v>
      </c>
      <c r="G6" s="226">
        <f>7371.43+9599.99+6857.14+3428.57</f>
        <v>27257.129999999997</v>
      </c>
      <c r="H6" s="226">
        <f>31886.4+11315.76+23513.63+21988.98+65.3+143.51+112.81+102.4+342.86</f>
        <v>89471.65</v>
      </c>
      <c r="I6" s="226">
        <f>219.25+1101.1+399.2+1329.9+261.36+955.9+1098.68+369.36+491.66+527.93+239.58+227.48+1620.06+529.98+270.72+1103.52+757.46+154.88+854.36+1103.52+305.37+1007.5+752.62+505.78+3658.95+1297.66+58.08+1089</f>
        <v>22290.860000000004</v>
      </c>
      <c r="J6" s="226">
        <v>0</v>
      </c>
      <c r="K6" s="226">
        <v>0</v>
      </c>
      <c r="L6" s="226">
        <f>16*1142.86</f>
        <v>18285.759999999998</v>
      </c>
      <c r="M6" s="227">
        <f>285.72+380.96+1142.86+285.72+285.72+285.7+285.72+285.72+380.96+380.95+380.95+1142.86</f>
        <v>5523.84</v>
      </c>
      <c r="N6" s="228">
        <v>11428.57</v>
      </c>
      <c r="O6" s="228">
        <v>0</v>
      </c>
      <c r="P6" s="228">
        <v>0</v>
      </c>
      <c r="Q6" s="230">
        <f>+SUM(G6:P6)-I6-K6</f>
        <v>151966.95000000001</v>
      </c>
      <c r="R6" s="231">
        <f>+I6+K6+P6</f>
        <v>22290.860000000004</v>
      </c>
      <c r="S6" s="232"/>
    </row>
    <row r="7" spans="1:20" ht="23.1" customHeight="1" x14ac:dyDescent="0.2">
      <c r="A7" s="233" t="s">
        <v>96</v>
      </c>
      <c r="B7" s="234">
        <v>0</v>
      </c>
      <c r="C7" s="234">
        <f>7+7+5+7</f>
        <v>26</v>
      </c>
      <c r="D7" s="234">
        <f>15+24+7+17</f>
        <v>63</v>
      </c>
      <c r="E7" s="234">
        <v>16</v>
      </c>
      <c r="F7" s="234">
        <v>10</v>
      </c>
      <c r="G7" s="235">
        <f>9600+1371.42+6857.14+6171.43</f>
        <v>23999.99</v>
      </c>
      <c r="H7" s="235">
        <f>27577.15+4342.87+13733.25+7085.95</f>
        <v>52739.22</v>
      </c>
      <c r="I7" s="235">
        <v>15334.1</v>
      </c>
      <c r="J7" s="235">
        <v>0</v>
      </c>
      <c r="K7" s="235">
        <v>0</v>
      </c>
      <c r="L7" s="235">
        <f>1142.86*5</f>
        <v>5714.2999999999993</v>
      </c>
      <c r="M7" s="236">
        <f>285.72+285.72+285.72+285.71+190.48+190.48+190.47+380.95+380.96+380.95+400+400+400+400+1142.86</f>
        <v>5600.0199999999995</v>
      </c>
      <c r="N7" s="229">
        <v>0</v>
      </c>
      <c r="O7" s="229">
        <v>0</v>
      </c>
      <c r="P7" s="229">
        <v>0</v>
      </c>
      <c r="Q7" s="230">
        <f t="shared" ref="Q7:Q17" si="0">+SUM(G7:P7)-I7-K7</f>
        <v>88053.530000000013</v>
      </c>
      <c r="R7" s="231">
        <f t="shared" ref="R7:R18" si="1">+I7+K7+P7</f>
        <v>15334.1</v>
      </c>
    </row>
    <row r="8" spans="1:20" ht="23.1" customHeight="1" x14ac:dyDescent="0.2">
      <c r="A8" s="233" t="s">
        <v>97</v>
      </c>
      <c r="B8" s="234">
        <f>4+3+5+1</f>
        <v>13</v>
      </c>
      <c r="C8" s="234">
        <f>4+1+1+3+4</f>
        <v>13</v>
      </c>
      <c r="D8" s="234">
        <f>15+3+8+15+4</f>
        <v>45</v>
      </c>
      <c r="E8" s="234">
        <f>5+1+2+3+4</f>
        <v>15</v>
      </c>
      <c r="F8" s="234">
        <f>3+2+5+1</f>
        <v>11</v>
      </c>
      <c r="G8" s="235">
        <f>10285.71+3771.43+8571.42+3428.57</f>
        <v>26057.129999999997</v>
      </c>
      <c r="H8" s="235">
        <f>58491.41+11428.57+18628.57+13428.57+20571.42</f>
        <v>122548.54000000002</v>
      </c>
      <c r="I8" s="235">
        <v>23815.86</v>
      </c>
      <c r="J8" s="235">
        <v>0</v>
      </c>
      <c r="K8" s="235">
        <v>0</v>
      </c>
      <c r="L8" s="235">
        <f>1142.86*4</f>
        <v>4571.4399999999996</v>
      </c>
      <c r="M8" s="236">
        <f>1142.86+1142.86+285.72+285.7+285.72+285.72+1142.86+285.72+285.7+285.72+285.72</f>
        <v>5714.3</v>
      </c>
      <c r="N8" s="229">
        <v>0</v>
      </c>
      <c r="O8" s="229">
        <v>0</v>
      </c>
      <c r="P8" s="229">
        <v>0</v>
      </c>
      <c r="Q8" s="230">
        <f t="shared" si="0"/>
        <v>158891.41000000003</v>
      </c>
      <c r="R8" s="231">
        <f t="shared" si="1"/>
        <v>23815.86</v>
      </c>
      <c r="S8" s="237"/>
      <c r="T8" s="237"/>
    </row>
    <row r="9" spans="1:20" ht="23.1" customHeight="1" x14ac:dyDescent="0.2">
      <c r="A9" s="233" t="s">
        <v>98</v>
      </c>
      <c r="B9" s="234">
        <f>3+3+1+6+4</f>
        <v>17</v>
      </c>
      <c r="C9" s="234">
        <f>1+1+1+1+2+3</f>
        <v>9</v>
      </c>
      <c r="D9" s="234">
        <v>34</v>
      </c>
      <c r="E9" s="234">
        <f>3+6+1+1+1+3</f>
        <v>15</v>
      </c>
      <c r="F9" s="234">
        <f>4+3+3+1</f>
        <v>11</v>
      </c>
      <c r="G9" s="235">
        <f>3428.57+6857.14+11999.99</f>
        <v>22285.7</v>
      </c>
      <c r="H9" s="235">
        <f>19428.56+27674.25+10285.71+1142.86+8685.71+14476.18</f>
        <v>81693.26999999999</v>
      </c>
      <c r="I9" s="235">
        <v>18844</v>
      </c>
      <c r="J9" s="235">
        <f>1531.43+1142.86</f>
        <v>2674.29</v>
      </c>
      <c r="K9" s="235">
        <v>684.45</v>
      </c>
      <c r="L9" s="235">
        <f>7*1142.86</f>
        <v>8000.0199999999995</v>
      </c>
      <c r="M9" s="236">
        <f>285.7+171.43+171.42+171.43+171.43+571.43+571.43+285.72+285.71+1142.86+1142.86+979.59+163.27</f>
        <v>6114.28</v>
      </c>
      <c r="N9" s="229">
        <v>3428.57</v>
      </c>
      <c r="O9" s="229">
        <v>0</v>
      </c>
      <c r="P9" s="229">
        <v>0</v>
      </c>
      <c r="Q9" s="230">
        <f t="shared" si="0"/>
        <v>124196.12999999999</v>
      </c>
      <c r="R9" s="231">
        <f t="shared" si="1"/>
        <v>19528.45</v>
      </c>
    </row>
    <row r="10" spans="1:20" ht="23.1" customHeight="1" x14ac:dyDescent="0.2">
      <c r="A10" s="233" t="s">
        <v>99</v>
      </c>
      <c r="B10" s="234">
        <f>4+4+5+5</f>
        <v>18</v>
      </c>
      <c r="C10" s="238">
        <f>1+1+1+1+1</f>
        <v>5</v>
      </c>
      <c r="D10" s="234">
        <f>8+3+5+13+17</f>
        <v>46</v>
      </c>
      <c r="E10" s="234">
        <f>4+3+4+5</f>
        <v>16</v>
      </c>
      <c r="F10" s="234">
        <f>1+1+2+2+1</f>
        <v>7</v>
      </c>
      <c r="G10" s="235">
        <f>3428.57+6857.14</f>
        <v>10285.710000000001</v>
      </c>
      <c r="H10" s="235">
        <f>21857.14+6999.93+11432.39+28114.28+33999.99+3428.57</f>
        <v>105832.29999999999</v>
      </c>
      <c r="I10" s="235">
        <v>27260.82</v>
      </c>
      <c r="J10" s="235">
        <v>1142.8599999999999</v>
      </c>
      <c r="K10" s="235">
        <v>180.2</v>
      </c>
      <c r="L10" s="235">
        <f>1142.86*11</f>
        <v>12571.46</v>
      </c>
      <c r="M10" s="236">
        <f>285.7+285.72+285.72+571.43+571.43+285.72+285.72+285.71+1200+571.43+1142.86+285.72+285.72+285.72+285.7+571.43+380.96+380.95+380.95</f>
        <v>8628.590000000002</v>
      </c>
      <c r="N10" s="229">
        <v>3428.57</v>
      </c>
      <c r="O10" s="229">
        <v>0</v>
      </c>
      <c r="P10" s="229">
        <v>0</v>
      </c>
      <c r="Q10" s="230">
        <f t="shared" si="0"/>
        <v>141889.48999999996</v>
      </c>
      <c r="R10" s="231">
        <f t="shared" si="1"/>
        <v>27441.02</v>
      </c>
    </row>
    <row r="11" spans="1:20" ht="23.1" customHeight="1" x14ac:dyDescent="0.2">
      <c r="A11" s="233" t="s">
        <v>100</v>
      </c>
      <c r="B11" s="234">
        <f>6+4+5+10+1</f>
        <v>26</v>
      </c>
      <c r="C11" s="234">
        <f>1+1+2</f>
        <v>4</v>
      </c>
      <c r="D11" s="234">
        <f>18+6+18+20</f>
        <v>62</v>
      </c>
      <c r="E11" s="234">
        <f>4+3+4+7</f>
        <v>18</v>
      </c>
      <c r="F11" s="234">
        <f>3+1+3+5</f>
        <v>12</v>
      </c>
      <c r="G11" s="235">
        <f>10285.71+6000+9428.57+7714.28</f>
        <v>33428.559999999998</v>
      </c>
      <c r="H11" s="235">
        <f>8285.72+15428.57+12000+31634.51+3428.57</f>
        <v>70777.37000000001</v>
      </c>
      <c r="I11" s="235">
        <v>19881.61</v>
      </c>
      <c r="J11" s="235">
        <f>1142.86+2285.71</f>
        <v>3428.5699999999997</v>
      </c>
      <c r="K11" s="235">
        <v>1090.5999999999999</v>
      </c>
      <c r="L11" s="235">
        <f>6*1142.86</f>
        <v>6857.16</v>
      </c>
      <c r="M11" s="236">
        <f>380.95+380.95+380.96+1142.86+1142.86+571.43+342.85+342.86+285.71+285.72+1142.86</f>
        <v>6400.0099999999993</v>
      </c>
      <c r="N11" s="229">
        <v>0</v>
      </c>
      <c r="O11" s="229">
        <v>0</v>
      </c>
      <c r="P11" s="229">
        <v>0</v>
      </c>
      <c r="Q11" s="230">
        <f t="shared" si="0"/>
        <v>120891.67000000003</v>
      </c>
      <c r="R11" s="231">
        <f t="shared" si="1"/>
        <v>20972.21</v>
      </c>
    </row>
    <row r="12" spans="1:20" ht="23.1" customHeight="1" x14ac:dyDescent="0.2">
      <c r="A12" s="233" t="s">
        <v>101</v>
      </c>
      <c r="B12" s="234">
        <f>1+8+5+20</f>
        <v>34</v>
      </c>
      <c r="C12" s="234">
        <f>2+1+3</f>
        <v>6</v>
      </c>
      <c r="D12" s="234">
        <f>5+19+10+46</f>
        <v>80</v>
      </c>
      <c r="E12" s="234">
        <f>5+2+13</f>
        <v>20</v>
      </c>
      <c r="F12" s="234">
        <f>3+4+3+10</f>
        <v>20</v>
      </c>
      <c r="G12" s="235">
        <f>24857.13+13714.28+17314.28+1714.29</f>
        <v>57599.98</v>
      </c>
      <c r="H12" s="235">
        <f>93085.7+36999.99+30171.43+12685.69</f>
        <v>172942.81</v>
      </c>
      <c r="I12" s="235">
        <v>31014.16</v>
      </c>
      <c r="J12" s="235">
        <v>2285.71</v>
      </c>
      <c r="K12" s="235">
        <v>574.4</v>
      </c>
      <c r="L12" s="229">
        <f>1142.86*3</f>
        <v>3428.58</v>
      </c>
      <c r="M12" s="236">
        <v>571.42999999999995</v>
      </c>
      <c r="N12" s="229">
        <v>11428.57</v>
      </c>
      <c r="O12" s="229">
        <v>0</v>
      </c>
      <c r="P12" s="229">
        <v>0</v>
      </c>
      <c r="Q12" s="230">
        <f t="shared" si="0"/>
        <v>248257.08000000007</v>
      </c>
      <c r="R12" s="231">
        <f t="shared" si="1"/>
        <v>31588.560000000001</v>
      </c>
      <c r="S12" s="239"/>
      <c r="T12" s="239"/>
    </row>
    <row r="13" spans="1:20" ht="23.1" customHeight="1" x14ac:dyDescent="0.2">
      <c r="A13" s="233" t="s">
        <v>102</v>
      </c>
      <c r="B13" s="234">
        <f>4+9+11</f>
        <v>24</v>
      </c>
      <c r="C13" s="234">
        <f>3</f>
        <v>3</v>
      </c>
      <c r="D13" s="234">
        <f>14+22+26</f>
        <v>62</v>
      </c>
      <c r="E13" s="234">
        <f>5+5+6</f>
        <v>16</v>
      </c>
      <c r="F13" s="234">
        <f>2+4+5</f>
        <v>11</v>
      </c>
      <c r="G13" s="235">
        <f>11142.85+12171.42+19817.14</f>
        <v>43131.41</v>
      </c>
      <c r="H13" s="235">
        <f>9142.97+36685.72+31257.14</f>
        <v>77085.83</v>
      </c>
      <c r="I13" s="240">
        <v>16427.669999999998</v>
      </c>
      <c r="J13" s="235">
        <v>1142.8599999999999</v>
      </c>
      <c r="K13" s="235">
        <v>1023.15</v>
      </c>
      <c r="L13" s="235">
        <f>1142.86*6</f>
        <v>6857.16</v>
      </c>
      <c r="M13" s="236">
        <f>114.27+114.29+114.29+285.72+380.95+380.95+380.96+1142.86+571.43+571.43+114.29</f>
        <v>4171.4399999999996</v>
      </c>
      <c r="N13" s="229">
        <v>2742.85</v>
      </c>
      <c r="O13" s="229">
        <v>0</v>
      </c>
      <c r="P13" s="229">
        <v>0</v>
      </c>
      <c r="Q13" s="230">
        <f t="shared" si="0"/>
        <v>135131.55000000002</v>
      </c>
      <c r="R13" s="231">
        <f t="shared" si="1"/>
        <v>17450.82</v>
      </c>
      <c r="S13" s="241"/>
    </row>
    <row r="14" spans="1:20" ht="23.1" customHeight="1" x14ac:dyDescent="0.2">
      <c r="A14" s="242" t="s">
        <v>103</v>
      </c>
      <c r="B14" s="243">
        <f>5+2+8+4</f>
        <v>19</v>
      </c>
      <c r="C14" s="244">
        <f>1+1</f>
        <v>2</v>
      </c>
      <c r="D14" s="243">
        <f>6+3+17+10</f>
        <v>36</v>
      </c>
      <c r="E14" s="243">
        <f>2+3+6+2</f>
        <v>13</v>
      </c>
      <c r="F14" s="243">
        <f>4+2+2</f>
        <v>8</v>
      </c>
      <c r="G14" s="245">
        <f>3428.57+3428.57+6857.13+6857.14</f>
        <v>20571.41</v>
      </c>
      <c r="H14" s="245">
        <f>14799.98+14571.42+18262.85+7988.57</f>
        <v>55622.82</v>
      </c>
      <c r="I14" s="245">
        <v>18057.11</v>
      </c>
      <c r="J14" s="245">
        <v>1142.8599999999999</v>
      </c>
      <c r="K14" s="245">
        <v>651.96</v>
      </c>
      <c r="L14" s="245">
        <f>1142.86*9</f>
        <v>10285.74</v>
      </c>
      <c r="M14" s="246">
        <f>1200+571.43+400+400+285.72+285.72+285.72+285.7+1200+380.95+380.95+380.96+257.14+257.14+257.15+300+300+300+300</f>
        <v>8028.58</v>
      </c>
      <c r="N14" s="229">
        <v>0</v>
      </c>
      <c r="O14" s="229">
        <v>0</v>
      </c>
      <c r="P14" s="229">
        <v>0</v>
      </c>
      <c r="Q14" s="230">
        <f t="shared" si="0"/>
        <v>95651.41</v>
      </c>
      <c r="R14" s="231">
        <f t="shared" si="1"/>
        <v>18709.07</v>
      </c>
      <c r="S14" s="239"/>
    </row>
    <row r="15" spans="1:20" ht="23.1" customHeight="1" x14ac:dyDescent="0.2">
      <c r="A15" s="247" t="s">
        <v>104</v>
      </c>
      <c r="B15" s="248"/>
      <c r="C15" s="249"/>
      <c r="D15" s="249"/>
      <c r="E15" s="249"/>
      <c r="F15" s="249"/>
      <c r="G15" s="250"/>
      <c r="H15" s="250"/>
      <c r="I15" s="250"/>
      <c r="J15" s="250"/>
      <c r="K15" s="250"/>
      <c r="L15" s="250"/>
      <c r="M15" s="250"/>
      <c r="N15" s="229"/>
      <c r="O15" s="229"/>
      <c r="P15" s="229"/>
      <c r="Q15" s="230">
        <f t="shared" si="0"/>
        <v>0</v>
      </c>
      <c r="R15" s="231">
        <f t="shared" si="1"/>
        <v>0</v>
      </c>
      <c r="S15" s="251"/>
    </row>
    <row r="16" spans="1:20" ht="23.1" customHeight="1" x14ac:dyDescent="0.2">
      <c r="A16" s="252" t="s">
        <v>105</v>
      </c>
      <c r="B16" s="253"/>
      <c r="C16" s="253"/>
      <c r="D16" s="253"/>
      <c r="E16" s="253"/>
      <c r="F16" s="249"/>
      <c r="G16" s="254"/>
      <c r="H16" s="254"/>
      <c r="I16" s="254"/>
      <c r="J16" s="254"/>
      <c r="K16" s="254"/>
      <c r="L16" s="254"/>
      <c r="M16" s="254"/>
      <c r="N16" s="229"/>
      <c r="O16" s="229"/>
      <c r="P16" s="229"/>
      <c r="Q16" s="230">
        <f t="shared" si="0"/>
        <v>0</v>
      </c>
      <c r="R16" s="231">
        <f t="shared" si="1"/>
        <v>0</v>
      </c>
    </row>
    <row r="17" spans="1:20" ht="23.1" customHeight="1" x14ac:dyDescent="0.2">
      <c r="A17" s="255" t="s">
        <v>106</v>
      </c>
      <c r="B17" s="256"/>
      <c r="C17" s="256"/>
      <c r="D17" s="256"/>
      <c r="E17" s="256"/>
      <c r="F17" s="256"/>
      <c r="G17" s="257"/>
      <c r="H17" s="257"/>
      <c r="I17" s="257"/>
      <c r="J17" s="257"/>
      <c r="K17" s="257"/>
      <c r="L17" s="257"/>
      <c r="M17" s="257"/>
      <c r="N17" s="250"/>
      <c r="O17" s="250"/>
      <c r="P17" s="229"/>
      <c r="Q17" s="230">
        <f t="shared" si="0"/>
        <v>0</v>
      </c>
      <c r="R17" s="231">
        <f t="shared" si="1"/>
        <v>0</v>
      </c>
    </row>
    <row r="18" spans="1:20" ht="35.25" customHeight="1" thickBot="1" x14ac:dyDescent="0.25">
      <c r="A18" s="258" t="s">
        <v>0</v>
      </c>
      <c r="B18" s="259">
        <f>SUM(B8:B17)</f>
        <v>151</v>
      </c>
      <c r="C18" s="259">
        <f>SUM(C6:C17)</f>
        <v>87</v>
      </c>
      <c r="D18" s="259">
        <f>SUM(D6:D17)</f>
        <v>480</v>
      </c>
      <c r="E18" s="259">
        <f>SUM(E6:E17)</f>
        <v>138</v>
      </c>
      <c r="F18" s="259">
        <f>SUM(F6:F17)</f>
        <v>100</v>
      </c>
      <c r="G18" s="260">
        <f t="shared" ref="G18:P18" si="2">SUM(G6:G17)</f>
        <v>264617.02</v>
      </c>
      <c r="H18" s="260">
        <f t="shared" si="2"/>
        <v>828713.80999999994</v>
      </c>
      <c r="I18" s="260">
        <f t="shared" si="2"/>
        <v>192926.19</v>
      </c>
      <c r="J18" s="260">
        <f t="shared" si="2"/>
        <v>11817.150000000001</v>
      </c>
      <c r="K18" s="260">
        <f t="shared" si="2"/>
        <v>4204.76</v>
      </c>
      <c r="L18" s="260">
        <f t="shared" si="2"/>
        <v>76571.62000000001</v>
      </c>
      <c r="M18" s="260">
        <f t="shared" si="2"/>
        <v>50752.490000000005</v>
      </c>
      <c r="N18" s="260">
        <f t="shared" si="2"/>
        <v>32457.129999999997</v>
      </c>
      <c r="O18" s="260">
        <f t="shared" si="2"/>
        <v>0</v>
      </c>
      <c r="P18" s="260">
        <f t="shared" si="2"/>
        <v>0</v>
      </c>
      <c r="Q18" s="260">
        <f>SUM(Q6:Q17)</f>
        <v>1264929.22</v>
      </c>
      <c r="R18" s="261">
        <f t="shared" si="1"/>
        <v>197130.95</v>
      </c>
      <c r="S18" s="262"/>
    </row>
    <row r="19" spans="1:20" ht="24.75" customHeight="1" x14ac:dyDescent="0.2">
      <c r="A19" s="20" t="s">
        <v>107</v>
      </c>
      <c r="B19" s="39" t="s">
        <v>112</v>
      </c>
      <c r="C19" s="263"/>
      <c r="D19" s="263"/>
      <c r="E19" s="263"/>
      <c r="F19" s="263"/>
      <c r="G19" s="39"/>
      <c r="H19" s="263"/>
      <c r="I19" s="263"/>
      <c r="J19" s="39"/>
      <c r="K19" s="39"/>
      <c r="L19" s="39"/>
      <c r="M19" s="39"/>
      <c r="N19" s="39"/>
      <c r="O19" s="41"/>
      <c r="P19" s="41"/>
      <c r="R19" s="264"/>
    </row>
    <row r="20" spans="1:20" x14ac:dyDescent="0.2">
      <c r="A20" s="20"/>
      <c r="B20" s="19"/>
      <c r="C20" s="263"/>
      <c r="D20" s="263"/>
      <c r="E20" s="263"/>
      <c r="F20" s="263"/>
      <c r="G20" s="39"/>
      <c r="H20" s="263"/>
      <c r="I20" s="263"/>
      <c r="J20" s="39"/>
      <c r="K20" s="39"/>
      <c r="L20" s="39"/>
      <c r="M20" s="39"/>
      <c r="N20" s="39"/>
      <c r="O20" s="39"/>
      <c r="P20" s="39"/>
      <c r="Q20" s="265"/>
      <c r="R20" s="264"/>
    </row>
    <row r="21" spans="1:20" x14ac:dyDescent="0.2">
      <c r="A21" s="20"/>
      <c r="B21" s="39"/>
      <c r="C21" s="263"/>
      <c r="D21" s="263"/>
      <c r="E21" s="263"/>
      <c r="F21" s="263"/>
      <c r="G21" s="39"/>
      <c r="H21" s="263"/>
      <c r="I21" s="263"/>
      <c r="J21" s="39"/>
      <c r="K21" s="39"/>
      <c r="L21" s="39"/>
      <c r="M21" s="39"/>
      <c r="N21" s="39"/>
      <c r="O21" s="39"/>
      <c r="P21" s="39"/>
      <c r="Q21" s="266"/>
      <c r="R21" s="264"/>
    </row>
    <row r="22" spans="1:20" x14ac:dyDescent="0.2">
      <c r="A22" s="20"/>
      <c r="B22" s="39"/>
      <c r="C22" s="263"/>
      <c r="D22" s="263"/>
      <c r="E22" s="263"/>
      <c r="F22" s="263"/>
      <c r="G22" s="39"/>
      <c r="H22" s="263"/>
      <c r="I22" s="263"/>
      <c r="J22" s="39"/>
      <c r="K22" s="39"/>
      <c r="L22" s="39"/>
      <c r="M22" s="39"/>
      <c r="N22" s="39"/>
      <c r="O22" s="39"/>
      <c r="P22" s="39"/>
      <c r="Q22" s="267"/>
      <c r="R22" s="268"/>
    </row>
    <row r="23" spans="1:20" x14ac:dyDescent="0.2">
      <c r="A23" s="20"/>
      <c r="B23" s="19"/>
      <c r="C23" s="263"/>
      <c r="D23" s="263"/>
      <c r="E23" s="263"/>
      <c r="F23" s="263"/>
      <c r="G23" s="39"/>
      <c r="H23" s="263"/>
      <c r="I23" s="263"/>
      <c r="J23" s="39"/>
      <c r="K23" s="39"/>
      <c r="L23" s="39"/>
      <c r="M23" s="39"/>
      <c r="N23" s="39"/>
      <c r="O23" s="39"/>
      <c r="P23" s="39"/>
      <c r="Q23" s="267"/>
      <c r="R23" s="268"/>
    </row>
    <row r="24" spans="1:20" x14ac:dyDescent="0.2">
      <c r="A24" s="20"/>
      <c r="B24" s="19"/>
      <c r="C24" s="20"/>
      <c r="D24" s="20"/>
      <c r="E24" s="20"/>
      <c r="F24" s="20"/>
      <c r="G24" s="19"/>
      <c r="H24" s="20"/>
      <c r="I24" s="20"/>
      <c r="J24" s="19"/>
      <c r="K24" s="19"/>
      <c r="L24" s="19"/>
      <c r="M24" s="19"/>
      <c r="N24" s="19"/>
      <c r="O24" s="19"/>
      <c r="P24" s="19"/>
      <c r="Q24" s="269"/>
      <c r="R24" s="5"/>
    </row>
    <row r="25" spans="1:20" x14ac:dyDescent="0.2">
      <c r="A25" s="20"/>
      <c r="B25" s="19"/>
      <c r="C25" s="20"/>
      <c r="D25" s="20"/>
      <c r="E25" s="20"/>
      <c r="F25" s="20"/>
      <c r="G25" s="19"/>
      <c r="H25" s="13"/>
      <c r="I25" s="13"/>
      <c r="Q25" s="270"/>
      <c r="R25" s="5"/>
    </row>
    <row r="26" spans="1:20" x14ac:dyDescent="0.2">
      <c r="A26" s="20"/>
      <c r="B26" s="19"/>
      <c r="C26" s="13"/>
      <c r="D26" s="13"/>
      <c r="E26" s="13"/>
      <c r="F26" s="13"/>
      <c r="G26" s="41"/>
      <c r="H26" s="13"/>
      <c r="I26" s="13"/>
      <c r="Q26" s="270"/>
      <c r="R26" s="5"/>
    </row>
    <row r="27" spans="1:20" x14ac:dyDescent="0.2">
      <c r="A27" s="20"/>
      <c r="B27" s="39"/>
      <c r="C27" s="263"/>
      <c r="D27" s="263"/>
      <c r="E27" s="263"/>
      <c r="F27" s="263"/>
      <c r="G27" s="39"/>
      <c r="H27" s="263"/>
      <c r="I27" s="263"/>
      <c r="J27" s="39"/>
      <c r="K27" s="39"/>
      <c r="L27" s="39"/>
      <c r="M27" s="39"/>
      <c r="Q27" s="270"/>
      <c r="R27" s="5"/>
    </row>
    <row r="28" spans="1:20" x14ac:dyDescent="0.2">
      <c r="A28" s="20"/>
      <c r="B28" s="39"/>
      <c r="C28" s="13"/>
      <c r="D28" s="13"/>
      <c r="E28" s="13"/>
      <c r="F28" s="13"/>
      <c r="G28" s="41"/>
      <c r="H28" s="13"/>
      <c r="I28" s="13"/>
      <c r="Q28" s="270"/>
      <c r="R28" s="5"/>
    </row>
    <row r="29" spans="1:20" x14ac:dyDescent="0.2">
      <c r="A29" s="20"/>
      <c r="B29" s="39"/>
      <c r="C29" s="13"/>
      <c r="D29" s="13"/>
      <c r="E29" s="13"/>
      <c r="F29" s="13"/>
      <c r="G29" s="41"/>
      <c r="H29" s="13"/>
      <c r="I29" s="13"/>
      <c r="Q29" s="270"/>
      <c r="R29" s="5"/>
    </row>
    <row r="30" spans="1:20" x14ac:dyDescent="0.2">
      <c r="A30" s="41" t="s">
        <v>47</v>
      </c>
      <c r="E30" s="271"/>
      <c r="G30" s="239"/>
      <c r="H30" s="239"/>
      <c r="J30" s="239"/>
      <c r="M30" s="41" t="s">
        <v>48</v>
      </c>
      <c r="N30" s="41"/>
      <c r="O30" s="41"/>
      <c r="P30" s="41"/>
      <c r="Q30" s="41"/>
      <c r="T30" s="41" t="s">
        <v>14</v>
      </c>
    </row>
    <row r="31" spans="1:20" x14ac:dyDescent="0.2">
      <c r="A31" s="272" t="s">
        <v>108</v>
      </c>
      <c r="B31" s="273"/>
      <c r="C31" s="41"/>
      <c r="D31" s="41"/>
      <c r="E31" s="274"/>
      <c r="M31" s="41" t="s">
        <v>109</v>
      </c>
      <c r="N31" s="41"/>
    </row>
    <row r="32" spans="1:20" x14ac:dyDescent="0.2">
      <c r="A32" s="275" t="s">
        <v>110</v>
      </c>
      <c r="B32" s="39"/>
      <c r="C32" s="39"/>
      <c r="D32" s="39"/>
      <c r="E32" s="274"/>
      <c r="F32" s="39"/>
      <c r="G32" s="39"/>
      <c r="H32" s="39"/>
      <c r="I32" s="39"/>
      <c r="J32" s="239"/>
      <c r="K32" s="239"/>
      <c r="L32" s="239"/>
      <c r="M32" s="39" t="s">
        <v>111</v>
      </c>
      <c r="N32" s="39"/>
      <c r="O32" s="39"/>
      <c r="P32" s="39"/>
      <c r="Q32" s="34"/>
    </row>
    <row r="33" spans="1:18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15"/>
    </row>
    <row r="34" spans="1:18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</row>
    <row r="35" spans="1:18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15"/>
    </row>
    <row r="36" spans="1:18" x14ac:dyDescent="0.2">
      <c r="A36" s="238"/>
      <c r="B36" s="238"/>
      <c r="C36" s="238"/>
      <c r="D36" s="238"/>
      <c r="E36" s="276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</row>
    <row r="37" spans="1:18" x14ac:dyDescent="0.2">
      <c r="A37" s="238"/>
      <c r="B37" s="238"/>
      <c r="C37" s="238"/>
      <c r="D37" s="238"/>
      <c r="E37" s="276"/>
    </row>
    <row r="38" spans="1:18" x14ac:dyDescent="0.2">
      <c r="A38" s="238"/>
      <c r="B38" s="238"/>
      <c r="C38" s="238"/>
      <c r="D38" s="238"/>
      <c r="E38" s="276"/>
      <c r="F38" s="41"/>
      <c r="G38" s="5"/>
    </row>
    <row r="39" spans="1:18" x14ac:dyDescent="0.2">
      <c r="A39" s="238"/>
      <c r="B39" s="238"/>
      <c r="C39" s="238"/>
      <c r="D39" s="238"/>
      <c r="E39" s="215"/>
      <c r="F39" s="39"/>
      <c r="G39" s="264"/>
      <c r="N39" s="39"/>
      <c r="O39" s="39"/>
      <c r="P39" s="39"/>
      <c r="Q39" s="39"/>
    </row>
    <row r="40" spans="1:18" x14ac:dyDescent="0.2">
      <c r="A40" s="238"/>
      <c r="B40" s="238"/>
      <c r="C40" s="238"/>
      <c r="D40" s="238"/>
      <c r="E40" s="215"/>
    </row>
    <row r="41" spans="1:18" x14ac:dyDescent="0.2">
      <c r="A41" s="238"/>
      <c r="B41" s="238"/>
      <c r="C41" s="238"/>
      <c r="D41" s="238"/>
      <c r="E41" s="215"/>
    </row>
    <row r="42" spans="1:18" x14ac:dyDescent="0.2">
      <c r="A42" s="238"/>
      <c r="B42" s="238"/>
      <c r="C42" s="238"/>
      <c r="D42" s="238"/>
      <c r="E42" s="215"/>
      <c r="R42" s="39"/>
    </row>
    <row r="43" spans="1:18" x14ac:dyDescent="0.2">
      <c r="A43" s="238"/>
      <c r="B43" s="238"/>
      <c r="C43" s="238"/>
      <c r="D43" s="238"/>
      <c r="E43" s="277"/>
      <c r="F43" s="39"/>
      <c r="L43" s="39"/>
      <c r="M43" s="39"/>
      <c r="N43" s="39"/>
      <c r="O43" s="39"/>
      <c r="P43" s="39"/>
      <c r="Q43" s="39"/>
      <c r="R43" s="39"/>
    </row>
    <row r="44" spans="1:18" x14ac:dyDescent="0.2">
      <c r="A44" s="238"/>
      <c r="B44" s="238"/>
      <c r="C44" s="238"/>
      <c r="D44" s="238"/>
      <c r="E44" s="215"/>
    </row>
    <row r="45" spans="1:18" x14ac:dyDescent="0.2">
      <c r="A45" s="238"/>
      <c r="B45" s="238"/>
      <c r="C45" s="238"/>
      <c r="D45" s="238"/>
      <c r="E45" s="215"/>
    </row>
    <row r="46" spans="1:18" x14ac:dyDescent="0.2">
      <c r="B46" s="41"/>
    </row>
    <row r="47" spans="1:18" x14ac:dyDescent="0.2">
      <c r="B47" s="41"/>
    </row>
  </sheetData>
  <mergeCells count="2">
    <mergeCell ref="A1:Q1"/>
    <mergeCell ref="A2:Q2"/>
  </mergeCells>
  <printOptions horizontalCentered="1"/>
  <pageMargins left="0.6692913385826772" right="0.23622047244094491" top="0.39370078740157483" bottom="0.74803149606299213" header="0.31496062992125984" footer="0.31496062992125984"/>
  <pageSetup paperSize="5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zoomScaleNormal="100" workbookViewId="0">
      <selection activeCell="C8" sqref="C8:F8"/>
    </sheetView>
  </sheetViews>
  <sheetFormatPr baseColWidth="10" defaultRowHeight="12.75" x14ac:dyDescent="0.2"/>
  <cols>
    <col min="1" max="1" width="3.5703125" style="44" customWidth="1"/>
    <col min="2" max="2" width="16.28515625" style="44" customWidth="1"/>
    <col min="3" max="3" width="15" style="44" customWidth="1"/>
    <col min="4" max="4" width="11.42578125" style="44"/>
    <col min="5" max="5" width="14.85546875" style="44" customWidth="1"/>
    <col min="6" max="6" width="15.42578125" style="44" customWidth="1"/>
    <col min="7" max="7" width="13.42578125" style="44" customWidth="1"/>
    <col min="8" max="8" width="14.28515625" style="44" customWidth="1"/>
    <col min="9" max="9" width="10.42578125" style="44" customWidth="1"/>
    <col min="10" max="10" width="11.5703125" style="44" customWidth="1"/>
    <col min="11" max="16384" width="11.42578125" style="44"/>
  </cols>
  <sheetData>
    <row r="3" spans="2:10" x14ac:dyDescent="0.2">
      <c r="B3" s="158"/>
    </row>
    <row r="4" spans="2:10" x14ac:dyDescent="0.2">
      <c r="B4" s="43"/>
      <c r="C4" s="43"/>
      <c r="D4" s="43"/>
      <c r="E4" s="43"/>
    </row>
    <row r="5" spans="2:10" x14ac:dyDescent="0.2">
      <c r="B5" s="210" t="s">
        <v>53</v>
      </c>
      <c r="C5" s="210"/>
      <c r="D5" s="210"/>
      <c r="E5" s="210"/>
      <c r="F5" s="210"/>
      <c r="G5" s="46"/>
    </row>
    <row r="6" spans="2:10" x14ac:dyDescent="0.2">
      <c r="B6" s="210" t="s">
        <v>54</v>
      </c>
      <c r="C6" s="210"/>
      <c r="D6" s="210"/>
      <c r="E6" s="210"/>
      <c r="F6" s="210"/>
      <c r="G6" s="46"/>
    </row>
    <row r="7" spans="2:10" x14ac:dyDescent="0.2">
      <c r="B7" s="45"/>
      <c r="C7" s="46"/>
      <c r="D7" s="46"/>
      <c r="E7" s="46"/>
      <c r="F7" s="46"/>
      <c r="G7" s="45"/>
    </row>
    <row r="8" spans="2:10" ht="24.95" customHeight="1" x14ac:dyDescent="0.2">
      <c r="B8" s="159"/>
      <c r="C8" s="211" t="s">
        <v>55</v>
      </c>
      <c r="D8" s="212"/>
      <c r="E8" s="212"/>
      <c r="F8" s="213"/>
      <c r="G8" s="45"/>
    </row>
    <row r="9" spans="2:10" ht="50.25" customHeight="1" x14ac:dyDescent="0.2">
      <c r="B9" s="160" t="s">
        <v>1</v>
      </c>
      <c r="C9" s="161" t="s">
        <v>56</v>
      </c>
      <c r="D9" s="162" t="s">
        <v>57</v>
      </c>
      <c r="E9" s="163" t="s">
        <v>58</v>
      </c>
      <c r="F9" s="164" t="s">
        <v>59</v>
      </c>
      <c r="G9" s="49"/>
      <c r="H9" s="49"/>
      <c r="I9" s="49"/>
      <c r="J9" s="49"/>
    </row>
    <row r="10" spans="2:10" ht="23.1" customHeight="1" x14ac:dyDescent="0.2">
      <c r="B10" s="165" t="s">
        <v>4</v>
      </c>
      <c r="C10" s="166">
        <f>17+27+32</f>
        <v>76</v>
      </c>
      <c r="D10" s="167">
        <f>32.35+23.45+30.05</f>
        <v>85.85</v>
      </c>
      <c r="E10" s="167">
        <f>16740.44+25757.06+26498.61</f>
        <v>68996.11</v>
      </c>
      <c r="F10" s="168">
        <f>15867.88+22846.5+24282.17</f>
        <v>62996.549999999996</v>
      </c>
      <c r="G10" s="169"/>
      <c r="H10" s="73"/>
      <c r="I10" s="73"/>
      <c r="J10" s="73"/>
    </row>
    <row r="11" spans="2:10" ht="23.1" customHeight="1" x14ac:dyDescent="0.2">
      <c r="B11" s="165" t="s">
        <v>6</v>
      </c>
      <c r="C11" s="166">
        <v>63</v>
      </c>
      <c r="D11" s="170">
        <v>65.92</v>
      </c>
      <c r="E11" s="170">
        <v>57381.91</v>
      </c>
      <c r="F11" s="168">
        <v>52594.04</v>
      </c>
      <c r="G11" s="171"/>
      <c r="H11" s="73" t="s">
        <v>14</v>
      </c>
      <c r="I11" s="73"/>
      <c r="J11" s="73"/>
    </row>
    <row r="12" spans="2:10" ht="23.1" customHeight="1" x14ac:dyDescent="0.2">
      <c r="B12" s="165" t="s">
        <v>7</v>
      </c>
      <c r="C12" s="166">
        <f>25+63+10</f>
        <v>98</v>
      </c>
      <c r="D12" s="172">
        <f>20.05+73.94+8.8</f>
        <v>102.78999999999999</v>
      </c>
      <c r="E12" s="172">
        <f>25564.49+54422.22+7899.42</f>
        <v>87886.13</v>
      </c>
      <c r="F12" s="168">
        <f>22675.69+48726.27+7048.23</f>
        <v>78450.189999999988</v>
      </c>
      <c r="G12" s="171"/>
      <c r="H12" s="73" t="s">
        <v>14</v>
      </c>
      <c r="I12" s="73"/>
      <c r="J12" s="73"/>
    </row>
    <row r="13" spans="2:10" ht="23.1" customHeight="1" x14ac:dyDescent="0.2">
      <c r="B13" s="165" t="s">
        <v>8</v>
      </c>
      <c r="C13" s="166">
        <f>9+29+17+17</f>
        <v>72</v>
      </c>
      <c r="D13" s="167">
        <f>25.75+10.36+24.33+37.32</f>
        <v>97.759999999999991</v>
      </c>
      <c r="E13" s="167">
        <f>10416.2+22109.65+17471.26+25640.14</f>
        <v>75637.25</v>
      </c>
      <c r="F13" s="168">
        <f>10090.61+19681.48+16838.49+24277.58</f>
        <v>70888.160000000003</v>
      </c>
      <c r="G13" s="169"/>
      <c r="H13" s="173"/>
      <c r="I13" s="73"/>
      <c r="J13" s="73"/>
    </row>
    <row r="14" spans="2:10" ht="23.1" customHeight="1" x14ac:dyDescent="0.2">
      <c r="B14" s="165" t="s">
        <v>9</v>
      </c>
      <c r="C14" s="166">
        <f>20+29+35</f>
        <v>84</v>
      </c>
      <c r="D14" s="167">
        <f>84.11+28.6+9.29+11.41+5.68</f>
        <v>139.09</v>
      </c>
      <c r="E14" s="167">
        <f>16190.42+41748.25+36178.12+6306</f>
        <v>100422.79000000001</v>
      </c>
      <c r="F14" s="167">
        <f>14415.25+37091.41+34907.87+5908.68</f>
        <v>92323.209999999992</v>
      </c>
      <c r="G14" s="174"/>
      <c r="H14" s="73"/>
      <c r="I14" s="73"/>
      <c r="J14" s="73"/>
    </row>
    <row r="15" spans="2:10" ht="23.1" customHeight="1" x14ac:dyDescent="0.2">
      <c r="B15" s="165" t="s">
        <v>10</v>
      </c>
      <c r="C15" s="166">
        <f>13+25+16</f>
        <v>54</v>
      </c>
      <c r="D15" s="170">
        <f>18.06+28.8+20.13</f>
        <v>66.989999999999995</v>
      </c>
      <c r="E15" s="170">
        <f>18045.25+24322.89+14814.52</f>
        <v>57182.66</v>
      </c>
      <c r="F15" s="168">
        <f>16762.41+22402.27+13275.71</f>
        <v>52440.39</v>
      </c>
      <c r="G15" s="171"/>
      <c r="H15" s="73" t="s">
        <v>14</v>
      </c>
      <c r="I15" s="73"/>
      <c r="J15" s="73"/>
    </row>
    <row r="16" spans="2:10" ht="23.1" customHeight="1" x14ac:dyDescent="0.2">
      <c r="B16" s="165" t="s">
        <v>11</v>
      </c>
      <c r="C16" s="166">
        <f>15+42+10+8</f>
        <v>75</v>
      </c>
      <c r="D16" s="167">
        <f>8.95+56.04+4.68+5.28</f>
        <v>74.949999999999989</v>
      </c>
      <c r="E16" s="167">
        <f>10416.81+40637.4+9457.85+6758.7</f>
        <v>67270.759999999995</v>
      </c>
      <c r="F16" s="168">
        <f>9446.04+36686.65+7997.78+6222.54</f>
        <v>60353.01</v>
      </c>
      <c r="G16" s="171"/>
      <c r="H16" s="173"/>
      <c r="I16" s="175" t="s">
        <v>14</v>
      </c>
      <c r="J16" s="73"/>
    </row>
    <row r="17" spans="1:10" ht="23.1" customHeight="1" x14ac:dyDescent="0.2">
      <c r="B17" s="165" t="s">
        <v>12</v>
      </c>
      <c r="C17" s="166">
        <f>12+51</f>
        <v>63</v>
      </c>
      <c r="D17" s="167">
        <f>27.56+25.15+2.63</f>
        <v>55.339999999999996</v>
      </c>
      <c r="E17" s="167">
        <f>37947.17+15100.24+6954.36</f>
        <v>60001.77</v>
      </c>
      <c r="F17" s="167">
        <f>13961.38+32368.4+6358.1</f>
        <v>52687.88</v>
      </c>
      <c r="G17" s="176"/>
      <c r="H17" s="73"/>
      <c r="I17" s="73"/>
      <c r="J17" s="73"/>
    </row>
    <row r="18" spans="1:10" ht="23.1" customHeight="1" x14ac:dyDescent="0.2">
      <c r="B18" s="165" t="s">
        <v>15</v>
      </c>
      <c r="C18" s="166">
        <v>59</v>
      </c>
      <c r="D18" s="167">
        <v>74.48</v>
      </c>
      <c r="E18" s="167">
        <v>61835.67</v>
      </c>
      <c r="F18" s="167">
        <v>56337.08</v>
      </c>
      <c r="G18" s="176"/>
      <c r="H18" s="73"/>
      <c r="I18" s="73"/>
      <c r="J18" s="73"/>
    </row>
    <row r="19" spans="1:10" ht="23.1" customHeight="1" x14ac:dyDescent="0.2">
      <c r="B19" s="165" t="s">
        <v>17</v>
      </c>
      <c r="C19" s="166"/>
      <c r="D19" s="167"/>
      <c r="E19" s="167"/>
      <c r="F19" s="168"/>
      <c r="G19" s="171"/>
      <c r="H19" s="73"/>
      <c r="I19" s="73" t="s">
        <v>14</v>
      </c>
      <c r="J19" s="73"/>
    </row>
    <row r="20" spans="1:10" ht="23.1" customHeight="1" x14ac:dyDescent="0.2">
      <c r="B20" s="165" t="s">
        <v>18</v>
      </c>
      <c r="C20" s="166"/>
      <c r="D20" s="170"/>
      <c r="E20" s="170"/>
      <c r="F20" s="168"/>
      <c r="G20" s="171"/>
      <c r="H20" s="73"/>
      <c r="I20" s="73"/>
      <c r="J20" s="73" t="s">
        <v>14</v>
      </c>
    </row>
    <row r="21" spans="1:10" ht="23.1" customHeight="1" x14ac:dyDescent="0.2">
      <c r="B21" s="165" t="s">
        <v>19</v>
      </c>
      <c r="C21" s="166"/>
      <c r="D21" s="167"/>
      <c r="E21" s="167"/>
      <c r="F21" s="168"/>
      <c r="G21" s="171"/>
      <c r="H21" s="73"/>
      <c r="I21" s="73"/>
      <c r="J21" s="73"/>
    </row>
    <row r="22" spans="1:10" ht="24.95" customHeight="1" x14ac:dyDescent="0.2">
      <c r="B22" s="177" t="s">
        <v>0</v>
      </c>
      <c r="C22" s="178">
        <f>SUM(C10:C21)</f>
        <v>644</v>
      </c>
      <c r="D22" s="179">
        <f>SUM(D10:D21)</f>
        <v>763.17</v>
      </c>
      <c r="E22" s="179">
        <f>SUM(E10:E21)</f>
        <v>636615.05000000016</v>
      </c>
      <c r="F22" s="180">
        <f>SUM(F10:F21)</f>
        <v>579070.50999999989</v>
      </c>
      <c r="G22" s="181"/>
      <c r="H22" s="181"/>
      <c r="I22" s="181"/>
      <c r="J22" s="181"/>
    </row>
    <row r="23" spans="1:10" ht="18" customHeight="1" x14ac:dyDescent="0.2">
      <c r="B23" s="182"/>
      <c r="C23" s="46"/>
      <c r="D23" s="46"/>
      <c r="E23" s="46"/>
      <c r="F23" s="131" t="s">
        <v>28</v>
      </c>
      <c r="G23" s="46"/>
      <c r="H23" s="44" t="s">
        <v>14</v>
      </c>
    </row>
    <row r="24" spans="1:10" ht="12" customHeight="1" x14ac:dyDescent="0.2">
      <c r="B24" s="46"/>
      <c r="C24" s="46"/>
      <c r="D24" s="46"/>
      <c r="E24" s="46"/>
      <c r="F24" s="46"/>
      <c r="G24" s="46"/>
    </row>
    <row r="25" spans="1:10" x14ac:dyDescent="0.2">
      <c r="B25" s="133"/>
      <c r="C25" s="46"/>
      <c r="D25" s="46"/>
      <c r="E25" s="46"/>
      <c r="F25" s="46"/>
      <c r="G25" s="46"/>
      <c r="H25" s="183"/>
    </row>
    <row r="26" spans="1:10" x14ac:dyDescent="0.2">
      <c r="B26" s="46"/>
      <c r="C26" s="46"/>
      <c r="D26" s="46"/>
      <c r="E26" s="46"/>
      <c r="F26" s="46"/>
      <c r="G26" s="46"/>
    </row>
    <row r="27" spans="1:10" x14ac:dyDescent="0.2">
      <c r="B27" s="133"/>
      <c r="C27" s="46"/>
      <c r="D27" s="46"/>
      <c r="E27" s="46"/>
      <c r="F27" s="46"/>
      <c r="G27" s="46"/>
    </row>
    <row r="28" spans="1:10" x14ac:dyDescent="0.2">
      <c r="B28" s="46"/>
      <c r="C28" s="184"/>
      <c r="D28" s="184"/>
      <c r="E28" s="184"/>
      <c r="F28" s="46"/>
      <c r="G28" s="46"/>
    </row>
    <row r="29" spans="1:10" x14ac:dyDescent="0.2">
      <c r="A29" s="46" t="s">
        <v>47</v>
      </c>
      <c r="D29" s="185"/>
      <c r="E29" s="46" t="s">
        <v>48</v>
      </c>
      <c r="G29" s="46"/>
    </row>
    <row r="30" spans="1:10" x14ac:dyDescent="0.2">
      <c r="A30" s="186" t="s">
        <v>49</v>
      </c>
      <c r="D30" s="46"/>
      <c r="E30" s="46" t="s">
        <v>60</v>
      </c>
      <c r="G30" s="46"/>
    </row>
    <row r="31" spans="1:10" x14ac:dyDescent="0.2">
      <c r="A31" s="133" t="s">
        <v>61</v>
      </c>
      <c r="B31" s="187"/>
      <c r="D31" s="46"/>
      <c r="E31" s="46" t="s">
        <v>62</v>
      </c>
      <c r="G31" s="46"/>
    </row>
    <row r="32" spans="1:10" x14ac:dyDescent="0.2">
      <c r="A32" s="133"/>
      <c r="B32" s="185"/>
      <c r="D32" s="185"/>
      <c r="E32" s="185"/>
      <c r="F32" s="185"/>
      <c r="G32" s="46"/>
    </row>
    <row r="33" spans="2:7" x14ac:dyDescent="0.2">
      <c r="G33" s="46"/>
    </row>
    <row r="34" spans="2:7" x14ac:dyDescent="0.2">
      <c r="G34" s="46"/>
    </row>
    <row r="35" spans="2:7" x14ac:dyDescent="0.2">
      <c r="G35" s="46"/>
    </row>
    <row r="36" spans="2:7" x14ac:dyDescent="0.2">
      <c r="B36" s="46"/>
      <c r="G36" s="46"/>
    </row>
    <row r="37" spans="2:7" x14ac:dyDescent="0.2">
      <c r="B37" s="188"/>
      <c r="C37" s="46"/>
      <c r="D37" s="46"/>
      <c r="E37" s="46"/>
      <c r="F37" s="46"/>
      <c r="G37" s="46"/>
    </row>
    <row r="38" spans="2:7" x14ac:dyDescent="0.2">
      <c r="C38" s="185"/>
      <c r="D38" s="185"/>
      <c r="E38" s="185"/>
      <c r="F38" s="46"/>
      <c r="G38" s="46"/>
    </row>
    <row r="39" spans="2:7" x14ac:dyDescent="0.2">
      <c r="C39" s="185"/>
      <c r="D39" s="185"/>
      <c r="E39" s="185"/>
      <c r="F39" s="46"/>
      <c r="G39" s="46"/>
    </row>
    <row r="40" spans="2:7" x14ac:dyDescent="0.2">
      <c r="B40" s="46"/>
      <c r="C40" s="46"/>
      <c r="D40" s="46"/>
      <c r="E40" s="46"/>
      <c r="F40" s="46"/>
      <c r="G40" s="46"/>
    </row>
    <row r="41" spans="2:7" x14ac:dyDescent="0.2">
      <c r="B41" s="46"/>
      <c r="C41" s="46"/>
      <c r="D41" s="46"/>
      <c r="E41" s="46"/>
      <c r="F41" s="46"/>
      <c r="G41" s="46"/>
    </row>
    <row r="42" spans="2:7" x14ac:dyDescent="0.2">
      <c r="B42" s="46"/>
      <c r="C42" s="46"/>
      <c r="D42" s="46"/>
      <c r="E42" s="46"/>
      <c r="F42" s="46"/>
      <c r="G42" s="46"/>
    </row>
    <row r="43" spans="2:7" x14ac:dyDescent="0.2">
      <c r="B43" s="46"/>
      <c r="C43" s="46"/>
      <c r="D43" s="46"/>
      <c r="E43" s="46"/>
      <c r="F43" s="46"/>
      <c r="G43" s="46"/>
    </row>
    <row r="44" spans="2:7" x14ac:dyDescent="0.2">
      <c r="B44" s="46"/>
      <c r="C44" s="46"/>
      <c r="D44" s="46"/>
      <c r="E44" s="46"/>
      <c r="F44" s="46"/>
      <c r="G44" s="46"/>
    </row>
    <row r="45" spans="2:7" x14ac:dyDescent="0.2">
      <c r="B45" s="46"/>
      <c r="C45" s="46"/>
      <c r="D45" s="46"/>
      <c r="E45" s="46"/>
      <c r="F45" s="46"/>
      <c r="G45" s="46"/>
    </row>
    <row r="46" spans="2:7" x14ac:dyDescent="0.2">
      <c r="B46" s="46"/>
      <c r="C46" s="46"/>
      <c r="D46" s="46"/>
      <c r="E46" s="46"/>
      <c r="F46" s="46"/>
      <c r="G46" s="46"/>
    </row>
    <row r="47" spans="2:7" x14ac:dyDescent="0.2">
      <c r="B47" s="46"/>
      <c r="C47" s="46"/>
      <c r="D47" s="46"/>
      <c r="E47" s="46"/>
      <c r="F47" s="46"/>
      <c r="G47" s="46"/>
    </row>
    <row r="48" spans="2:7" x14ac:dyDescent="0.2">
      <c r="B48" s="46"/>
      <c r="C48" s="46"/>
      <c r="D48" s="46"/>
      <c r="E48" s="46"/>
      <c r="F48" s="46"/>
      <c r="G48" s="46"/>
    </row>
  </sheetData>
  <mergeCells count="3">
    <mergeCell ref="B5:F5"/>
    <mergeCell ref="B6:F6"/>
    <mergeCell ref="C8:F8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6.7109375" style="44" customWidth="1"/>
    <col min="2" max="2" width="15.28515625" style="44" customWidth="1"/>
    <col min="3" max="3" width="13.28515625" style="44" customWidth="1"/>
    <col min="4" max="5" width="13.85546875" style="44" customWidth="1"/>
    <col min="6" max="6" width="14.42578125" style="44" customWidth="1"/>
    <col min="7" max="7" width="13.42578125" style="44" customWidth="1"/>
    <col min="8" max="8" width="13.5703125" style="44" customWidth="1"/>
    <col min="9" max="9" width="10.42578125" style="44" customWidth="1"/>
    <col min="10" max="10" width="12.140625" style="44" customWidth="1"/>
    <col min="11" max="16384" width="11.42578125" style="44"/>
  </cols>
  <sheetData>
    <row r="3" spans="2:11" x14ac:dyDescent="0.2">
      <c r="H3" s="44" t="s">
        <v>14</v>
      </c>
    </row>
    <row r="4" spans="2:11" x14ac:dyDescent="0.2">
      <c r="B4" s="158"/>
    </row>
    <row r="5" spans="2:11" x14ac:dyDescent="0.2">
      <c r="B5" s="43"/>
      <c r="C5" s="43"/>
      <c r="D5" s="43"/>
      <c r="E5" s="43"/>
    </row>
    <row r="6" spans="2:11" x14ac:dyDescent="0.2">
      <c r="B6" s="43"/>
      <c r="C6" s="43"/>
      <c r="D6" s="43"/>
      <c r="E6" s="43"/>
    </row>
    <row r="7" spans="2:11" x14ac:dyDescent="0.2">
      <c r="B7" s="210" t="s">
        <v>63</v>
      </c>
      <c r="C7" s="210"/>
      <c r="D7" s="210"/>
      <c r="E7" s="210"/>
      <c r="F7" s="210"/>
      <c r="G7" s="46"/>
    </row>
    <row r="8" spans="2:11" x14ac:dyDescent="0.2">
      <c r="B8" s="210" t="s">
        <v>64</v>
      </c>
      <c r="C8" s="210"/>
      <c r="D8" s="210"/>
      <c r="E8" s="210"/>
      <c r="F8" s="210"/>
      <c r="G8" s="46"/>
      <c r="H8" s="44" t="s">
        <v>14</v>
      </c>
    </row>
    <row r="9" spans="2:11" x14ac:dyDescent="0.2">
      <c r="B9" s="189"/>
      <c r="C9" s="130"/>
      <c r="D9" s="130"/>
      <c r="E9" s="130"/>
      <c r="F9" s="130"/>
      <c r="G9" s="133"/>
    </row>
    <row r="10" spans="2:11" ht="24.95" customHeight="1" x14ac:dyDescent="0.2">
      <c r="B10" s="159"/>
      <c r="C10" s="211" t="s">
        <v>55</v>
      </c>
      <c r="D10" s="212"/>
      <c r="E10" s="212"/>
      <c r="F10" s="214"/>
      <c r="G10" s="46"/>
      <c r="H10" s="44" t="s">
        <v>14</v>
      </c>
    </row>
    <row r="11" spans="2:11" ht="45" customHeight="1" x14ac:dyDescent="0.2">
      <c r="B11" s="160" t="s">
        <v>1</v>
      </c>
      <c r="C11" s="190" t="s">
        <v>65</v>
      </c>
      <c r="D11" s="162" t="s">
        <v>57</v>
      </c>
      <c r="E11" s="162" t="s">
        <v>66</v>
      </c>
      <c r="F11" s="191" t="s">
        <v>67</v>
      </c>
      <c r="G11" s="49"/>
      <c r="H11" s="49"/>
      <c r="I11" s="49"/>
      <c r="J11" s="49"/>
      <c r="K11" s="192"/>
    </row>
    <row r="12" spans="2:11" ht="23.1" customHeight="1" x14ac:dyDescent="0.2">
      <c r="B12" s="165" t="s">
        <v>4</v>
      </c>
      <c r="C12" s="193">
        <f>10+30+18</f>
        <v>58</v>
      </c>
      <c r="D12" s="168">
        <f>96.77+204.79+127.81</f>
        <v>429.37</v>
      </c>
      <c r="E12" s="168">
        <f>17889.6+48277.38+34059</f>
        <v>100225.98</v>
      </c>
      <c r="F12" s="167">
        <f>18760.37+51223.84+36443.66</f>
        <v>106427.87</v>
      </c>
      <c r="G12" s="194"/>
      <c r="H12" s="46"/>
      <c r="I12" s="73"/>
      <c r="J12" s="169"/>
      <c r="K12" s="173"/>
    </row>
    <row r="13" spans="2:11" ht="23.1" customHeight="1" x14ac:dyDescent="0.2">
      <c r="B13" s="165" t="s">
        <v>6</v>
      </c>
      <c r="C13" s="166">
        <v>45</v>
      </c>
      <c r="D13" s="168">
        <v>303.01</v>
      </c>
      <c r="E13" s="168">
        <v>60549</v>
      </c>
      <c r="F13" s="168">
        <v>63697.08</v>
      </c>
      <c r="G13" s="169"/>
      <c r="H13" s="175"/>
      <c r="I13" s="73"/>
      <c r="J13" s="169"/>
      <c r="K13" s="173"/>
    </row>
    <row r="14" spans="2:11" ht="23.1" customHeight="1" x14ac:dyDescent="0.2">
      <c r="B14" s="165" t="s">
        <v>7</v>
      </c>
      <c r="C14" s="166">
        <f>17+33+7</f>
        <v>57</v>
      </c>
      <c r="D14" s="168">
        <f>197.43+272.55+44.11</f>
        <v>514.09</v>
      </c>
      <c r="E14" s="168">
        <f>26597.4+49275+8130.6</f>
        <v>84003</v>
      </c>
      <c r="F14" s="168">
        <f>28374.02+51727.52+8527.34</f>
        <v>88628.87999999999</v>
      </c>
      <c r="G14" s="169"/>
      <c r="H14" s="73"/>
      <c r="I14" s="73"/>
      <c r="J14" s="169"/>
      <c r="K14" s="173"/>
    </row>
    <row r="15" spans="2:11" ht="23.1" customHeight="1" x14ac:dyDescent="0.2">
      <c r="B15" s="165" t="s">
        <v>8</v>
      </c>
      <c r="C15" s="166">
        <f>8+21+8+11</f>
        <v>48</v>
      </c>
      <c r="D15" s="168">
        <f>73.68+185.79+57.7+70.77</f>
        <v>387.94</v>
      </c>
      <c r="E15" s="168">
        <f>12406.2+36201.6+11423.12+15989.4</f>
        <v>76020.320000000007</v>
      </c>
      <c r="F15" s="168">
        <f>13069.19+38099.94+11942.32+17072.11</f>
        <v>80183.56</v>
      </c>
      <c r="G15" s="169"/>
      <c r="H15" s="73"/>
      <c r="I15" s="73"/>
      <c r="J15" s="169"/>
      <c r="K15" s="173"/>
    </row>
    <row r="16" spans="2:11" ht="23.1" customHeight="1" x14ac:dyDescent="0.2">
      <c r="B16" s="165" t="s">
        <v>9</v>
      </c>
      <c r="C16" s="166">
        <f>12+52+11</f>
        <v>75</v>
      </c>
      <c r="D16" s="168">
        <f>98.24+479.44+65.63+15.84</f>
        <v>659.15</v>
      </c>
      <c r="E16" s="168">
        <f>21495.6+100561.8+11915.4+2698.8</f>
        <v>136671.59999999998</v>
      </c>
      <c r="F16" s="168">
        <f>22758.92+106377.79+12505.82+2841.31</f>
        <v>144483.84</v>
      </c>
      <c r="G16" s="171"/>
      <c r="H16" s="73"/>
      <c r="I16" s="73"/>
      <c r="J16" s="73"/>
    </row>
    <row r="17" spans="1:10" ht="23.1" customHeight="1" x14ac:dyDescent="0.2">
      <c r="B17" s="165" t="s">
        <v>10</v>
      </c>
      <c r="C17" s="166">
        <f>6+11+23+10</f>
        <v>50</v>
      </c>
      <c r="D17" s="170">
        <f>50.75+190.65+56.05</f>
        <v>297.45</v>
      </c>
      <c r="E17" s="170">
        <f>3737.61+14844.6+35236.8+9725.4</f>
        <v>63544.41</v>
      </c>
      <c r="F17" s="168">
        <f>3138.99+15949.27+36952.24+10229.69</f>
        <v>66270.19</v>
      </c>
      <c r="G17" s="171"/>
      <c r="H17" s="73"/>
      <c r="I17" s="73"/>
      <c r="J17" s="73"/>
    </row>
    <row r="18" spans="1:10" ht="23.1" customHeight="1" x14ac:dyDescent="0.25">
      <c r="B18" s="165" t="s">
        <v>68</v>
      </c>
      <c r="C18" s="166">
        <f>8+38+12+8</f>
        <v>66</v>
      </c>
      <c r="D18" s="170">
        <f>59.21+301.58+96.49+65.02</f>
        <v>522.29999999999995</v>
      </c>
      <c r="E18" s="170">
        <f>10836.6+64568.4+17892.6+11921.4</f>
        <v>105219</v>
      </c>
      <c r="F18" s="168">
        <f>11369.37+68841.33+18760.68+12506.42</f>
        <v>111477.8</v>
      </c>
      <c r="G18" s="195"/>
      <c r="H18" s="173"/>
      <c r="I18" s="73"/>
      <c r="J18" s="73"/>
    </row>
    <row r="19" spans="1:10" ht="23.1" customHeight="1" x14ac:dyDescent="0.2">
      <c r="B19" s="165" t="s">
        <v>12</v>
      </c>
      <c r="C19" s="166">
        <f>8+35</f>
        <v>43</v>
      </c>
      <c r="D19" s="168">
        <f>152.24+257.67+38.55</f>
        <v>448.46000000000004</v>
      </c>
      <c r="E19" s="168">
        <f>27049.2+55419.6+7614.6</f>
        <v>90083.400000000009</v>
      </c>
      <c r="F19" s="168">
        <f>28419.2+58599.51+7961.45</f>
        <v>94980.160000000003</v>
      </c>
      <c r="G19" s="169"/>
      <c r="H19" s="73"/>
      <c r="I19" s="73"/>
      <c r="J19" s="73"/>
    </row>
    <row r="20" spans="1:10" ht="23.1" customHeight="1" x14ac:dyDescent="0.2">
      <c r="B20" s="165" t="s">
        <v>15</v>
      </c>
      <c r="C20" s="166">
        <v>80</v>
      </c>
      <c r="D20" s="196">
        <v>706.43</v>
      </c>
      <c r="E20" s="196">
        <v>146833.07999999999</v>
      </c>
      <c r="F20" s="168">
        <v>155865.13</v>
      </c>
      <c r="G20" s="169"/>
      <c r="H20" s="73"/>
      <c r="I20" s="175" t="s">
        <v>14</v>
      </c>
      <c r="J20" s="73"/>
    </row>
    <row r="21" spans="1:10" ht="23.1" customHeight="1" x14ac:dyDescent="0.2">
      <c r="B21" s="165" t="s">
        <v>17</v>
      </c>
      <c r="C21" s="166"/>
      <c r="D21" s="168"/>
      <c r="E21" s="168"/>
      <c r="F21" s="168"/>
      <c r="G21" s="169"/>
      <c r="H21" s="73"/>
      <c r="I21" s="175"/>
      <c r="J21" s="73"/>
    </row>
    <row r="22" spans="1:10" ht="23.1" customHeight="1" x14ac:dyDescent="0.2">
      <c r="B22" s="165" t="s">
        <v>18</v>
      </c>
      <c r="C22" s="166"/>
      <c r="D22" s="168"/>
      <c r="E22" s="168"/>
      <c r="F22" s="168"/>
      <c r="G22" s="171"/>
      <c r="H22" s="73"/>
      <c r="I22" s="175" t="s">
        <v>14</v>
      </c>
      <c r="J22" s="73"/>
    </row>
    <row r="23" spans="1:10" ht="23.1" customHeight="1" x14ac:dyDescent="0.2">
      <c r="B23" s="165" t="s">
        <v>19</v>
      </c>
      <c r="C23" s="166"/>
      <c r="D23" s="170"/>
      <c r="E23" s="170"/>
      <c r="F23" s="170"/>
      <c r="G23" s="171"/>
      <c r="H23" s="73"/>
      <c r="I23" s="175"/>
      <c r="J23" s="73"/>
    </row>
    <row r="24" spans="1:10" ht="24.95" customHeight="1" x14ac:dyDescent="0.2">
      <c r="B24" s="177" t="s">
        <v>0</v>
      </c>
      <c r="C24" s="178">
        <f>SUM(C12:C23)</f>
        <v>522</v>
      </c>
      <c r="D24" s="179">
        <f t="shared" ref="D24:E24" si="0">SUM(D12:D23)</f>
        <v>4268.2</v>
      </c>
      <c r="E24" s="179">
        <f t="shared" si="0"/>
        <v>863149.78999999992</v>
      </c>
      <c r="F24" s="179">
        <f>SUM(F12:F23)</f>
        <v>912014.51</v>
      </c>
      <c r="G24" s="181"/>
      <c r="H24" s="181" t="s">
        <v>14</v>
      </c>
      <c r="I24" s="181"/>
      <c r="J24" s="181"/>
    </row>
    <row r="25" spans="1:10" ht="21" customHeight="1" x14ac:dyDescent="0.2">
      <c r="B25" s="182"/>
      <c r="C25" s="46"/>
      <c r="D25" s="46" t="s">
        <v>69</v>
      </c>
      <c r="E25" s="46"/>
      <c r="F25" s="131"/>
      <c r="G25" s="46"/>
    </row>
    <row r="26" spans="1:10" ht="12" customHeight="1" x14ac:dyDescent="0.2">
      <c r="B26" s="197"/>
      <c r="C26" s="46"/>
      <c r="D26" s="46"/>
      <c r="E26" s="46"/>
      <c r="F26" s="131"/>
      <c r="G26" s="46"/>
    </row>
    <row r="27" spans="1:10" ht="18" x14ac:dyDescent="0.25">
      <c r="A27" s="198"/>
      <c r="B27" s="133"/>
      <c r="C27" s="133"/>
      <c r="D27" s="133"/>
      <c r="E27" s="133"/>
      <c r="F27" s="199"/>
      <c r="G27" s="199"/>
      <c r="H27" s="199"/>
    </row>
    <row r="28" spans="1:10" x14ac:dyDescent="0.2">
      <c r="A28" s="133"/>
      <c r="F28" s="133"/>
      <c r="G28" s="133"/>
      <c r="H28" s="133" t="s">
        <v>14</v>
      </c>
    </row>
    <row r="29" spans="1:10" x14ac:dyDescent="0.2">
      <c r="C29" s="46"/>
      <c r="D29" s="46"/>
      <c r="E29" s="46"/>
      <c r="G29" s="46"/>
    </row>
    <row r="32" spans="1:10" x14ac:dyDescent="0.2">
      <c r="A32" s="46" t="s">
        <v>47</v>
      </c>
      <c r="D32" s="46" t="s">
        <v>70</v>
      </c>
    </row>
    <row r="33" spans="1:8" x14ac:dyDescent="0.2">
      <c r="A33" s="46" t="s">
        <v>71</v>
      </c>
      <c r="B33" s="187"/>
      <c r="D33" s="46"/>
      <c r="E33" s="46" t="s">
        <v>72</v>
      </c>
      <c r="F33" s="46"/>
    </row>
    <row r="34" spans="1:8" x14ac:dyDescent="0.2">
      <c r="A34" s="130" t="s">
        <v>73</v>
      </c>
      <c r="B34" s="46"/>
      <c r="D34" s="46"/>
      <c r="E34" s="46" t="s">
        <v>74</v>
      </c>
      <c r="F34" s="46"/>
      <c r="H34" s="185"/>
    </row>
    <row r="35" spans="1:8" x14ac:dyDescent="0.2">
      <c r="A35" s="136"/>
      <c r="B35" s="136"/>
      <c r="C35" s="136"/>
      <c r="F35" s="46"/>
    </row>
    <row r="36" spans="1:8" x14ac:dyDescent="0.2">
      <c r="B36" s="46"/>
      <c r="C36" s="46"/>
      <c r="D36" s="46"/>
      <c r="E36" s="46"/>
      <c r="F36" s="46"/>
      <c r="G36" s="46"/>
    </row>
    <row r="37" spans="1:8" x14ac:dyDescent="0.2">
      <c r="B37" s="46"/>
      <c r="F37" s="46"/>
      <c r="G37" s="46"/>
    </row>
    <row r="38" spans="1:8" x14ac:dyDescent="0.2">
      <c r="B38" s="46"/>
      <c r="F38" s="46"/>
      <c r="G38" s="46"/>
    </row>
    <row r="39" spans="1:8" x14ac:dyDescent="0.2">
      <c r="B39" s="46"/>
      <c r="F39" s="46"/>
      <c r="G39" s="46"/>
    </row>
    <row r="40" spans="1:8" x14ac:dyDescent="0.2">
      <c r="B40" s="46"/>
      <c r="C40" s="46"/>
      <c r="D40" s="46"/>
      <c r="E40" s="46"/>
      <c r="F40" s="46"/>
      <c r="G40" s="46"/>
    </row>
    <row r="41" spans="1:8" x14ac:dyDescent="0.2">
      <c r="B41" s="46"/>
      <c r="C41" s="46"/>
      <c r="D41" s="46"/>
      <c r="E41" s="46"/>
      <c r="F41" s="46"/>
      <c r="G41" s="46"/>
    </row>
    <row r="42" spans="1:8" x14ac:dyDescent="0.2">
      <c r="B42" s="46"/>
      <c r="C42" s="46"/>
      <c r="D42" s="46"/>
      <c r="E42" s="46"/>
      <c r="F42" s="46"/>
      <c r="G42" s="46"/>
    </row>
    <row r="43" spans="1:8" x14ac:dyDescent="0.2">
      <c r="B43" s="46"/>
      <c r="C43" s="46"/>
      <c r="D43" s="46"/>
      <c r="E43" s="46"/>
      <c r="F43" s="46"/>
      <c r="G43" s="46"/>
    </row>
    <row r="44" spans="1:8" x14ac:dyDescent="0.2">
      <c r="B44" s="46"/>
      <c r="C44" s="46"/>
      <c r="D44" s="46"/>
      <c r="E44" s="46"/>
      <c r="F44" s="46"/>
      <c r="G44" s="46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FALLECIDOS POR SEXO 2018 </vt:lpstr>
      <vt:lpstr>FALLECIDOS POR SEGURO 2018 </vt:lpstr>
      <vt:lpstr>SEGUROS PAGADOS AÑO 2018</vt:lpstr>
      <vt:lpstr>VALORES DE RESCATE PAGADOS 2018</vt:lpstr>
      <vt:lpstr>PAGO DE S.V.D. VENC POLIZA 2018</vt:lpstr>
      <vt:lpstr>'FALLECIDOS POR SEGURO 2018 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2018-10-24T17:48:38Z</cp:lastPrinted>
  <dcterms:created xsi:type="dcterms:W3CDTF">2002-04-29T19:59:45Z</dcterms:created>
  <dcterms:modified xsi:type="dcterms:W3CDTF">2018-10-31T16:49:02Z</dcterms:modified>
</cp:coreProperties>
</file>