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documento\Oficina de  Info  y  Respuesta\INFORMACION OFICIOSA\ESTADISTICAS\SEGUROS AÑO 2016\Enero-dic 2016\"/>
    </mc:Choice>
  </mc:AlternateContent>
  <bookViews>
    <workbookView xWindow="0" yWindow="0" windowWidth="19200" windowHeight="10995" activeTab="3"/>
  </bookViews>
  <sheets>
    <sheet name="FALLECIDOS POR SEXO 2016 " sheetId="9" r:id="rId1"/>
    <sheet name="SEGUROS PAGADOS AÑO 2016" sheetId="8" r:id="rId2"/>
    <sheet name="PAGO DE S.V.D. VENC POLIZA 2016" sheetId="7" r:id="rId3"/>
    <sheet name="Valores de Rescate pagados 2016" sheetId="6" r:id="rId4"/>
  </sheets>
  <calcPr calcId="152511"/>
</workbook>
</file>

<file path=xl/calcChain.xml><?xml version="1.0" encoding="utf-8"?>
<calcChain xmlns="http://schemas.openxmlformats.org/spreadsheetml/2006/main">
  <c r="C23" i="9" l="1"/>
  <c r="D22" i="9"/>
  <c r="D23" i="9" s="1"/>
  <c r="E21" i="9"/>
  <c r="E20" i="9"/>
  <c r="E19" i="9"/>
  <c r="E18" i="9"/>
  <c r="E17" i="9"/>
  <c r="E16" i="9"/>
  <c r="E15" i="9"/>
  <c r="E14" i="9"/>
  <c r="E13" i="9"/>
  <c r="E12" i="9"/>
  <c r="E11" i="9"/>
  <c r="E22" i="9" l="1"/>
  <c r="E23" i="9" s="1"/>
  <c r="N20" i="8" l="1"/>
  <c r="L19" i="8"/>
  <c r="J19" i="8"/>
  <c r="H19" i="8"/>
  <c r="O18" i="8"/>
  <c r="O20" i="8" s="1"/>
  <c r="N18" i="8"/>
  <c r="M17" i="8"/>
  <c r="P17" i="8" s="1"/>
  <c r="L17" i="8"/>
  <c r="K17" i="8"/>
  <c r="Q17" i="8" s="1"/>
  <c r="I17" i="8"/>
  <c r="H17" i="8"/>
  <c r="G17" i="8"/>
  <c r="F17" i="8"/>
  <c r="E17" i="8"/>
  <c r="D17" i="8"/>
  <c r="C17" i="8"/>
  <c r="B17" i="8"/>
  <c r="M16" i="8"/>
  <c r="L16" i="8"/>
  <c r="P16" i="8" s="1"/>
  <c r="I16" i="8"/>
  <c r="Q16" i="8" s="1"/>
  <c r="H16" i="8"/>
  <c r="G16" i="8"/>
  <c r="F16" i="8"/>
  <c r="E16" i="8"/>
  <c r="D16" i="8"/>
  <c r="C16" i="8"/>
  <c r="B16" i="8"/>
  <c r="M15" i="8"/>
  <c r="L15" i="8"/>
  <c r="P15" i="8" s="1"/>
  <c r="K15" i="8"/>
  <c r="J15" i="8"/>
  <c r="I15" i="8"/>
  <c r="Q15" i="8" s="1"/>
  <c r="H15" i="8"/>
  <c r="G15" i="8"/>
  <c r="F15" i="8"/>
  <c r="E15" i="8"/>
  <c r="D15" i="8"/>
  <c r="C15" i="8"/>
  <c r="B15" i="8"/>
  <c r="M14" i="8"/>
  <c r="L14" i="8"/>
  <c r="P14" i="8" s="1"/>
  <c r="I14" i="8"/>
  <c r="Q14" i="8" s="1"/>
  <c r="H14" i="8"/>
  <c r="G14" i="8"/>
  <c r="E14" i="8"/>
  <c r="D14" i="8"/>
  <c r="C14" i="8"/>
  <c r="B14" i="8"/>
  <c r="Q13" i="8"/>
  <c r="M13" i="8"/>
  <c r="P13" i="8" s="1"/>
  <c r="L13" i="8"/>
  <c r="M12" i="8"/>
  <c r="P12" i="8" s="1"/>
  <c r="L12" i="8"/>
  <c r="K12" i="8"/>
  <c r="Q12" i="8" s="1"/>
  <c r="I12" i="8"/>
  <c r="H12" i="8"/>
  <c r="G12" i="8"/>
  <c r="F12" i="8"/>
  <c r="E12" i="8"/>
  <c r="D12" i="8"/>
  <c r="C12" i="8"/>
  <c r="B12" i="8"/>
  <c r="M11" i="8"/>
  <c r="L11" i="8"/>
  <c r="P11" i="8" s="1"/>
  <c r="I11" i="8"/>
  <c r="Q11" i="8" s="1"/>
  <c r="H11" i="8"/>
  <c r="G11" i="8"/>
  <c r="F11" i="8"/>
  <c r="E11" i="8"/>
  <c r="D11" i="8"/>
  <c r="C11" i="8"/>
  <c r="B11" i="8"/>
  <c r="M10" i="8"/>
  <c r="L10" i="8"/>
  <c r="P10" i="8" s="1"/>
  <c r="J10" i="8"/>
  <c r="I10" i="8"/>
  <c r="Q10" i="8" s="1"/>
  <c r="H10" i="8"/>
  <c r="G10" i="8"/>
  <c r="F10" i="8"/>
  <c r="E10" i="8"/>
  <c r="D10" i="8"/>
  <c r="C10" i="8"/>
  <c r="B10" i="8"/>
  <c r="M9" i="8"/>
  <c r="P9" i="8" s="1"/>
  <c r="L9" i="8"/>
  <c r="I9" i="8"/>
  <c r="Q9" i="8" s="1"/>
  <c r="H9" i="8"/>
  <c r="G9" i="8"/>
  <c r="F9" i="8"/>
  <c r="E9" i="8"/>
  <c r="D9" i="8"/>
  <c r="C9" i="8"/>
  <c r="B9" i="8"/>
  <c r="M8" i="8"/>
  <c r="P8" i="8" s="1"/>
  <c r="L8" i="8"/>
  <c r="K8" i="8"/>
  <c r="K18" i="8" s="1"/>
  <c r="K20" i="8" s="1"/>
  <c r="J8" i="8"/>
  <c r="J18" i="8" s="1"/>
  <c r="I8" i="8"/>
  <c r="Q8" i="8" s="1"/>
  <c r="H8" i="8"/>
  <c r="G8" i="8"/>
  <c r="F8" i="8"/>
  <c r="E8" i="8"/>
  <c r="D8" i="8"/>
  <c r="C8" i="8"/>
  <c r="B8" i="8"/>
  <c r="M7" i="8"/>
  <c r="P7" i="8" s="1"/>
  <c r="L7" i="8"/>
  <c r="I7" i="8"/>
  <c r="I18" i="8" s="1"/>
  <c r="I20" i="8" s="1"/>
  <c r="H7" i="8"/>
  <c r="G7" i="8"/>
  <c r="F7" i="8"/>
  <c r="E7" i="8"/>
  <c r="D7" i="8"/>
  <c r="C7" i="8"/>
  <c r="B7" i="8"/>
  <c r="B18" i="8" s="1"/>
  <c r="M6" i="8"/>
  <c r="L6" i="8"/>
  <c r="L18" i="8" s="1"/>
  <c r="L20" i="8" s="1"/>
  <c r="H6" i="8"/>
  <c r="H18" i="8" s="1"/>
  <c r="H20" i="8" s="1"/>
  <c r="G6" i="8"/>
  <c r="G18" i="8" s="1"/>
  <c r="G20" i="8" s="1"/>
  <c r="F6" i="8"/>
  <c r="F18" i="8" s="1"/>
  <c r="E6" i="8"/>
  <c r="E18" i="8" s="1"/>
  <c r="D6" i="8"/>
  <c r="D18" i="8" s="1"/>
  <c r="C6" i="8"/>
  <c r="C18" i="8" s="1"/>
  <c r="J20" i="8" l="1"/>
  <c r="P6" i="8"/>
  <c r="P18" i="8" s="1"/>
  <c r="P20" i="8" s="1"/>
  <c r="Q7" i="8"/>
  <c r="Q18" i="8" s="1"/>
  <c r="Q20" i="8" s="1"/>
  <c r="M18" i="8"/>
  <c r="M20" i="8" s="1"/>
  <c r="P19" i="8"/>
  <c r="F23" i="7" l="1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F24" i="7" s="1"/>
  <c r="E12" i="7"/>
  <c r="E24" i="7" s="1"/>
  <c r="D12" i="7"/>
  <c r="D24" i="7" s="1"/>
  <c r="C12" i="7"/>
  <c r="C24" i="7" s="1"/>
  <c r="F21" i="6" l="1"/>
  <c r="E21" i="6" l="1"/>
  <c r="D21" i="6"/>
  <c r="C21" i="6"/>
  <c r="F20" i="6" l="1"/>
  <c r="E20" i="6"/>
  <c r="D20" i="6" l="1"/>
  <c r="C20" i="6"/>
  <c r="E19" i="6" l="1"/>
  <c r="F19" i="6" l="1"/>
  <c r="C19" i="6"/>
  <c r="D19" i="6"/>
  <c r="F18" i="6" l="1"/>
  <c r="E18" i="6"/>
  <c r="D18" i="6"/>
  <c r="C18" i="6"/>
  <c r="C17" i="6" l="1"/>
  <c r="F17" i="6" l="1"/>
  <c r="E17" i="6"/>
  <c r="D17" i="6"/>
  <c r="E22" i="6" l="1"/>
  <c r="D22" i="6"/>
  <c r="F16" i="6"/>
  <c r="E16" i="6"/>
  <c r="D16" i="6"/>
  <c r="C16" i="6"/>
  <c r="D15" i="6" l="1"/>
  <c r="E15" i="6" l="1"/>
  <c r="F15" i="6" l="1"/>
  <c r="C15" i="6"/>
  <c r="D14" i="6" l="1"/>
  <c r="C22" i="6" l="1"/>
  <c r="F14" i="6"/>
  <c r="E14" i="6"/>
  <c r="C14" i="6" l="1"/>
  <c r="D13" i="6" l="1"/>
  <c r="C13" i="6"/>
  <c r="F12" i="6" l="1"/>
  <c r="E12" i="6"/>
  <c r="D12" i="6"/>
  <c r="C12" i="6"/>
  <c r="F11" i="6" l="1"/>
  <c r="E11" i="6"/>
  <c r="F22" i="6" l="1"/>
  <c r="D11" i="6"/>
  <c r="C11" i="6"/>
  <c r="F10" i="6" l="1"/>
  <c r="E10" i="6" l="1"/>
  <c r="D10" i="6" l="1"/>
  <c r="C10" i="6"/>
</calcChain>
</file>

<file path=xl/comments1.xml><?xml version="1.0" encoding="utf-8"?>
<comments xmlns="http://schemas.openxmlformats.org/spreadsheetml/2006/main">
  <authors>
    <author>Silvia.Henriquez</author>
  </authors>
  <commentList>
    <comment ref="B8" authorId="0" shapeId="0">
      <text>
        <r>
          <rPr>
            <b/>
            <sz val="8"/>
            <color indexed="81"/>
            <rFont val="Tahoma"/>
            <family val="2"/>
          </rPr>
          <t>Silvia.Henriquez: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<sst xmlns="http://schemas.openxmlformats.org/spreadsheetml/2006/main" count="146" uniqueCount="92">
  <si>
    <t>TOTAL</t>
  </si>
  <si>
    <t>MESES</t>
  </si>
  <si>
    <t>MAYO</t>
  </si>
  <si>
    <t>JUNIO</t>
  </si>
  <si>
    <t>JULIO</t>
  </si>
  <si>
    <t>AGOSTO</t>
  </si>
  <si>
    <t>ENERO</t>
  </si>
  <si>
    <t>FEBRERO</t>
  </si>
  <si>
    <t>MARZO</t>
  </si>
  <si>
    <t>ABRIL</t>
  </si>
  <si>
    <t>CANTIDAD PAGADA</t>
  </si>
  <si>
    <t xml:space="preserve">RESUMEN SOBRE VALORES DE RESCATE </t>
  </si>
  <si>
    <t>Nº DE VALORES DE RESCATE RECLAMADOS</t>
  </si>
  <si>
    <t xml:space="preserve"> </t>
  </si>
  <si>
    <t>RENTA RETENIDA 10%</t>
  </si>
  <si>
    <t>SEPTIEMBRE</t>
  </si>
  <si>
    <t>OCTUBRE</t>
  </si>
  <si>
    <t>NOVIEMBRE</t>
  </si>
  <si>
    <t>DICIEMBRE</t>
  </si>
  <si>
    <t>Elaboró:</t>
  </si>
  <si>
    <t>Vo.Bo.</t>
  </si>
  <si>
    <t>INGRESOS RECIBIDOS</t>
  </si>
  <si>
    <t>DE SEGURO DE VIDA DOTAL PAGADOS AÑO 2016</t>
  </si>
  <si>
    <t xml:space="preserve">             Colaborador de Reclamos</t>
  </si>
  <si>
    <t xml:space="preserve">        Dina Lariza Rivera Menjívar</t>
  </si>
  <si>
    <t xml:space="preserve">       Jefa Unidad de Seguros</t>
  </si>
  <si>
    <t xml:space="preserve">          Silvia Elena Henríquez Campos</t>
  </si>
  <si>
    <t>DEL 01 DE ENERO AL 31 DE DICIEMBRE AÑO 2016</t>
  </si>
  <si>
    <t>San Salvador, 05 de enero de 2017</t>
  </si>
  <si>
    <t xml:space="preserve">RESUMEN MENSUAL SOBRE PAGO DE SEGURO  </t>
  </si>
  <si>
    <t>DE VIDA DOTAL POR VENCIMIENTO DE PÓLIZA  AÑO 2016</t>
  </si>
  <si>
    <t>NUMERO DE SEGUROS RECLAMADOS</t>
  </si>
  <si>
    <t>VALOR TOTAL DE INGRESOS RECIBIDOS</t>
  </si>
  <si>
    <t>CANTIDAD LIQUIDA PAGADA</t>
  </si>
  <si>
    <t xml:space="preserve">JULIO  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</si>
  <si>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</si>
  <si>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</si>
  <si>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</si>
  <si>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</si>
  <si>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</si>
  <si>
    <t>RESUMEN DE SEGUROS DE VIDA APROBADOS POR EL CONSEJO DIRECTIVO</t>
  </si>
  <si>
    <t>PAGADOS POR FALLECIMIENTOS DEL 01 DE ENERO AL 31 DE DICIEMBRE DEL AÑO 2016</t>
  </si>
  <si>
    <t xml:space="preserve">MES   </t>
  </si>
  <si>
    <t>ASEGURADOS FALLECIDOS DEL AÑO 2016 DE QUIENES HAN RECLAMADO PAGOS</t>
  </si>
  <si>
    <t>CASOS DE SEGUROS PEND.DE PAGO DE OTROS AÑOS, PAGADOS EN EL 2016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</si>
  <si>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</si>
  <si>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</si>
  <si>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</si>
  <si>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</si>
  <si>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</si>
  <si>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</si>
  <si>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</si>
  <si>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</si>
  <si>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</si>
  <si>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</si>
  <si>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</si>
  <si>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</si>
  <si>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</si>
  <si>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</si>
  <si>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</si>
  <si>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</si>
  <si>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</si>
  <si>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</si>
  <si>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</si>
  <si>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</si>
  <si>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</si>
  <si>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</si>
  <si>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</si>
  <si>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</si>
  <si>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</si>
  <si>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</si>
  <si>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CUOTAS RETENI-DAS</t>
  </si>
  <si>
    <t>TOTAL MAS CUOTAS</t>
  </si>
  <si>
    <t xml:space="preserve">          San Salvador, 5 de enero de 2017</t>
  </si>
  <si>
    <t xml:space="preserve">           Silvia Elena Henríquez Campos</t>
  </si>
  <si>
    <t xml:space="preserve">         Dina Lariza Rivera Menjívar</t>
  </si>
  <si>
    <t xml:space="preserve">               Encargada de  Reclamos</t>
  </si>
  <si>
    <t xml:space="preserve">            Jefa Unidad de Seguros</t>
  </si>
  <si>
    <t>ASEGURADOS REPORTADOS FALLECIDOS EN SEGURO</t>
  </si>
  <si>
    <t>DE VIDA BÁSICO, OPCIONAL, DOTAL Y SEGURO POR SEPELIO</t>
  </si>
  <si>
    <t>DEL 1 DE ENERO AL 31 DE DICIEMBRE  AÑO 2016</t>
  </si>
  <si>
    <t>HOMBRES</t>
  </si>
  <si>
    <t>MUJERES</t>
  </si>
  <si>
    <t>.</t>
  </si>
  <si>
    <t>TOTALES</t>
  </si>
  <si>
    <t>San Salvador,  05 de enero  de 2017</t>
  </si>
  <si>
    <t xml:space="preserve">              Elaboró:</t>
  </si>
  <si>
    <t xml:space="preserve">           Vo.Bo.</t>
  </si>
  <si>
    <t xml:space="preserve">                       Silvia Elena Henríquez Campos</t>
  </si>
  <si>
    <t xml:space="preserve">                      Dina Lariza Rivera Menjívar</t>
  </si>
  <si>
    <t xml:space="preserve">  Colaborador de Reclamos</t>
  </si>
  <si>
    <t xml:space="preserve">                      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</si>
</sst>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5"/>
      <name val="Arial"/>
      <family val="2"/>
    </font>
    <font>
      <sz val="4"/>
      <name val="Arial"/>
      <family val="2"/>
    </font>
    <font>
      <sz val="5"/>
      <name val="Arial"/>
      <family val="2"/>
    </font>
    <font>
      <sz val="10"/>
      <name val="Tahoma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10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i/>
      <sz val="4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/>
    </xf>
    <xf numFmtId="8" fontId="0" fillId="0" borderId="0" xfId="0" applyNumberFormat="1" applyBorder="1" applyAlignment="1">
      <alignment horizontal="center"/>
    </xf>
    <xf numFmtId="8" fontId="2" fillId="0" borderId="0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44" fontId="4" fillId="0" borderId="0" xfId="0" applyNumberFormat="1" applyFont="1"/>
    <xf numFmtId="0" fontId="14" fillId="0" borderId="0" xfId="0" applyFont="1"/>
    <xf numFmtId="8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44" fontId="0" fillId="0" borderId="5" xfId="1" applyFont="1" applyBorder="1"/>
    <xf numFmtId="164" fontId="1" fillId="0" borderId="0" xfId="0" applyNumberFormat="1" applyFont="1" applyBorder="1" applyAlignment="1">
      <alignment horizontal="right"/>
    </xf>
    <xf numFmtId="44" fontId="16" fillId="0" borderId="0" xfId="1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44" fontId="0" fillId="0" borderId="0" xfId="0" applyNumberFormat="1"/>
    <xf numFmtId="44" fontId="1" fillId="0" borderId="5" xfId="1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" fontId="10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4" fontId="15" fillId="0" borderId="5" xfId="1" applyFont="1" applyBorder="1" applyProtection="1"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/>
    <xf numFmtId="0" fontId="12" fillId="0" borderId="10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8" fontId="17" fillId="0" borderId="0" xfId="0" applyNumberFormat="1" applyFont="1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8" fontId="1" fillId="0" borderId="0" xfId="0" applyNumberFormat="1" applyFont="1" applyBorder="1" applyAlignment="1">
      <alignment horizontal="center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8" fillId="0" borderId="11" xfId="0" applyFont="1" applyBorder="1" applyAlignment="1">
      <alignment horizontal="center" wrapText="1" shrinkToFit="1"/>
    </xf>
    <xf numFmtId="0" fontId="18" fillId="0" borderId="12" xfId="0" applyFont="1" applyBorder="1" applyAlignment="1">
      <alignment horizontal="center" wrapText="1" shrinkToFit="1"/>
    </xf>
    <xf numFmtId="0" fontId="16" fillId="0" borderId="13" xfId="0" applyFont="1" applyBorder="1" applyAlignment="1">
      <alignment horizontal="center" wrapText="1" shrinkToFit="1"/>
    </xf>
    <xf numFmtId="0" fontId="3" fillId="0" borderId="14" xfId="0" applyFont="1" applyBorder="1" applyAlignment="1">
      <alignment horizontal="center" wrapText="1" shrinkToFit="1"/>
    </xf>
    <xf numFmtId="0" fontId="3" fillId="0" borderId="15" xfId="0" applyFont="1" applyBorder="1" applyAlignment="1">
      <alignment horizontal="center" wrapText="1" shrinkToFit="1"/>
    </xf>
    <xf numFmtId="0" fontId="16" fillId="0" borderId="16" xfId="0" applyFont="1" applyBorder="1" applyAlignment="1">
      <alignment horizontal="center" wrapText="1" shrinkToFit="1"/>
    </xf>
    <xf numFmtId="0" fontId="19" fillId="0" borderId="15" xfId="0" applyFont="1" applyBorder="1" applyAlignment="1">
      <alignment horizontal="center" wrapText="1" shrinkToFit="1"/>
    </xf>
    <xf numFmtId="0" fontId="3" fillId="0" borderId="0" xfId="0" applyFont="1" applyAlignment="1">
      <alignment horizontal="center" wrapText="1"/>
    </xf>
    <xf numFmtId="17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4" fontId="6" fillId="0" borderId="18" xfId="1" applyFont="1" applyBorder="1" applyAlignment="1">
      <alignment horizontal="center"/>
    </xf>
    <xf numFmtId="44" fontId="6" fillId="0" borderId="19" xfId="1" applyFont="1" applyBorder="1" applyAlignment="1">
      <alignment horizontal="center"/>
    </xf>
    <xf numFmtId="44" fontId="6" fillId="0" borderId="20" xfId="1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44" fontId="6" fillId="0" borderId="22" xfId="1" applyFont="1" applyBorder="1" applyAlignment="1">
      <alignment horizontal="center"/>
    </xf>
    <xf numFmtId="8" fontId="0" fillId="0" borderId="0" xfId="0" applyNumberFormat="1"/>
    <xf numFmtId="17" fontId="6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4" fontId="6" fillId="0" borderId="24" xfId="1" applyFont="1" applyBorder="1" applyAlignment="1">
      <alignment horizontal="center"/>
    </xf>
    <xf numFmtId="44" fontId="6" fillId="0" borderId="25" xfId="1" applyFont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6" fillId="0" borderId="26" xfId="1" applyFont="1" applyBorder="1" applyAlignment="1">
      <alignment horizontal="center"/>
    </xf>
    <xf numFmtId="8" fontId="6" fillId="0" borderId="27" xfId="1" applyNumberFormat="1" applyFont="1" applyBorder="1" applyAlignment="1">
      <alignment horizontal="center"/>
    </xf>
    <xf numFmtId="0" fontId="20" fillId="0" borderId="0" xfId="0" applyFont="1"/>
    <xf numFmtId="44" fontId="6" fillId="0" borderId="27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1" fillId="0" borderId="0" xfId="0" applyNumberFormat="1" applyFont="1"/>
    <xf numFmtId="17" fontId="6" fillId="0" borderId="28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44" fontId="6" fillId="0" borderId="29" xfId="1" applyFont="1" applyBorder="1" applyAlignment="1">
      <alignment horizontal="center"/>
    </xf>
    <xf numFmtId="44" fontId="6" fillId="0" borderId="31" xfId="1" applyFont="1" applyBorder="1" applyAlignment="1">
      <alignment horizontal="center"/>
    </xf>
    <xf numFmtId="17" fontId="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44" fontId="6" fillId="0" borderId="34" xfId="1" applyFont="1" applyBorder="1" applyAlignment="1">
      <alignment horizontal="center"/>
    </xf>
    <xf numFmtId="17" fontId="6" fillId="0" borderId="35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44" fontId="6" fillId="0" borderId="36" xfId="1" applyFont="1" applyBorder="1" applyAlignment="1">
      <alignment horizontal="center"/>
    </xf>
    <xf numFmtId="17" fontId="6" fillId="0" borderId="37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44" fontId="6" fillId="0" borderId="38" xfId="1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4" fontId="21" fillId="0" borderId="5" xfId="1" applyFont="1" applyBorder="1" applyAlignment="1">
      <alignment horizontal="center"/>
    </xf>
    <xf numFmtId="8" fontId="21" fillId="0" borderId="27" xfId="1" applyNumberFormat="1" applyFont="1" applyBorder="1" applyAlignment="1">
      <alignment horizontal="center"/>
    </xf>
    <xf numFmtId="44" fontId="21" fillId="0" borderId="0" xfId="1" applyFont="1" applyFill="1" applyBorder="1" applyAlignment="1">
      <alignment horizontal="center"/>
    </xf>
    <xf numFmtId="0" fontId="3" fillId="0" borderId="32" xfId="0" applyFont="1" applyBorder="1" applyAlignment="1">
      <alignment horizontal="center" wrapText="1"/>
    </xf>
    <xf numFmtId="0" fontId="21" fillId="0" borderId="20" xfId="0" applyFont="1" applyBorder="1" applyAlignment="1">
      <alignment horizontal="center"/>
    </xf>
    <xf numFmtId="44" fontId="19" fillId="0" borderId="20" xfId="1" applyFont="1" applyBorder="1" applyAlignment="1">
      <alignment horizontal="center"/>
    </xf>
    <xf numFmtId="44" fontId="21" fillId="0" borderId="40" xfId="1" applyFont="1" applyBorder="1" applyAlignment="1">
      <alignment horizontal="center"/>
    </xf>
    <xf numFmtId="44" fontId="21" fillId="0" borderId="22" xfId="1" applyFont="1" applyBorder="1" applyAlignment="1">
      <alignment horizontal="center"/>
    </xf>
    <xf numFmtId="0" fontId="3" fillId="0" borderId="41" xfId="0" applyFont="1" applyBorder="1" applyAlignment="1">
      <alignment horizontal="center" wrapText="1"/>
    </xf>
    <xf numFmtId="0" fontId="21" fillId="0" borderId="42" xfId="0" applyFont="1" applyBorder="1" applyAlignment="1">
      <alignment horizontal="center"/>
    </xf>
    <xf numFmtId="44" fontId="19" fillId="0" borderId="42" xfId="1" applyFont="1" applyBorder="1" applyAlignment="1">
      <alignment horizontal="center"/>
    </xf>
    <xf numFmtId="44" fontId="19" fillId="0" borderId="43" xfId="1" applyFont="1" applyBorder="1" applyAlignment="1">
      <alignment horizontal="center"/>
    </xf>
    <xf numFmtId="44" fontId="19" fillId="0" borderId="44" xfId="0" applyNumberFormat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22" fillId="0" borderId="0" xfId="0" applyFont="1"/>
    <xf numFmtId="8" fontId="6" fillId="0" borderId="0" xfId="2" applyNumberFormat="1" applyFont="1"/>
    <xf numFmtId="9" fontId="6" fillId="0" borderId="0" xfId="2" applyFont="1"/>
    <xf numFmtId="9" fontId="5" fillId="0" borderId="0" xfId="2" applyFont="1"/>
    <xf numFmtId="8" fontId="22" fillId="0" borderId="0" xfId="0" applyNumberFormat="1" applyFont="1"/>
    <xf numFmtId="0" fontId="23" fillId="0" borderId="0" xfId="0" applyFont="1"/>
    <xf numFmtId="0" fontId="2" fillId="0" borderId="0" xfId="0" applyFont="1"/>
    <xf numFmtId="9" fontId="0" fillId="0" borderId="0" xfId="2" applyFont="1"/>
    <xf numFmtId="0" fontId="24" fillId="0" borderId="0" xfId="0" applyFont="1"/>
    <xf numFmtId="0" fontId="1" fillId="0" borderId="0" xfId="0" applyFont="1" applyAlignment="1">
      <alignment horizontal="right"/>
    </xf>
    <xf numFmtId="0" fontId="25" fillId="0" borderId="0" xfId="0" applyFont="1"/>
    <xf numFmtId="0" fontId="6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7" fontId="28" fillId="0" borderId="49" xfId="0" applyNumberFormat="1" applyFont="1" applyBorder="1" applyAlignment="1">
      <alignment horizontal="left"/>
    </xf>
    <xf numFmtId="0" fontId="29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" fontId="28" fillId="0" borderId="52" xfId="0" applyNumberFormat="1" applyFont="1" applyBorder="1" applyAlignment="1">
      <alignment horizontal="left"/>
    </xf>
    <xf numFmtId="0" fontId="29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29" fillId="0" borderId="5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28" fillId="0" borderId="54" xfId="0" applyNumberFormat="1" applyFont="1" applyBorder="1" applyAlignment="1">
      <alignment horizontal="left"/>
    </xf>
    <xf numFmtId="17" fontId="32" fillId="0" borderId="55" xfId="0" applyNumberFormat="1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4" fillId="0" borderId="0" xfId="0" applyFont="1"/>
    <xf numFmtId="0" fontId="6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514350</xdr:colOff>
      <xdr:row>4</xdr:row>
      <xdr:rowOff>0</xdr:rowOff>
    </xdr:to>
    <xdr:pic>
      <xdr:nvPicPr>
        <xdr:cNvPr id="2" name="3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7514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C16" sqref="C16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5"/>
      <c r="C2" s="5"/>
      <c r="D2" s="5"/>
    </row>
    <row r="3" spans="2:10" x14ac:dyDescent="0.2">
      <c r="B3" s="5"/>
      <c r="C3" s="5"/>
      <c r="D3" s="5"/>
    </row>
    <row r="4" spans="2:10" x14ac:dyDescent="0.2">
      <c r="B4" s="5"/>
      <c r="C4" s="5"/>
      <c r="D4" s="5"/>
    </row>
    <row r="5" spans="2:10" x14ac:dyDescent="0.2">
      <c r="B5" s="5"/>
      <c r="C5" s="5"/>
      <c r="D5" s="5"/>
    </row>
    <row r="6" spans="2:10" x14ac:dyDescent="0.2">
      <c r="B6" s="61" t="s">
        <v>78</v>
      </c>
      <c r="C6" s="61"/>
      <c r="D6" s="61"/>
      <c r="E6" s="61"/>
      <c r="F6" s="6"/>
    </row>
    <row r="7" spans="2:10" x14ac:dyDescent="0.2">
      <c r="B7" s="61" t="s">
        <v>79</v>
      </c>
      <c r="C7" s="61"/>
      <c r="D7" s="61"/>
      <c r="E7" s="61"/>
      <c r="F7" s="6"/>
    </row>
    <row r="8" spans="2:10" ht="13.5" thickBot="1" x14ac:dyDescent="0.25">
      <c r="B8" s="7"/>
      <c r="C8" s="7"/>
      <c r="D8" s="6"/>
      <c r="E8" s="6"/>
      <c r="F8" s="6"/>
    </row>
    <row r="9" spans="2:10" ht="24.95" customHeight="1" thickBot="1" x14ac:dyDescent="0.25">
      <c r="B9" s="135"/>
      <c r="C9" s="136" t="s">
        <v>80</v>
      </c>
      <c r="D9" s="136"/>
      <c r="E9" s="136"/>
      <c r="F9" s="137"/>
      <c r="G9" s="8"/>
      <c r="H9" s="8"/>
      <c r="I9" s="8"/>
      <c r="J9" s="8"/>
    </row>
    <row r="10" spans="2:10" ht="24.95" customHeight="1" thickBot="1" x14ac:dyDescent="0.25">
      <c r="B10" s="138" t="s">
        <v>1</v>
      </c>
      <c r="C10" s="139" t="s">
        <v>81</v>
      </c>
      <c r="D10" s="139" t="s">
        <v>82</v>
      </c>
      <c r="E10" s="140" t="s">
        <v>0</v>
      </c>
      <c r="F10" s="137"/>
      <c r="G10" s="8"/>
      <c r="H10" s="8"/>
      <c r="I10" s="8"/>
      <c r="J10" s="8"/>
    </row>
    <row r="11" spans="2:10" ht="21.95" customHeight="1" x14ac:dyDescent="0.2">
      <c r="B11" s="141" t="s">
        <v>6</v>
      </c>
      <c r="C11" s="142">
        <v>6</v>
      </c>
      <c r="D11" s="142">
        <v>11</v>
      </c>
      <c r="E11" s="143">
        <f>SUM(C11:D11)</f>
        <v>17</v>
      </c>
      <c r="F11" s="144"/>
      <c r="G11" s="144"/>
      <c r="H11" s="145"/>
      <c r="I11" s="10"/>
      <c r="J11" s="10"/>
    </row>
    <row r="12" spans="2:10" ht="21.95" customHeight="1" x14ac:dyDescent="0.2">
      <c r="B12" s="146" t="s">
        <v>7</v>
      </c>
      <c r="C12" s="147">
        <v>10</v>
      </c>
      <c r="D12" s="147">
        <v>15</v>
      </c>
      <c r="E12" s="143">
        <f t="shared" ref="E12:E22" si="0">SUM(C12:D12)</f>
        <v>25</v>
      </c>
      <c r="F12" s="148"/>
      <c r="G12" s="149"/>
      <c r="H12" s="10"/>
      <c r="I12" s="10"/>
      <c r="J12" s="10"/>
    </row>
    <row r="13" spans="2:10" ht="21.95" customHeight="1" x14ac:dyDescent="0.2">
      <c r="B13" s="146" t="s">
        <v>8</v>
      </c>
      <c r="C13" s="150">
        <v>12</v>
      </c>
      <c r="D13" s="150">
        <v>10</v>
      </c>
      <c r="E13" s="143">
        <f t="shared" si="0"/>
        <v>22</v>
      </c>
      <c r="F13" s="148"/>
      <c r="G13" s="149"/>
      <c r="H13" s="10"/>
      <c r="I13" s="10" t="s">
        <v>83</v>
      </c>
      <c r="J13" s="10"/>
    </row>
    <row r="14" spans="2:10" ht="21.95" customHeight="1" x14ac:dyDescent="0.2">
      <c r="B14" s="146" t="s">
        <v>9</v>
      </c>
      <c r="C14" s="151">
        <v>14</v>
      </c>
      <c r="D14" s="151">
        <v>15</v>
      </c>
      <c r="E14" s="143">
        <f t="shared" si="0"/>
        <v>29</v>
      </c>
      <c r="F14" s="148"/>
      <c r="G14" s="149"/>
      <c r="H14" s="10"/>
      <c r="I14" s="10"/>
      <c r="J14" s="10"/>
    </row>
    <row r="15" spans="2:10" ht="21.95" customHeight="1" x14ac:dyDescent="0.2">
      <c r="B15" s="146" t="s">
        <v>2</v>
      </c>
      <c r="C15" s="151">
        <v>7</v>
      </c>
      <c r="D15" s="151">
        <v>12</v>
      </c>
      <c r="E15" s="143">
        <f t="shared" si="0"/>
        <v>19</v>
      </c>
      <c r="F15" s="148"/>
      <c r="G15" s="149"/>
      <c r="H15" s="10"/>
      <c r="I15" s="10"/>
      <c r="J15" s="10"/>
    </row>
    <row r="16" spans="2:10" ht="21.95" customHeight="1" x14ac:dyDescent="0.2">
      <c r="B16" s="146" t="s">
        <v>3</v>
      </c>
      <c r="C16" s="147">
        <v>13</v>
      </c>
      <c r="D16" s="147">
        <v>12</v>
      </c>
      <c r="E16" s="143">
        <f t="shared" si="0"/>
        <v>25</v>
      </c>
      <c r="F16" s="148"/>
      <c r="G16" s="149"/>
      <c r="H16" s="10"/>
      <c r="I16" s="10"/>
      <c r="J16" s="10"/>
    </row>
    <row r="17" spans="1:10" ht="21.95" customHeight="1" x14ac:dyDescent="0.2">
      <c r="B17" s="146" t="s">
        <v>4</v>
      </c>
      <c r="C17" s="147">
        <v>11</v>
      </c>
      <c r="D17" s="147">
        <v>10</v>
      </c>
      <c r="E17" s="143">
        <f t="shared" si="0"/>
        <v>21</v>
      </c>
      <c r="F17" s="152"/>
      <c r="G17" s="153"/>
      <c r="H17" s="153"/>
      <c r="I17" s="10"/>
      <c r="J17" s="10"/>
    </row>
    <row r="18" spans="1:10" ht="21.95" customHeight="1" x14ac:dyDescent="0.2">
      <c r="B18" s="146" t="s">
        <v>5</v>
      </c>
      <c r="C18" s="147">
        <v>8</v>
      </c>
      <c r="D18" s="147">
        <v>9</v>
      </c>
      <c r="E18" s="143">
        <f t="shared" si="0"/>
        <v>17</v>
      </c>
      <c r="F18" s="152"/>
      <c r="G18" s="153"/>
      <c r="H18" s="153"/>
      <c r="I18" s="10"/>
      <c r="J18" s="10"/>
    </row>
    <row r="19" spans="1:10" ht="21.95" customHeight="1" x14ac:dyDescent="0.2">
      <c r="B19" s="154" t="s">
        <v>15</v>
      </c>
      <c r="C19" s="150">
        <v>5</v>
      </c>
      <c r="D19" s="150">
        <v>14</v>
      </c>
      <c r="E19" s="143">
        <f t="shared" si="0"/>
        <v>19</v>
      </c>
      <c r="F19" s="152"/>
      <c r="G19" s="153" t="s">
        <v>13</v>
      </c>
      <c r="H19" s="153"/>
      <c r="I19" s="10"/>
      <c r="J19" s="10"/>
    </row>
    <row r="20" spans="1:10" ht="21.95" customHeight="1" x14ac:dyDescent="0.2">
      <c r="B20" s="154" t="s">
        <v>16</v>
      </c>
      <c r="C20" s="150">
        <v>7</v>
      </c>
      <c r="D20" s="150">
        <v>9</v>
      </c>
      <c r="E20" s="143">
        <f t="shared" si="0"/>
        <v>16</v>
      </c>
      <c r="F20" s="152"/>
      <c r="G20" s="153"/>
      <c r="H20" s="153"/>
      <c r="I20" s="10"/>
      <c r="J20" s="10"/>
    </row>
    <row r="21" spans="1:10" ht="21.95" customHeight="1" x14ac:dyDescent="0.2">
      <c r="B21" s="154" t="s">
        <v>17</v>
      </c>
      <c r="C21" s="150">
        <v>6</v>
      </c>
      <c r="D21" s="150">
        <v>18</v>
      </c>
      <c r="E21" s="143">
        <f t="shared" si="0"/>
        <v>24</v>
      </c>
      <c r="F21" s="152"/>
      <c r="G21" s="153"/>
      <c r="H21" s="153"/>
      <c r="I21" s="10"/>
      <c r="J21" s="10"/>
    </row>
    <row r="22" spans="1:10" ht="21.95" customHeight="1" x14ac:dyDescent="0.2">
      <c r="B22" s="154" t="s">
        <v>18</v>
      </c>
      <c r="C22" s="150">
        <v>16</v>
      </c>
      <c r="D22" s="150">
        <f>27-16</f>
        <v>11</v>
      </c>
      <c r="E22" s="143">
        <f t="shared" si="0"/>
        <v>27</v>
      </c>
      <c r="F22" s="152"/>
      <c r="G22" s="153" t="s">
        <v>13</v>
      </c>
      <c r="H22" s="153"/>
      <c r="I22" s="10"/>
      <c r="J22" s="10"/>
    </row>
    <row r="23" spans="1:10" ht="22.5" customHeight="1" thickBot="1" x14ac:dyDescent="0.25">
      <c r="B23" s="155" t="s">
        <v>84</v>
      </c>
      <c r="C23" s="156">
        <f>SUM(C11:C22)</f>
        <v>115</v>
      </c>
      <c r="D23" s="156">
        <f>SUM(D11:D22)</f>
        <v>146</v>
      </c>
      <c r="E23" s="157">
        <f>SUM(E11:E22)</f>
        <v>261</v>
      </c>
      <c r="F23" s="152"/>
      <c r="G23" s="153"/>
      <c r="H23" s="153"/>
      <c r="I23" s="10"/>
      <c r="J23" s="10"/>
    </row>
    <row r="24" spans="1:10" ht="14.25" customHeight="1" x14ac:dyDescent="0.2">
      <c r="C24" s="6"/>
      <c r="D24" s="46"/>
      <c r="E24" s="15" t="s">
        <v>85</v>
      </c>
      <c r="F24" s="6"/>
    </row>
    <row r="25" spans="1:10" x14ac:dyDescent="0.2">
      <c r="B25" s="158"/>
      <c r="C25" s="6"/>
      <c r="D25" s="6"/>
      <c r="E25" s="6"/>
      <c r="F25" s="6"/>
    </row>
    <row r="26" spans="1:10" x14ac:dyDescent="0.2">
      <c r="B26" s="6"/>
      <c r="C26" s="6"/>
      <c r="D26" s="6"/>
      <c r="E26" s="6"/>
      <c r="F26" s="6"/>
    </row>
    <row r="27" spans="1:10" x14ac:dyDescent="0.2">
      <c r="B27" s="6"/>
      <c r="C27" s="6"/>
      <c r="D27" s="6"/>
      <c r="E27" s="6"/>
      <c r="F27" s="6"/>
      <c r="G27" s="128"/>
    </row>
    <row r="28" spans="1:10" x14ac:dyDescent="0.2">
      <c r="B28" s="121" t="s">
        <v>13</v>
      </c>
      <c r="C28" s="129"/>
      <c r="D28" s="6"/>
      <c r="E28" s="6"/>
      <c r="F28" s="6"/>
      <c r="G28" s="128"/>
    </row>
    <row r="29" spans="1:10" x14ac:dyDescent="0.2">
      <c r="B29" s="2"/>
      <c r="C29" s="6"/>
      <c r="D29" s="6"/>
      <c r="E29" s="6"/>
      <c r="F29" s="6"/>
      <c r="G29" s="128"/>
    </row>
    <row r="30" spans="1:10" x14ac:dyDescent="0.2">
      <c r="A30" s="6" t="s">
        <v>86</v>
      </c>
      <c r="B30" s="6"/>
      <c r="C30" s="6"/>
      <c r="D30" s="12" t="s">
        <v>87</v>
      </c>
      <c r="E30" s="12"/>
      <c r="F30" s="6"/>
      <c r="G30" s="128"/>
    </row>
    <row r="31" spans="1:10" x14ac:dyDescent="0.2">
      <c r="A31" s="6" t="s">
        <v>88</v>
      </c>
      <c r="B31" s="60"/>
      <c r="C31" s="6"/>
      <c r="D31" s="12" t="s">
        <v>89</v>
      </c>
      <c r="E31" s="159"/>
      <c r="F31" s="6"/>
      <c r="G31" s="128"/>
    </row>
    <row r="32" spans="1:10" x14ac:dyDescent="0.2">
      <c r="A32" s="60"/>
      <c r="B32" t="s">
        <v>90</v>
      </c>
      <c r="C32" s="6"/>
      <c r="D32" s="2" t="s">
        <v>91</v>
      </c>
      <c r="E32" s="12"/>
      <c r="F32" s="60"/>
      <c r="G32" s="128"/>
    </row>
    <row r="33" spans="2:7" x14ac:dyDescent="0.2">
      <c r="B33" s="2"/>
      <c r="C33" s="6"/>
      <c r="D33" s="6"/>
      <c r="F33" s="60"/>
      <c r="G33" s="128"/>
    </row>
    <row r="34" spans="2:7" x14ac:dyDescent="0.2">
      <c r="C34" s="6"/>
      <c r="D34" s="6"/>
      <c r="E34" s="6"/>
      <c r="F34" s="60"/>
      <c r="G34" s="128"/>
    </row>
    <row r="35" spans="2:7" x14ac:dyDescent="0.2">
      <c r="B35" s="6"/>
      <c r="C35" s="6"/>
      <c r="D35" s="6"/>
      <c r="E35" s="6"/>
      <c r="F35" s="59"/>
      <c r="G35" s="128"/>
    </row>
    <row r="36" spans="2:7" x14ac:dyDescent="0.2">
      <c r="B36" s="6"/>
      <c r="E36" s="6"/>
      <c r="F36" s="6"/>
      <c r="G36" s="128"/>
    </row>
    <row r="37" spans="2:7" x14ac:dyDescent="0.2">
      <c r="B37" s="12"/>
      <c r="E37" s="6"/>
      <c r="F37" s="6"/>
      <c r="G37" s="128"/>
    </row>
    <row r="38" spans="2:7" x14ac:dyDescent="0.2">
      <c r="B38" s="6"/>
      <c r="E38" s="6"/>
      <c r="F38" s="6"/>
    </row>
    <row r="39" spans="2:7" x14ac:dyDescent="0.2">
      <c r="B39" s="6"/>
      <c r="C39" s="6"/>
      <c r="D39" s="6"/>
      <c r="E39" s="6"/>
      <c r="F39" s="6"/>
    </row>
    <row r="40" spans="2:7" x14ac:dyDescent="0.2">
      <c r="B40" s="6"/>
      <c r="C40" s="6"/>
      <c r="D40" s="6"/>
      <c r="E40" s="6"/>
      <c r="F40" s="6"/>
    </row>
    <row r="41" spans="2:7" x14ac:dyDescent="0.2">
      <c r="B41" s="6"/>
      <c r="C41" s="6"/>
      <c r="D41" s="6"/>
      <c r="E41" s="6"/>
      <c r="F41" s="6"/>
    </row>
    <row r="42" spans="2:7" x14ac:dyDescent="0.2">
      <c r="B42" s="6"/>
      <c r="C42" s="6"/>
      <c r="D42" s="6"/>
      <c r="E42" s="6"/>
      <c r="F42" s="6"/>
    </row>
    <row r="43" spans="2:7" x14ac:dyDescent="0.2">
      <c r="B43" s="6"/>
      <c r="C43" s="6"/>
      <c r="D43" s="6"/>
      <c r="E43" s="6"/>
      <c r="F43" s="6"/>
    </row>
    <row r="44" spans="2:7" x14ac:dyDescent="0.2">
      <c r="B44" s="6"/>
      <c r="C44" s="6"/>
      <c r="D44" s="6"/>
      <c r="E44" s="6"/>
      <c r="F44" s="6"/>
    </row>
    <row r="45" spans="2:7" x14ac:dyDescent="0.2">
      <c r="B45" s="6"/>
      <c r="C45" s="6"/>
      <c r="D45" s="6"/>
      <c r="E45" s="6"/>
      <c r="F45" s="6"/>
    </row>
    <row r="46" spans="2:7" x14ac:dyDescent="0.2">
      <c r="B46" s="6"/>
      <c r="C46" s="6"/>
      <c r="D46" s="6"/>
      <c r="E46" s="6"/>
      <c r="F46" s="6"/>
    </row>
    <row r="47" spans="2:7" x14ac:dyDescent="0.2">
      <c r="B47" s="6"/>
      <c r="C47" s="6"/>
      <c r="D47" s="6"/>
      <c r="E47" s="6"/>
      <c r="F47" s="6"/>
    </row>
    <row r="48" spans="2:7" x14ac:dyDescent="0.2">
      <c r="B48" s="6"/>
      <c r="C48" s="6"/>
      <c r="D48" s="6"/>
      <c r="E48" s="6"/>
      <c r="F48" s="6"/>
    </row>
    <row r="49" spans="1:6" x14ac:dyDescent="0.2">
      <c r="A49" t="s">
        <v>83</v>
      </c>
      <c r="B49" s="6"/>
      <c r="C49" s="6"/>
      <c r="D49" s="6"/>
      <c r="E49" s="6"/>
      <c r="F49" s="6"/>
    </row>
    <row r="50" spans="1:6" x14ac:dyDescent="0.2">
      <c r="B50" s="6"/>
      <c r="C50" s="6"/>
      <c r="D50" s="6"/>
      <c r="E50" s="6"/>
      <c r="F50" s="6"/>
    </row>
    <row r="51" spans="1:6" x14ac:dyDescent="0.2">
      <c r="B51" s="6"/>
      <c r="C51" s="6"/>
      <c r="D51" s="6"/>
      <c r="E51" s="6"/>
      <c r="F51" s="6"/>
    </row>
    <row r="52" spans="1:6" x14ac:dyDescent="0.2">
      <c r="B52" s="6"/>
      <c r="C52" s="6"/>
      <c r="D52" s="6"/>
      <c r="E52" s="6"/>
      <c r="F52" s="6"/>
    </row>
    <row r="53" spans="1:6" x14ac:dyDescent="0.2">
      <c r="B53" s="6"/>
      <c r="C53" s="6"/>
      <c r="D53" s="6"/>
      <c r="E53" s="6"/>
      <c r="F53" s="6"/>
    </row>
    <row r="54" spans="1:6" x14ac:dyDescent="0.2">
      <c r="B54" s="6"/>
      <c r="C54" s="6"/>
      <c r="D54" s="6"/>
      <c r="E54" s="6"/>
      <c r="F54" s="6"/>
    </row>
    <row r="55" spans="1:6" x14ac:dyDescent="0.2">
      <c r="B55" s="6"/>
      <c r="C55" s="6"/>
      <c r="D55" s="6"/>
      <c r="E55" s="6"/>
      <c r="F55" s="6"/>
    </row>
    <row r="56" spans="1:6" x14ac:dyDescent="0.2">
      <c r="B56" s="6"/>
      <c r="C56" s="6"/>
      <c r="D56" s="6"/>
      <c r="E56" s="6"/>
      <c r="F56" s="6"/>
    </row>
    <row r="57" spans="1:6" x14ac:dyDescent="0.2">
      <c r="B57" s="6"/>
      <c r="C57" s="6"/>
      <c r="D57" s="6"/>
      <c r="E57" s="6"/>
      <c r="F57" s="6"/>
    </row>
    <row r="58" spans="1:6" x14ac:dyDescent="0.2">
      <c r="B58" s="6"/>
      <c r="C58" s="6"/>
      <c r="D58" s="6"/>
      <c r="E58" s="6"/>
      <c r="F58" s="6"/>
    </row>
    <row r="59" spans="1:6" x14ac:dyDescent="0.2">
      <c r="B59" s="6"/>
      <c r="C59" s="6"/>
      <c r="D59" s="6"/>
      <c r="E59" s="6"/>
      <c r="F59" s="6"/>
    </row>
    <row r="60" spans="1:6" x14ac:dyDescent="0.2">
      <c r="B60" s="6"/>
      <c r="C60" s="6"/>
      <c r="D60" s="6"/>
      <c r="E60" s="6"/>
      <c r="F60" s="6"/>
    </row>
    <row r="61" spans="1:6" x14ac:dyDescent="0.2">
      <c r="B61" s="6"/>
      <c r="C61" s="6"/>
      <c r="D61" s="6"/>
      <c r="E61" s="6"/>
      <c r="F61" s="6"/>
    </row>
    <row r="62" spans="1:6" x14ac:dyDescent="0.2">
      <c r="B62" s="6"/>
      <c r="C62" s="6"/>
      <c r="D62" s="6"/>
      <c r="E62" s="6"/>
      <c r="F62" s="6"/>
    </row>
    <row r="63" spans="1:6" x14ac:dyDescent="0.2">
      <c r="B63" s="6"/>
      <c r="C63" s="6"/>
      <c r="D63" s="6"/>
      <c r="E63" s="6"/>
      <c r="F63" s="6"/>
    </row>
    <row r="64" spans="1:6" x14ac:dyDescent="0.2">
      <c r="B64" s="6"/>
      <c r="C64" s="6"/>
      <c r="D64" s="6"/>
      <c r="E64" s="6"/>
      <c r="F64" s="6"/>
    </row>
    <row r="65" spans="2:6" x14ac:dyDescent="0.2">
      <c r="B65" s="6"/>
      <c r="C65" s="6"/>
      <c r="D65" s="6"/>
      <c r="E65" s="6"/>
      <c r="F65" s="6"/>
    </row>
    <row r="66" spans="2:6" x14ac:dyDescent="0.2">
      <c r="B66" s="6"/>
      <c r="C66" s="6"/>
      <c r="D66" s="6"/>
      <c r="E66" s="6"/>
      <c r="F66" s="6"/>
    </row>
    <row r="67" spans="2:6" x14ac:dyDescent="0.2">
      <c r="B67" s="6"/>
      <c r="C67" s="6"/>
      <c r="D67" s="6"/>
      <c r="E67" s="6"/>
      <c r="F67" s="6"/>
    </row>
    <row r="68" spans="2:6" x14ac:dyDescent="0.2">
      <c r="B68" s="6"/>
      <c r="C68" s="6"/>
      <c r="D68" s="6"/>
      <c r="E68" s="6"/>
      <c r="F68" s="6"/>
    </row>
    <row r="69" spans="2:6" x14ac:dyDescent="0.2">
      <c r="B69" s="6"/>
      <c r="C69" s="6"/>
      <c r="D69" s="6"/>
      <c r="E69" s="6"/>
      <c r="F69" s="6"/>
    </row>
    <row r="70" spans="2:6" x14ac:dyDescent="0.2">
      <c r="B70" s="6"/>
      <c r="C70" s="6"/>
      <c r="D70" s="6"/>
      <c r="E70" s="6"/>
      <c r="F70" s="6"/>
    </row>
    <row r="71" spans="2:6" x14ac:dyDescent="0.2">
      <c r="B71" s="6"/>
      <c r="C71" s="6"/>
      <c r="D71" s="6"/>
      <c r="E71" s="6"/>
      <c r="F71" s="6"/>
    </row>
    <row r="72" spans="2:6" x14ac:dyDescent="0.2">
      <c r="B72" s="6"/>
      <c r="C72" s="6"/>
      <c r="D72" s="6"/>
      <c r="E72" s="6"/>
      <c r="F72" s="6"/>
    </row>
    <row r="73" spans="2:6" x14ac:dyDescent="0.2">
      <c r="B73" s="6"/>
      <c r="C73" s="6"/>
      <c r="D73" s="6"/>
      <c r="E73" s="6"/>
      <c r="F73" s="6"/>
    </row>
    <row r="74" spans="2:6" x14ac:dyDescent="0.2">
      <c r="B74" s="6"/>
      <c r="C74" s="6"/>
      <c r="D74" s="6"/>
      <c r="E74" s="6"/>
      <c r="F74" s="6"/>
    </row>
    <row r="75" spans="2:6" x14ac:dyDescent="0.2">
      <c r="B75" s="6"/>
      <c r="C75" s="6"/>
      <c r="D75" s="6"/>
      <c r="E75" s="6"/>
      <c r="F75" s="6"/>
    </row>
    <row r="76" spans="2:6" x14ac:dyDescent="0.2">
      <c r="B76" s="6"/>
      <c r="C76" s="6"/>
      <c r="D76" s="6"/>
      <c r="E76" s="6"/>
      <c r="F76" s="6"/>
    </row>
    <row r="77" spans="2:6" x14ac:dyDescent="0.2">
      <c r="B77" s="6"/>
      <c r="C77" s="6"/>
      <c r="D77" s="6"/>
      <c r="E77" s="6"/>
      <c r="F77" s="6"/>
    </row>
    <row r="78" spans="2:6" x14ac:dyDescent="0.2">
      <c r="B78" s="6"/>
      <c r="C78" s="6"/>
      <c r="D78" s="6"/>
      <c r="E78" s="6"/>
      <c r="F78" s="6"/>
    </row>
    <row r="79" spans="2:6" x14ac:dyDescent="0.2">
      <c r="B79" s="6"/>
      <c r="C79" s="6"/>
      <c r="D79" s="6"/>
      <c r="E79" s="6"/>
      <c r="F79" s="6"/>
    </row>
    <row r="80" spans="2:6" x14ac:dyDescent="0.2">
      <c r="B80" s="6"/>
      <c r="C80" s="6"/>
      <c r="D80" s="6"/>
      <c r="E80" s="6"/>
      <c r="F80" s="6"/>
    </row>
    <row r="81" spans="2:6" x14ac:dyDescent="0.2">
      <c r="B81" s="6"/>
      <c r="C81" s="6"/>
      <c r="D81" s="6"/>
      <c r="E81" s="6"/>
      <c r="F81" s="6"/>
    </row>
    <row r="82" spans="2:6" x14ac:dyDescent="0.2">
      <c r="B82" s="6"/>
      <c r="C82" s="6"/>
      <c r="D82" s="6"/>
      <c r="E82" s="6"/>
      <c r="F82" s="6"/>
    </row>
    <row r="83" spans="2:6" x14ac:dyDescent="0.2">
      <c r="B83" s="6"/>
      <c r="C83" s="6"/>
      <c r="D83" s="6"/>
      <c r="E83" s="6"/>
      <c r="F83" s="6"/>
    </row>
    <row r="84" spans="2:6" x14ac:dyDescent="0.2">
      <c r="B84" s="6"/>
      <c r="C84" s="6"/>
      <c r="D84" s="6"/>
      <c r="E84" s="6"/>
      <c r="F84" s="6"/>
    </row>
    <row r="85" spans="2:6" x14ac:dyDescent="0.2">
      <c r="B85" s="6"/>
      <c r="C85" s="6"/>
      <c r="D85" s="6"/>
      <c r="E85" s="6"/>
      <c r="F85" s="6"/>
    </row>
    <row r="86" spans="2:6" x14ac:dyDescent="0.2">
      <c r="B86" s="6"/>
      <c r="C86" s="6"/>
      <c r="D86" s="6"/>
      <c r="E86" s="6"/>
      <c r="F86" s="6"/>
    </row>
    <row r="87" spans="2:6" x14ac:dyDescent="0.2">
      <c r="B87" s="6"/>
      <c r="C87" s="6"/>
      <c r="D87" s="6"/>
      <c r="E87" s="6"/>
      <c r="F87" s="6"/>
    </row>
    <row r="88" spans="2:6" x14ac:dyDescent="0.2">
      <c r="B88" s="6"/>
      <c r="C88" s="6"/>
      <c r="D88" s="6"/>
      <c r="E88" s="6"/>
      <c r="F88" s="6"/>
    </row>
    <row r="89" spans="2:6" x14ac:dyDescent="0.2">
      <c r="B89" s="6"/>
    </row>
  </sheetData>
  <mergeCells count="3">
    <mergeCell ref="B6:E6"/>
    <mergeCell ref="B7:E7"/>
    <mergeCell ref="C9:E9"/>
  </mergeCells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9"/>
  <sheetViews>
    <sheetView zoomScaleNormal="100" workbookViewId="0">
      <selection activeCell="D6" sqref="D6"/>
    </sheetView>
  </sheetViews>
  <sheetFormatPr baseColWidth="10" defaultRowHeight="12.75" x14ac:dyDescent="0.2"/>
  <cols>
    <col min="1" max="1" width="7.1406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2.28515625" customWidth="1"/>
    <col min="8" max="9" width="13.85546875" customWidth="1"/>
    <col min="10" max="11" width="11.42578125" customWidth="1"/>
    <col min="12" max="12" width="11.28515625" customWidth="1"/>
    <col min="13" max="13" width="11.42578125" customWidth="1"/>
    <col min="14" max="14" width="11.28515625" customWidth="1"/>
    <col min="15" max="15" width="16.28515625" customWidth="1"/>
    <col min="16" max="16" width="15" customWidth="1"/>
    <col min="17" max="17" width="12.42578125" customWidth="1"/>
    <col min="18" max="19" width="12.28515625" bestFit="1" customWidth="1"/>
  </cols>
  <sheetData>
    <row r="1" spans="1:19" x14ac:dyDescent="0.2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x14ac:dyDescent="0.2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9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9" ht="12.75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63"/>
      <c r="P4" s="6"/>
    </row>
    <row r="5" spans="1:19" ht="73.5" customHeight="1" thickBot="1" x14ac:dyDescent="0.25">
      <c r="A5" s="64" t="s">
        <v>42</v>
      </c>
      <c r="B5" s="65" t="s">
        <v>43</v>
      </c>
      <c r="C5" s="65" t="s">
        <v>44</v>
      </c>
      <c r="D5" s="65" t="s">
        <v>45</v>
      </c>
      <c r="E5" s="65" t="s">
        <v>46</v>
      </c>
      <c r="F5" s="65" t="s">
        <v>47</v>
      </c>
      <c r="G5" s="65" t="s">
        <v>48</v>
      </c>
      <c r="H5" s="65" t="s">
        <v>49</v>
      </c>
      <c r="I5" s="65" t="s">
        <v>50</v>
      </c>
      <c r="J5" s="65" t="s">
        <v>51</v>
      </c>
      <c r="K5" s="65" t="s">
        <v>52</v>
      </c>
      <c r="L5" s="65" t="s">
        <v>53</v>
      </c>
      <c r="M5" s="66" t="s">
        <v>54</v>
      </c>
      <c r="N5" s="67" t="s">
        <v>55</v>
      </c>
      <c r="O5" s="68" t="s">
        <v>56</v>
      </c>
      <c r="P5" s="69" t="s">
        <v>57</v>
      </c>
      <c r="Q5" s="70" t="s">
        <v>58</v>
      </c>
      <c r="R5" s="71"/>
    </row>
    <row r="6" spans="1:19" ht="23.1" customHeight="1" x14ac:dyDescent="0.2">
      <c r="A6" s="72" t="s">
        <v>59</v>
      </c>
      <c r="B6" s="73">
        <v>0</v>
      </c>
      <c r="C6" s="73">
        <f>3+2+10+10</f>
        <v>25</v>
      </c>
      <c r="D6" s="73">
        <f>6+5+21+21</f>
        <v>53</v>
      </c>
      <c r="E6" s="73">
        <f>2+8+7</f>
        <v>17</v>
      </c>
      <c r="F6" s="73">
        <f>3+2+3</f>
        <v>8</v>
      </c>
      <c r="G6" s="74">
        <f>2742.86+3428.57+3085.72+12571.42</f>
        <v>21828.57</v>
      </c>
      <c r="H6" s="74">
        <f>7096.87+2728.36+29851.95+26799.25+14799.83</f>
        <v>81276.259999999995</v>
      </c>
      <c r="I6" s="74"/>
      <c r="J6" s="74">
        <v>3561.8</v>
      </c>
      <c r="K6" s="74"/>
      <c r="L6" s="74">
        <f>+(1142.86*5)-9.67</f>
        <v>5704.6299999999992</v>
      </c>
      <c r="M6" s="75">
        <f>1200+685.71+190.47+190.48+190.48+571.43+571.43</f>
        <v>3599.9999999999995</v>
      </c>
      <c r="N6" s="76">
        <v>3809.53</v>
      </c>
      <c r="O6" s="76">
        <v>11347.77</v>
      </c>
      <c r="P6" s="77">
        <f>SUM(G6:O6)</f>
        <v>131128.56</v>
      </c>
      <c r="Q6" s="78"/>
      <c r="R6" s="79"/>
    </row>
    <row r="7" spans="1:19" ht="23.1" customHeight="1" x14ac:dyDescent="0.2">
      <c r="A7" s="80" t="s">
        <v>60</v>
      </c>
      <c r="B7" s="81">
        <f>2+5+2</f>
        <v>9</v>
      </c>
      <c r="C7" s="81">
        <f>1+3+3+4+4</f>
        <v>15</v>
      </c>
      <c r="D7" s="81">
        <f>4+10+25+10+7</f>
        <v>56</v>
      </c>
      <c r="E7" s="81">
        <f>1+3+3+3+3</f>
        <v>13</v>
      </c>
      <c r="F7" s="81">
        <f>2+5+3+1</f>
        <v>11</v>
      </c>
      <c r="G7" s="82">
        <f>8000+10971.42+6857.14+5142.86</f>
        <v>30971.42</v>
      </c>
      <c r="H7" s="82">
        <f>5690.11+10254.25+35312.67+20484.34+3559.49</f>
        <v>75300.86</v>
      </c>
      <c r="I7" s="82">
        <f>340.2+982.52+230.04+1050.28+1011.56+341.84+1180.56+1050.28+951.06+1052.7+1028.85+355.74+660.92+1050.28+1035.76+513.04+972.84</f>
        <v>13808.470000000001</v>
      </c>
      <c r="J7" s="82">
        <v>1687.07</v>
      </c>
      <c r="K7" s="82">
        <v>244.98</v>
      </c>
      <c r="L7" s="82">
        <f>1142.86*4</f>
        <v>4571.4399999999996</v>
      </c>
      <c r="M7" s="83">
        <f>571.43+190.47+190.48+304.76+304.76+304.77+228.57+1142.86+228.57+228.57+400+400</f>
        <v>4495.24</v>
      </c>
      <c r="N7" s="84">
        <v>0</v>
      </c>
      <c r="O7" s="84">
        <v>0</v>
      </c>
      <c r="P7" s="85">
        <f>+N7+M7+L7+J7+H7+G7+O7</f>
        <v>117026.03</v>
      </c>
      <c r="Q7" s="86">
        <f t="shared" ref="Q7:Q17" si="0">+I7+K7</f>
        <v>14053.45</v>
      </c>
    </row>
    <row r="8" spans="1:19" ht="23.1" customHeight="1" x14ac:dyDescent="0.2">
      <c r="A8" s="80" t="s">
        <v>61</v>
      </c>
      <c r="B8" s="81">
        <f>4+5+2+6</f>
        <v>17</v>
      </c>
      <c r="C8" s="81">
        <f>1+3+6</f>
        <v>10</v>
      </c>
      <c r="D8" s="81">
        <f>8+15+13+25</f>
        <v>61</v>
      </c>
      <c r="E8" s="81">
        <f>2+4+3+4</f>
        <v>13</v>
      </c>
      <c r="F8" s="81">
        <f>2+2+2+8</f>
        <v>14</v>
      </c>
      <c r="G8" s="82">
        <f>17428.44+6857.14+6857.14+6000</f>
        <v>37142.720000000001</v>
      </c>
      <c r="H8" s="82">
        <f>6535.92+17631.23+18751.52+26272.91</f>
        <v>69191.58</v>
      </c>
      <c r="I8" s="82">
        <f>1052.7+609.58+350.73+574.05+929.28+1050.28+700.35+210.54+1014.06+276.96+1050.28+1054.72+701.8+690.69+347.49+1392.47+44.55+1038.18+303.75+868.45+353.16</f>
        <v>14614.069999999998</v>
      </c>
      <c r="J8" s="82">
        <f>1052.86+1140.28</f>
        <v>2193.14</v>
      </c>
      <c r="K8" s="82">
        <f>220.24+909</f>
        <v>1129.24</v>
      </c>
      <c r="L8" s="82">
        <f>1142.86*9</f>
        <v>10285.74</v>
      </c>
      <c r="M8" s="83">
        <f>380.96+380.95+571.43+228.57+228.57+285.7+285.72+285.72+571.43+571.43+190.47+190.48+190.48+380.95+380.96+380.95+571.43+571.43+1142.86+190.48+190.48+228.57</f>
        <v>8400.0199999999986</v>
      </c>
      <c r="N8" s="84">
        <v>11428.57</v>
      </c>
      <c r="O8" s="84">
        <v>0</v>
      </c>
      <c r="P8" s="85">
        <f t="shared" ref="P8:P10" si="1">+N8+M8+L8+J8+H8+G8+O8</f>
        <v>138641.76999999999</v>
      </c>
      <c r="Q8" s="86">
        <f t="shared" si="0"/>
        <v>15743.309999999998</v>
      </c>
      <c r="R8" s="87"/>
      <c r="S8" s="87"/>
    </row>
    <row r="9" spans="1:19" ht="23.1" customHeight="1" x14ac:dyDescent="0.2">
      <c r="A9" s="80" t="s">
        <v>62</v>
      </c>
      <c r="B9" s="81">
        <f>3+8+5+5</f>
        <v>21</v>
      </c>
      <c r="C9" s="81">
        <f>5+1+1</f>
        <v>7</v>
      </c>
      <c r="D9" s="81">
        <f>8+19+12+12</f>
        <v>51</v>
      </c>
      <c r="E9" s="81">
        <f>6+4+2+4</f>
        <v>16</v>
      </c>
      <c r="F9" s="81">
        <f>2+4+4+2</f>
        <v>12</v>
      </c>
      <c r="G9" s="82">
        <f>9977.15+15257.14+10285.71+3428.57</f>
        <v>38948.57</v>
      </c>
      <c r="H9" s="82">
        <f>11477.65+42593.56+33826.62+22475.47</f>
        <v>110373.3</v>
      </c>
      <c r="I9" s="82">
        <f>1313.78+314.34+1160.64+1055.12+589.26+1055.12+453.26+162.14+705.25+297.27+621.94+314.34+1035.76+278.3+1337.96+1055.12+685.1+992.2+383.18+205.53+517.88+721.16+353.16+684.25+1052.7+176.66+1491.1+188.37+672.76+352.35+122.36+873.62+703.57</f>
        <v>21925.549999999992</v>
      </c>
      <c r="J9" s="82">
        <v>0</v>
      </c>
      <c r="K9" s="82">
        <v>0</v>
      </c>
      <c r="L9" s="82">
        <f>1142.86*9</f>
        <v>10285.74</v>
      </c>
      <c r="M9" s="83">
        <f>380.95+380.96+380.95+400+380.95+380.96+380.95+380.95+114.29+114.29+400+1028.57+1142.86+1142.86</f>
        <v>7009.5399999999991</v>
      </c>
      <c r="N9" s="84">
        <v>11428.57</v>
      </c>
      <c r="O9" s="84"/>
      <c r="P9" s="85">
        <f t="shared" si="1"/>
        <v>178045.72</v>
      </c>
      <c r="Q9" s="88">
        <f t="shared" si="0"/>
        <v>21925.549999999992</v>
      </c>
    </row>
    <row r="10" spans="1:19" ht="23.1" customHeight="1" x14ac:dyDescent="0.2">
      <c r="A10" s="80" t="s">
        <v>63</v>
      </c>
      <c r="B10" s="81">
        <f>4+4+2+7</f>
        <v>17</v>
      </c>
      <c r="C10" s="89">
        <f>1+1+1</f>
        <v>3</v>
      </c>
      <c r="D10" s="81">
        <f>11+10+4+15</f>
        <v>40</v>
      </c>
      <c r="E10" s="81">
        <f>2+3+1+5</f>
        <v>11</v>
      </c>
      <c r="F10" s="81">
        <f>3+3+1+3</f>
        <v>10</v>
      </c>
      <c r="G10" s="82">
        <f>7885.71+10285.71+10114.29+4800</f>
        <v>33085.71</v>
      </c>
      <c r="H10" s="82">
        <f>26749.93+16089.22+17894.25+23373.76</f>
        <v>84107.16</v>
      </c>
      <c r="I10" s="82">
        <f>703.57+271.04+287.98+1217.06+609.84+1209+941.38+80.19+179.82+246.5+353.97+991.38+634.5+7.26+322+1059.96+324.81+1313.78+271.04+14.52+749.58+336.15+634.04+656.89</f>
        <v>13416.260000000002</v>
      </c>
      <c r="J10" s="82">
        <f>1968.19+517.07</f>
        <v>2485.2600000000002</v>
      </c>
      <c r="K10" s="82">
        <v>2313.36</v>
      </c>
      <c r="L10" s="82">
        <f>(1142.86*3)-9.67</f>
        <v>3418.91</v>
      </c>
      <c r="M10" s="83">
        <f>266.66+266.67+266.67+380.96+380.95+1142.86+400+400+400+190.48+190.47+190.48+1142.86</f>
        <v>5619.0599999999995</v>
      </c>
      <c r="N10" s="84">
        <v>0</v>
      </c>
      <c r="O10" s="84">
        <v>0</v>
      </c>
      <c r="P10" s="85">
        <f t="shared" si="1"/>
        <v>128716.1</v>
      </c>
      <c r="Q10" s="88">
        <f t="shared" si="0"/>
        <v>15729.620000000003</v>
      </c>
    </row>
    <row r="11" spans="1:19" ht="23.1" customHeight="1" x14ac:dyDescent="0.2">
      <c r="A11" s="80" t="s">
        <v>64</v>
      </c>
      <c r="B11" s="81">
        <f>3+3+6+4</f>
        <v>16</v>
      </c>
      <c r="C11" s="81">
        <f>1+1+2</f>
        <v>4</v>
      </c>
      <c r="D11" s="81">
        <f>11+5+13+11</f>
        <v>40</v>
      </c>
      <c r="E11" s="81">
        <f>2+3+5+4</f>
        <v>14</v>
      </c>
      <c r="F11" s="81">
        <f>2+1+1+2</f>
        <v>6</v>
      </c>
      <c r="G11" s="82">
        <f>6857.14+4594.28+6857.14+6857.14</f>
        <v>25165.7</v>
      </c>
      <c r="H11" s="82">
        <f>14437.69+4604.99+15715.77+22793.41</f>
        <v>57551.86</v>
      </c>
      <c r="I11" s="82">
        <f>10257.54+1059.96+287.98+1329.9+352.35+464.64+1059.96+895.4+1040.6+264.05+655.82+332.91+351.54+729.33+415.38+231.24+842.16+1059.96+671.37</f>
        <v>22302.09</v>
      </c>
      <c r="J11" s="82">
        <v>0</v>
      </c>
      <c r="K11" s="82">
        <v>0</v>
      </c>
      <c r="L11" s="82">
        <f>1142.86*3</f>
        <v>3428.58</v>
      </c>
      <c r="M11" s="83">
        <f>228.57+285.7+285.72+285.72+285.72+285.72+285.72+228.57+380.95+285.72+285.71</f>
        <v>3123.8199999999997</v>
      </c>
      <c r="N11" s="84">
        <v>11428.57</v>
      </c>
      <c r="O11" s="84">
        <v>0</v>
      </c>
      <c r="P11" s="85">
        <f>+O11+N11+M11+L11+J11+H11+G11</f>
        <v>100698.53</v>
      </c>
      <c r="Q11" s="88">
        <f t="shared" si="0"/>
        <v>22302.09</v>
      </c>
    </row>
    <row r="12" spans="1:19" ht="23.1" customHeight="1" x14ac:dyDescent="0.2">
      <c r="A12" s="80" t="s">
        <v>65</v>
      </c>
      <c r="B12" s="81">
        <f>7+6</f>
        <v>13</v>
      </c>
      <c r="C12" s="81">
        <f>1</f>
        <v>1</v>
      </c>
      <c r="D12" s="81">
        <f>19+10</f>
        <v>29</v>
      </c>
      <c r="E12" s="81">
        <f>6+4</f>
        <v>10</v>
      </c>
      <c r="F12" s="81">
        <f>2+2</f>
        <v>4</v>
      </c>
      <c r="G12" s="82">
        <f>12857.14+4114.28+9428.57+10285.71</f>
        <v>36685.699999999997</v>
      </c>
      <c r="H12" s="82">
        <f>16325.07+25063.86+11315.76+21657.07+14578.05+17103.32</f>
        <v>106043.13</v>
      </c>
      <c r="I12" s="82">
        <f>1050.28+323.19+356.4+1059.96+1064.8+895.4+1026.08+909.92+271.04+1483.04+234.74+1426.62+1062.38+1062.38+325.22+1149.12+951.08+126.36+237.16+838.24+681.03+271.04+24.18+749.5+679.42+655.82+590.48+708.4+596.44+353.16+1062.38+246.33+624.36+953.48+227.61+125.84+664.95</f>
        <v>25067.830000000005</v>
      </c>
      <c r="J12" s="82">
        <v>1007.62</v>
      </c>
      <c r="K12" s="82">
        <f>262.16+342</f>
        <v>604.16000000000008</v>
      </c>
      <c r="L12" s="82">
        <f>(1142.86*9)-(9.67+19.34)</f>
        <v>10256.73</v>
      </c>
      <c r="M12" s="83">
        <f>1142.86+285.72+285.7+285.72+285.72+571.43+571.43+285.71+285.72+142.86+142.86+142.85+1200+1142.86+1142.86+285.71+285.73+380.95+380.96+380.95+285.72+571.43+571.43+285.72+285.7</f>
        <v>11628.599999999999</v>
      </c>
      <c r="N12" s="84">
        <v>11428.57</v>
      </c>
      <c r="O12" s="84">
        <v>0</v>
      </c>
      <c r="P12" s="85">
        <f>+O12+N12+M12+L12+J12+H12+G12</f>
        <v>177050.34999999998</v>
      </c>
      <c r="Q12" s="88">
        <f t="shared" si="0"/>
        <v>25671.990000000005</v>
      </c>
      <c r="R12" s="26"/>
      <c r="S12" s="26"/>
    </row>
    <row r="13" spans="1:19" ht="23.1" customHeight="1" x14ac:dyDescent="0.2">
      <c r="A13" s="80" t="s">
        <v>66</v>
      </c>
      <c r="B13" s="81">
        <v>21</v>
      </c>
      <c r="C13" s="81">
        <v>3</v>
      </c>
      <c r="D13" s="81">
        <v>56</v>
      </c>
      <c r="E13" s="81">
        <v>12</v>
      </c>
      <c r="F13" s="81">
        <v>12</v>
      </c>
      <c r="G13" s="82">
        <v>29142.84</v>
      </c>
      <c r="H13" s="82">
        <v>127362.55</v>
      </c>
      <c r="I13" s="82">
        <v>22496.16</v>
      </c>
      <c r="J13" s="82">
        <v>0</v>
      </c>
      <c r="K13" s="82">
        <v>0</v>
      </c>
      <c r="L13" s="82">
        <f>1142.86*5</f>
        <v>5714.2999999999993</v>
      </c>
      <c r="M13" s="83">
        <f>228.57+285.71+285.71+380.95+380.96+380.95+380.96+380.95+380.95+1142.86</f>
        <v>4228.57</v>
      </c>
      <c r="N13" s="84">
        <v>20000</v>
      </c>
      <c r="O13" s="84">
        <v>0</v>
      </c>
      <c r="P13" s="85">
        <f t="shared" ref="P13:P17" si="2">+O13+N13+M13+L13+J13+H13+G13</f>
        <v>186448.26</v>
      </c>
      <c r="Q13" s="88">
        <f t="shared" si="0"/>
        <v>22496.16</v>
      </c>
      <c r="R13" s="90"/>
    </row>
    <row r="14" spans="1:19" ht="23.1" customHeight="1" x14ac:dyDescent="0.2">
      <c r="A14" s="91" t="s">
        <v>67</v>
      </c>
      <c r="B14" s="92">
        <f>9+1+7+4</f>
        <v>21</v>
      </c>
      <c r="C14" s="93">
        <f>1+1+1</f>
        <v>3</v>
      </c>
      <c r="D14" s="92">
        <f>21+5+7+14</f>
        <v>47</v>
      </c>
      <c r="E14" s="92">
        <f>6+1+4+3</f>
        <v>14</v>
      </c>
      <c r="F14" s="92">
        <v>10</v>
      </c>
      <c r="G14" s="94">
        <f>3428.57+3428.57+6857.14+10560</f>
        <v>24274.28</v>
      </c>
      <c r="H14" s="94">
        <f>42646.37+1133.95+34207.52+51364.1</f>
        <v>129351.94</v>
      </c>
      <c r="I14" s="94">
        <f>116.16+511.81+302.68+394.94+287.98+612.56+740.25+1636.18+0.81+125.84+1434.68+526.47+357.21+717.34+230.23+227.48+1603.94+20.93+254.1+311.04+21.87+664.93+355.74+854.36+154.56+162.14+1628.12+1062.38+658.49+429.58+987.36</f>
        <v>17392.160000000003</v>
      </c>
      <c r="J14" s="94">
        <v>0</v>
      </c>
      <c r="K14" s="94">
        <v>0</v>
      </c>
      <c r="L14" s="94">
        <f>1142.86*7</f>
        <v>8000.0199999999995</v>
      </c>
      <c r="M14" s="95">
        <f>380.96+200+200+200+200+142.85+142.86+142.86+142.86+1200+1200</f>
        <v>4152.3900000000003</v>
      </c>
      <c r="N14" s="84">
        <v>0</v>
      </c>
      <c r="O14" s="84">
        <v>0</v>
      </c>
      <c r="P14" s="85">
        <f t="shared" si="2"/>
        <v>165778.63</v>
      </c>
      <c r="Q14" s="88">
        <f t="shared" si="0"/>
        <v>17392.160000000003</v>
      </c>
      <c r="R14" s="79"/>
    </row>
    <row r="15" spans="1:19" ht="23.1" customHeight="1" x14ac:dyDescent="0.2">
      <c r="A15" s="96" t="s">
        <v>68</v>
      </c>
      <c r="B15" s="97">
        <f>6+8+6+6+1</f>
        <v>27</v>
      </c>
      <c r="C15" s="98">
        <f>0+1</f>
        <v>1</v>
      </c>
      <c r="D15" s="98">
        <f>14+23+14+10+3</f>
        <v>64</v>
      </c>
      <c r="E15" s="98">
        <f>5+6+3+3+1</f>
        <v>18</v>
      </c>
      <c r="F15" s="98">
        <f>1+2+4+3</f>
        <v>10</v>
      </c>
      <c r="G15" s="99">
        <f>3428.57+17142.85+8571.43+7542.85</f>
        <v>36685.699999999997</v>
      </c>
      <c r="H15" s="99">
        <f>8090.87+77400.48+7245.86+10285.71+14958.53</f>
        <v>117981.44999999998</v>
      </c>
      <c r="I15" s="99">
        <f>1064.8+271.04+24.18+749.58+685.86+227.48+355.59+136.85+668.98+568.23+94.25+943.8+710.01+103.68+713.9+356.4+503.36+740.25+343.44+378.82+782.55+408.98+439.27+355.59+8189.28+1069.64+1030.92+324.81+1072.06+710.01+349.11</f>
        <v>24372.719999999998</v>
      </c>
      <c r="J15" s="99">
        <f>1142.86+1687.13</f>
        <v>2829.99</v>
      </c>
      <c r="K15" s="99">
        <f>1222.2+415.84</f>
        <v>1638.04</v>
      </c>
      <c r="L15" s="99">
        <f>(3*1142.86)+1133.19+1123.52</f>
        <v>5685.2900000000009</v>
      </c>
      <c r="M15" s="99">
        <f>1028.57+380.95+182.85+182.86+182.86+182.86+182.86+160+160+160+160+160+285.7+285.72+285.72+285.72+380.96+380.95+380.95</f>
        <v>5409.5300000000007</v>
      </c>
      <c r="N15" s="84">
        <v>0</v>
      </c>
      <c r="O15" s="84">
        <v>0</v>
      </c>
      <c r="P15" s="85">
        <f t="shared" si="2"/>
        <v>168591.95999999996</v>
      </c>
      <c r="Q15" s="88">
        <f t="shared" si="0"/>
        <v>26010.76</v>
      </c>
    </row>
    <row r="16" spans="1:19" ht="23.1" customHeight="1" x14ac:dyDescent="0.2">
      <c r="A16" s="100" t="s">
        <v>69</v>
      </c>
      <c r="B16" s="101">
        <f>5+3+5+6</f>
        <v>19</v>
      </c>
      <c r="C16" s="101">
        <f>1+2</f>
        <v>3</v>
      </c>
      <c r="D16" s="101">
        <f>14+13+12+25</f>
        <v>64</v>
      </c>
      <c r="E16" s="101">
        <f>3+5+3+2+2</f>
        <v>15</v>
      </c>
      <c r="F16" s="101">
        <f>2+2+5+1</f>
        <v>10</v>
      </c>
      <c r="G16" s="102">
        <f>13714.28+3428.57+6857.13+12342.84</f>
        <v>36342.820000000007</v>
      </c>
      <c r="H16" s="102">
        <f>9100.93+11078.53+5113.85+25620</f>
        <v>50913.31</v>
      </c>
      <c r="I16" s="102">
        <f>524.86+188.76+387.2+851.84+332.91+79.86+1531.4+357.21+1059.96+726+230.23+68.85+713.9+1122.3+1072.06+605.36+242+208.68</f>
        <v>10303.380000000001</v>
      </c>
      <c r="J16" s="102">
        <v>803.24</v>
      </c>
      <c r="K16" s="102">
        <v>84.63</v>
      </c>
      <c r="L16" s="102">
        <f>1142.86*8</f>
        <v>9142.8799999999992</v>
      </c>
      <c r="M16" s="102">
        <f>571.43+1142.86+571.43+285.72+285.72+285.72+285.7</f>
        <v>3428.58</v>
      </c>
      <c r="N16" s="84">
        <v>0</v>
      </c>
      <c r="O16" s="84">
        <v>0</v>
      </c>
      <c r="P16" s="85">
        <f t="shared" si="2"/>
        <v>100630.83</v>
      </c>
      <c r="Q16" s="88">
        <f t="shared" si="0"/>
        <v>10388.01</v>
      </c>
    </row>
    <row r="17" spans="1:19" ht="23.1" customHeight="1" x14ac:dyDescent="0.2">
      <c r="A17" s="103" t="s">
        <v>70</v>
      </c>
      <c r="B17" s="104">
        <f>7</f>
        <v>7</v>
      </c>
      <c r="C17" s="104">
        <f>3</f>
        <v>3</v>
      </c>
      <c r="D17" s="104">
        <f>26</f>
        <v>26</v>
      </c>
      <c r="E17" s="104">
        <f>7</f>
        <v>7</v>
      </c>
      <c r="F17" s="104">
        <f>3</f>
        <v>3</v>
      </c>
      <c r="G17" s="105">
        <f>9257.14+4285.71+3428.57+3428.58</f>
        <v>20400</v>
      </c>
      <c r="H17" s="105">
        <f>25322.1+3389.88+6199.54+19912.04+10040.93</f>
        <v>64864.49</v>
      </c>
      <c r="I17" s="105">
        <f>99.22+411.06+387.2+895.4+955.9+132.84+450.8+970.42+1030.92+620.62+234.74+1426.62+340.2+1023.66+684.86+658.24+75.02+1074.48+1006.72+379.96+1668.42+351.54+1062.38</f>
        <v>15941.220000000001</v>
      </c>
      <c r="J17" s="105">
        <v>5720.18</v>
      </c>
      <c r="K17" s="105">
        <f>3143.6+116.61</f>
        <v>3260.21</v>
      </c>
      <c r="L17" s="105">
        <f>1142.86*2</f>
        <v>2285.7199999999998</v>
      </c>
      <c r="M17" s="105">
        <f>171.43+171.42+171.43+171.43+380.95+380.96+380.95+190.48+190.47+190.48+571.43+571.43+228.57+228.58+228.57+228.57+228.57</f>
        <v>4685.7199999999993</v>
      </c>
      <c r="N17" s="99">
        <v>0</v>
      </c>
      <c r="O17" s="99">
        <v>0</v>
      </c>
      <c r="P17" s="85">
        <f t="shared" si="2"/>
        <v>97956.11</v>
      </c>
      <c r="Q17" s="88">
        <f t="shared" si="0"/>
        <v>19201.43</v>
      </c>
    </row>
    <row r="18" spans="1:19" ht="23.1" customHeight="1" x14ac:dyDescent="0.2">
      <c r="A18" s="106" t="s">
        <v>0</v>
      </c>
      <c r="B18" s="107">
        <f>SUM(B6:B17)</f>
        <v>188</v>
      </c>
      <c r="C18" s="107">
        <f t="shared" ref="C18:O18" si="3">SUM(C6:C17)</f>
        <v>78</v>
      </c>
      <c r="D18" s="107">
        <f t="shared" si="3"/>
        <v>587</v>
      </c>
      <c r="E18" s="107">
        <f t="shared" si="3"/>
        <v>160</v>
      </c>
      <c r="F18" s="107">
        <f t="shared" si="3"/>
        <v>110</v>
      </c>
      <c r="G18" s="108">
        <f t="shared" si="3"/>
        <v>370674.03</v>
      </c>
      <c r="H18" s="108">
        <f t="shared" si="3"/>
        <v>1074317.8900000001</v>
      </c>
      <c r="I18" s="108">
        <f>SUM(I6:I17)</f>
        <v>201639.91</v>
      </c>
      <c r="J18" s="108">
        <f t="shared" si="3"/>
        <v>20288.300000000003</v>
      </c>
      <c r="K18" s="108">
        <f>SUM(K7:K17)</f>
        <v>9274.619999999999</v>
      </c>
      <c r="L18" s="108">
        <f>SUM(L6:L17)</f>
        <v>78779.98</v>
      </c>
      <c r="M18" s="108">
        <f>SUM(M6:M17)</f>
        <v>65781.069999999992</v>
      </c>
      <c r="N18" s="108">
        <f t="shared" si="3"/>
        <v>69523.81</v>
      </c>
      <c r="O18" s="108">
        <f t="shared" si="3"/>
        <v>11347.77</v>
      </c>
      <c r="P18" s="108">
        <f>SUM(P6:P17)</f>
        <v>1690712.8499999999</v>
      </c>
      <c r="Q18" s="109">
        <f>SUM(Q7:Q17)</f>
        <v>210914.53</v>
      </c>
      <c r="R18" s="110"/>
    </row>
    <row r="19" spans="1:19" ht="27" customHeight="1" x14ac:dyDescent="0.2">
      <c r="A19" s="111" t="s">
        <v>71</v>
      </c>
      <c r="B19" s="112"/>
      <c r="C19" s="112"/>
      <c r="D19" s="112"/>
      <c r="E19" s="112"/>
      <c r="F19" s="112"/>
      <c r="G19" s="113"/>
      <c r="H19" s="113">
        <f>(45.98+14.49+148.05+195.15+57.31)+(24.18+31.46+127.32+87.09+2.42)+(35.52+83.06+105.62+149.94)+(8.09+263.58+104.81+95.95)+(107.2+25.05+105.75+54.83)+(76.59+12.15+55.56+63.73)+(86.35+79+112.81+57.2+88.69+39.54)+(76.58+149.12+150.62+9.69)+(50.76+8.91+78.19+64.48)+(23.41+256.68+11.29+12.89)+(41.92+7.29+29.01+94.28)+(106.46+29.03+87.84+73.36+38.69)</f>
        <v>3944.9700000000007</v>
      </c>
      <c r="I19" s="113"/>
      <c r="J19" s="113">
        <f>438.2+27.22+(90+145.44)+(317.52+54.36)+(135.24)+27.16+(53.9)+(108.4)</f>
        <v>1397.44</v>
      </c>
      <c r="K19" s="113"/>
      <c r="L19" s="113">
        <f>9.67+9.67+19.34+9.67+9.67+19.34</f>
        <v>77.36</v>
      </c>
      <c r="M19" s="113"/>
      <c r="N19" s="113"/>
      <c r="O19" s="113">
        <v>80.8</v>
      </c>
      <c r="P19" s="114">
        <f>SUM(H19:O19)</f>
        <v>5500.5700000000006</v>
      </c>
      <c r="Q19" s="115"/>
      <c r="R19" s="110"/>
    </row>
    <row r="20" spans="1:19" ht="27" customHeight="1" thickBot="1" x14ac:dyDescent="0.25">
      <c r="A20" s="116" t="s">
        <v>72</v>
      </c>
      <c r="B20" s="117"/>
      <c r="C20" s="117"/>
      <c r="D20" s="117"/>
      <c r="E20" s="117"/>
      <c r="F20" s="117"/>
      <c r="G20" s="118">
        <f>+G18</f>
        <v>370674.03</v>
      </c>
      <c r="H20" s="118">
        <f>+H19+H18</f>
        <v>1078262.8600000001</v>
      </c>
      <c r="I20" s="118">
        <f>+I18</f>
        <v>201639.91</v>
      </c>
      <c r="J20" s="118">
        <f t="shared" ref="J20:O20" si="4">+J19+J18</f>
        <v>21685.74</v>
      </c>
      <c r="K20" s="118">
        <f>+K18</f>
        <v>9274.619999999999</v>
      </c>
      <c r="L20" s="118">
        <f t="shared" si="4"/>
        <v>78857.34</v>
      </c>
      <c r="M20" s="118">
        <f t="shared" si="4"/>
        <v>65781.069999999992</v>
      </c>
      <c r="N20" s="118">
        <f t="shared" si="4"/>
        <v>69523.81</v>
      </c>
      <c r="O20" s="118">
        <f t="shared" si="4"/>
        <v>11428.57</v>
      </c>
      <c r="P20" s="119">
        <f>SUM(P18:P19)</f>
        <v>1696213.42</v>
      </c>
      <c r="Q20" s="120">
        <f>+Q18+Q19</f>
        <v>210914.53</v>
      </c>
    </row>
    <row r="21" spans="1:19" x14ac:dyDescent="0.2">
      <c r="A21" s="121"/>
      <c r="B21" s="122"/>
      <c r="C21" s="122"/>
      <c r="D21" s="122"/>
      <c r="E21" s="122"/>
      <c r="F21" s="122"/>
      <c r="G21" s="12"/>
      <c r="H21" s="122"/>
      <c r="I21" s="122"/>
      <c r="J21" s="12"/>
      <c r="K21" s="12"/>
      <c r="L21" s="12"/>
      <c r="M21" s="12"/>
      <c r="N21" s="12"/>
      <c r="O21" s="6" t="s">
        <v>73</v>
      </c>
      <c r="Q21" s="123"/>
    </row>
    <row r="22" spans="1:19" x14ac:dyDescent="0.2">
      <c r="A22" s="121"/>
      <c r="B22" s="12"/>
      <c r="C22" s="122"/>
      <c r="D22" s="122"/>
      <c r="E22" s="122"/>
      <c r="F22" s="122"/>
      <c r="G22" s="12"/>
      <c r="H22" s="122"/>
      <c r="I22" s="122"/>
      <c r="J22" s="12"/>
      <c r="K22" s="12"/>
      <c r="L22" s="12"/>
      <c r="M22" s="12"/>
      <c r="N22" s="12"/>
      <c r="O22" s="12"/>
      <c r="P22" s="124"/>
      <c r="Q22" s="123"/>
    </row>
    <row r="23" spans="1:19" x14ac:dyDescent="0.2">
      <c r="A23" s="121"/>
      <c r="B23" s="12"/>
      <c r="C23" s="122"/>
      <c r="D23" s="122"/>
      <c r="E23" s="122"/>
      <c r="F23" s="122"/>
      <c r="G23" s="12"/>
      <c r="H23" s="122"/>
      <c r="I23" s="122"/>
      <c r="J23" s="12"/>
      <c r="K23" s="12"/>
      <c r="L23" s="12"/>
      <c r="M23" s="12"/>
      <c r="N23" s="12"/>
      <c r="O23" s="12"/>
      <c r="P23" s="125"/>
      <c r="Q23" s="123"/>
    </row>
    <row r="24" spans="1:19" x14ac:dyDescent="0.2">
      <c r="A24" s="121"/>
      <c r="B24" s="12"/>
      <c r="C24" s="122"/>
      <c r="D24" s="122"/>
      <c r="E24" s="122"/>
      <c r="F24" s="122"/>
      <c r="G24" s="12"/>
      <c r="H24" s="122"/>
      <c r="I24" s="122"/>
      <c r="J24" s="12"/>
      <c r="K24" s="12"/>
      <c r="L24" s="12"/>
      <c r="M24" s="12"/>
      <c r="N24" s="12"/>
      <c r="O24" s="12"/>
      <c r="P24" s="126"/>
      <c r="Q24" s="127"/>
    </row>
    <row r="25" spans="1:19" x14ac:dyDescent="0.2">
      <c r="A25" s="121"/>
      <c r="B25" s="2"/>
      <c r="C25" s="122"/>
      <c r="D25" s="122"/>
      <c r="E25" s="122"/>
      <c r="F25" s="122"/>
      <c r="G25" s="12"/>
      <c r="H25" s="122"/>
      <c r="I25" s="122"/>
      <c r="J25" s="12"/>
      <c r="K25" s="12"/>
      <c r="L25" s="12"/>
      <c r="M25" s="12"/>
      <c r="N25" s="12"/>
      <c r="O25" s="12"/>
      <c r="P25" s="126"/>
      <c r="Q25" s="127"/>
    </row>
    <row r="26" spans="1:19" x14ac:dyDescent="0.2">
      <c r="A26" s="121"/>
      <c r="B26" s="2"/>
      <c r="C26" s="121"/>
      <c r="D26" s="121"/>
      <c r="E26" s="121"/>
      <c r="F26" s="121"/>
      <c r="G26" s="2"/>
      <c r="H26" s="121"/>
      <c r="I26" s="121"/>
      <c r="J26" s="2"/>
      <c r="K26" s="2"/>
      <c r="L26" s="2"/>
      <c r="M26" s="2"/>
      <c r="N26" s="2"/>
      <c r="O26" s="2"/>
      <c r="P26" s="126"/>
      <c r="Q26" s="128"/>
    </row>
    <row r="27" spans="1:19" x14ac:dyDescent="0.2">
      <c r="A27" s="121"/>
      <c r="B27" s="2"/>
      <c r="C27" s="121"/>
      <c r="D27" s="121"/>
      <c r="E27" s="121"/>
      <c r="F27" s="121"/>
      <c r="G27" s="2"/>
      <c r="H27" s="129"/>
      <c r="I27" s="129"/>
      <c r="P27" s="130"/>
      <c r="Q27" s="128"/>
    </row>
    <row r="28" spans="1:19" x14ac:dyDescent="0.2">
      <c r="A28" s="121"/>
      <c r="B28" s="2"/>
      <c r="C28" s="129"/>
      <c r="D28" s="129"/>
      <c r="E28" s="129"/>
      <c r="F28" s="129"/>
      <c r="G28" s="6"/>
      <c r="H28" s="129"/>
      <c r="I28" s="129"/>
      <c r="P28" s="130"/>
      <c r="Q28" s="128"/>
    </row>
    <row r="29" spans="1:19" x14ac:dyDescent="0.2">
      <c r="A29" s="121"/>
      <c r="B29" s="12"/>
      <c r="C29" s="122"/>
      <c r="D29" s="122"/>
      <c r="E29" s="122"/>
      <c r="F29" s="122"/>
      <c r="G29" s="12"/>
      <c r="H29" s="122"/>
      <c r="I29" s="122"/>
      <c r="J29" s="12"/>
      <c r="K29" s="12"/>
      <c r="L29" s="12"/>
      <c r="M29" s="12"/>
      <c r="P29" s="130"/>
      <c r="Q29" s="128"/>
    </row>
    <row r="30" spans="1:19" x14ac:dyDescent="0.2">
      <c r="A30" s="121"/>
      <c r="B30" s="12"/>
      <c r="C30" s="129"/>
      <c r="D30" s="129"/>
      <c r="E30" s="129"/>
      <c r="F30" s="129"/>
      <c r="G30" s="6"/>
      <c r="H30" s="129"/>
      <c r="I30" s="129"/>
      <c r="P30" s="130"/>
      <c r="Q30" s="128"/>
    </row>
    <row r="31" spans="1:19" x14ac:dyDescent="0.2">
      <c r="A31" s="121"/>
      <c r="B31" s="12"/>
      <c r="C31" s="129"/>
      <c r="D31" s="129"/>
      <c r="E31" s="129"/>
      <c r="F31" s="129"/>
      <c r="G31" s="6"/>
      <c r="H31" s="129"/>
      <c r="I31" s="129"/>
      <c r="P31" s="130"/>
      <c r="Q31" s="128"/>
    </row>
    <row r="32" spans="1:19" x14ac:dyDescent="0.2">
      <c r="A32" s="6" t="s">
        <v>19</v>
      </c>
      <c r="E32" s="131"/>
      <c r="G32" s="26"/>
      <c r="H32" s="26"/>
      <c r="J32" s="26"/>
      <c r="M32" s="6" t="s">
        <v>20</v>
      </c>
      <c r="N32" s="6"/>
      <c r="O32" s="6"/>
      <c r="P32" s="6"/>
      <c r="S32" s="6" t="s">
        <v>13</v>
      </c>
    </row>
    <row r="33" spans="1:17" x14ac:dyDescent="0.2">
      <c r="A33" s="20" t="s">
        <v>74</v>
      </c>
      <c r="B33" s="132"/>
      <c r="C33" s="6"/>
      <c r="D33" s="6"/>
      <c r="E33" s="133"/>
      <c r="M33" s="6" t="s">
        <v>75</v>
      </c>
      <c r="N33" s="6"/>
    </row>
    <row r="34" spans="1:17" x14ac:dyDescent="0.2">
      <c r="A34" s="134" t="s">
        <v>76</v>
      </c>
      <c r="B34" s="12"/>
      <c r="C34" s="12"/>
      <c r="D34" s="12"/>
      <c r="E34" s="133"/>
      <c r="F34" s="12"/>
      <c r="G34" s="12"/>
      <c r="H34" s="12"/>
      <c r="I34" s="12"/>
      <c r="J34" s="26"/>
      <c r="K34" s="26"/>
      <c r="L34" s="26"/>
      <c r="M34" s="12" t="s">
        <v>77</v>
      </c>
      <c r="N34" s="12"/>
      <c r="O34" s="12"/>
      <c r="P34" s="15"/>
    </row>
    <row r="35" spans="1:17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63"/>
    </row>
    <row r="36" spans="1:17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</row>
    <row r="37" spans="1:17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63"/>
    </row>
    <row r="38" spans="1:17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40" spans="1:17" x14ac:dyDescent="0.2">
      <c r="A40" s="133"/>
      <c r="F40" s="6"/>
      <c r="G40" s="128"/>
    </row>
    <row r="41" spans="1:17" x14ac:dyDescent="0.2">
      <c r="F41" s="12"/>
      <c r="G41" s="123"/>
      <c r="N41" s="12"/>
      <c r="O41" s="12"/>
      <c r="P41" s="12"/>
    </row>
    <row r="44" spans="1:17" x14ac:dyDescent="0.2">
      <c r="Q44" s="12"/>
    </row>
    <row r="45" spans="1:17" x14ac:dyDescent="0.2">
      <c r="B45" s="134"/>
      <c r="C45" s="12"/>
      <c r="D45" s="12"/>
      <c r="E45" s="12"/>
      <c r="F45" s="12"/>
      <c r="L45" s="12"/>
      <c r="M45" s="12"/>
      <c r="N45" s="12"/>
      <c r="O45" s="12"/>
      <c r="P45" s="12"/>
      <c r="Q45" s="12"/>
    </row>
    <row r="47" spans="1:17" x14ac:dyDescent="0.2">
      <c r="B47" s="6"/>
    </row>
    <row r="48" spans="1:17" x14ac:dyDescent="0.2">
      <c r="B48" s="6"/>
    </row>
    <row r="49" spans="2:2" x14ac:dyDescent="0.2">
      <c r="B49" s="6"/>
    </row>
  </sheetData>
  <mergeCells count="2">
    <mergeCell ref="A1:P1"/>
    <mergeCell ref="A2:P2"/>
  </mergeCells>
  <printOptions horizontalCentered="1"/>
  <pageMargins left="1.1499999999999999" right="0.28000000000000003" top="0.57999999999999996" bottom="0.74803149606299213" header="0.31496062992125984" footer="0.17"/>
  <pageSetup paperSize="5" scale="8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D25" sqref="D25"/>
    </sheetView>
  </sheetViews>
  <sheetFormatPr baseColWidth="10" defaultRowHeight="12.75" x14ac:dyDescent="0.2"/>
  <cols>
    <col min="1" max="1" width="6.7109375" customWidth="1"/>
    <col min="2" max="2" width="15.28515625" customWidth="1"/>
    <col min="3" max="3" width="13.28515625" customWidth="1"/>
    <col min="4" max="5" width="13.85546875" customWidth="1"/>
    <col min="6" max="6" width="14.42578125" customWidth="1"/>
    <col min="7" max="7" width="13.42578125" customWidth="1"/>
    <col min="8" max="8" width="13.5703125" customWidth="1"/>
    <col min="9" max="9" width="10.42578125" customWidth="1"/>
    <col min="10" max="10" width="12.140625" customWidth="1"/>
  </cols>
  <sheetData>
    <row r="3" spans="2:11" x14ac:dyDescent="0.2">
      <c r="H3" t="s">
        <v>13</v>
      </c>
    </row>
    <row r="4" spans="2:11" x14ac:dyDescent="0.2">
      <c r="B4" s="4"/>
    </row>
    <row r="5" spans="2:11" x14ac:dyDescent="0.2">
      <c r="B5" s="5"/>
      <c r="C5" s="5"/>
      <c r="D5" s="5"/>
      <c r="E5" s="5"/>
    </row>
    <row r="6" spans="2:11" x14ac:dyDescent="0.2">
      <c r="B6" s="5"/>
      <c r="C6" s="5"/>
      <c r="D6" s="5"/>
      <c r="E6" s="5"/>
    </row>
    <row r="7" spans="2:11" x14ac:dyDescent="0.2">
      <c r="B7" s="44" t="s">
        <v>29</v>
      </c>
      <c r="C7" s="44"/>
      <c r="D7" s="44"/>
      <c r="E7" s="44"/>
      <c r="F7" s="44"/>
      <c r="G7" s="6"/>
    </row>
    <row r="8" spans="2:11" x14ac:dyDescent="0.2">
      <c r="B8" s="44" t="s">
        <v>30</v>
      </c>
      <c r="C8" s="44"/>
      <c r="D8" s="44"/>
      <c r="E8" s="44"/>
      <c r="F8" s="44"/>
      <c r="G8" s="6"/>
      <c r="H8" t="s">
        <v>13</v>
      </c>
    </row>
    <row r="9" spans="2:11" x14ac:dyDescent="0.2">
      <c r="B9" s="45"/>
      <c r="C9" s="46"/>
      <c r="D9" s="46"/>
      <c r="E9" s="46"/>
      <c r="F9" s="46"/>
      <c r="G9" s="2"/>
    </row>
    <row r="10" spans="2:11" ht="24.95" customHeight="1" x14ac:dyDescent="0.2">
      <c r="B10" s="47"/>
      <c r="C10" s="41" t="s">
        <v>27</v>
      </c>
      <c r="D10" s="42"/>
      <c r="E10" s="42"/>
      <c r="F10" s="48"/>
      <c r="G10" s="6"/>
      <c r="H10" t="s">
        <v>13</v>
      </c>
    </row>
    <row r="11" spans="2:11" ht="36.75" customHeight="1" x14ac:dyDescent="0.2">
      <c r="B11" s="28" t="s">
        <v>1</v>
      </c>
      <c r="C11" s="49" t="s">
        <v>31</v>
      </c>
      <c r="D11" s="30" t="s">
        <v>14</v>
      </c>
      <c r="E11" s="30" t="s">
        <v>32</v>
      </c>
      <c r="F11" s="50" t="s">
        <v>33</v>
      </c>
      <c r="G11" s="8"/>
      <c r="H11" s="8"/>
      <c r="I11" s="8"/>
      <c r="J11" s="8"/>
      <c r="K11" s="51"/>
    </row>
    <row r="12" spans="2:11" ht="23.1" customHeight="1" x14ac:dyDescent="0.2">
      <c r="B12" s="33" t="s">
        <v>6</v>
      </c>
      <c r="C12" s="34">
        <f>4+13+6+1</f>
        <v>24</v>
      </c>
      <c r="D12" s="25">
        <f>24.67+136.71+55.96+2.96</f>
        <v>220.3</v>
      </c>
      <c r="E12" s="25">
        <f>5882.4+33475.8+13128.12+541.8</f>
        <v>53028.12000000001</v>
      </c>
      <c r="F12" s="25">
        <f>6261.05+35863.3+14229.76+568.47</f>
        <v>56922.580000000009</v>
      </c>
      <c r="I12" s="10"/>
      <c r="J12" s="23"/>
      <c r="K12" s="21"/>
    </row>
    <row r="13" spans="2:11" ht="23.1" customHeight="1" x14ac:dyDescent="0.2">
      <c r="B13" s="33" t="s">
        <v>7</v>
      </c>
      <c r="C13" s="34">
        <f>10+20+51+14</f>
        <v>95</v>
      </c>
      <c r="D13" s="25">
        <f>54.95+108.27+290.06+76.41</f>
        <v>529.68999999999994</v>
      </c>
      <c r="E13" s="25">
        <f>10879.2+21774.6+59118.6+19284.28</f>
        <v>111056.68</v>
      </c>
      <c r="F13" s="25">
        <f>11373.64+22748.91+61995.76+20495.04</f>
        <v>116613.35</v>
      </c>
      <c r="G13" s="9" t="s">
        <v>13</v>
      </c>
      <c r="H13" s="10"/>
      <c r="I13" s="10"/>
      <c r="J13" s="23"/>
      <c r="K13" s="21"/>
    </row>
    <row r="14" spans="2:11" ht="23.1" customHeight="1" x14ac:dyDescent="0.2">
      <c r="B14" s="33" t="s">
        <v>8</v>
      </c>
      <c r="C14" s="34">
        <f>12+27+76+42</f>
        <v>157</v>
      </c>
      <c r="D14" s="25">
        <f>56.18+109.43+482.77+217.18</f>
        <v>865.56</v>
      </c>
      <c r="E14" s="25">
        <f>11438.4+21762.6+93459+41828.65</f>
        <v>168488.65</v>
      </c>
      <c r="F14" s="25">
        <f>11943.85+22747.76+97803.09+43782.9</f>
        <v>176277.6</v>
      </c>
      <c r="G14" s="9" t="s">
        <v>13</v>
      </c>
      <c r="H14" s="10"/>
      <c r="I14" s="10"/>
      <c r="J14" s="23"/>
      <c r="K14" s="21"/>
    </row>
    <row r="15" spans="2:11" ht="23.1" customHeight="1" x14ac:dyDescent="0.2">
      <c r="B15" s="33" t="s">
        <v>9</v>
      </c>
      <c r="C15" s="34">
        <f>7+14+16+52</f>
        <v>89</v>
      </c>
      <c r="D15" s="25">
        <f>54.11+99.88+121.45+254.87</f>
        <v>530.30999999999995</v>
      </c>
      <c r="E15" s="25">
        <f>10887.6+19001.4+23928.7+57385.86</f>
        <v>111203.56</v>
      </c>
      <c r="F15" s="25">
        <f>11374.47+19900.15+25021.45+60888.08</f>
        <v>117184.15000000001</v>
      </c>
      <c r="G15" s="9"/>
      <c r="H15" s="10"/>
      <c r="I15" s="10"/>
      <c r="J15" s="23"/>
      <c r="K15" s="21"/>
    </row>
    <row r="16" spans="2:11" ht="23.1" customHeight="1" x14ac:dyDescent="0.2">
      <c r="B16" s="33" t="s">
        <v>2</v>
      </c>
      <c r="C16" s="34">
        <f>9+17+26+9</f>
        <v>61</v>
      </c>
      <c r="D16" s="25">
        <f>55.86+90.14+171.24+59.07</f>
        <v>376.31</v>
      </c>
      <c r="E16" s="25">
        <f>10837.8+17833.2+31894.77+10870.2</f>
        <v>71435.97</v>
      </c>
      <c r="F16" s="25">
        <f>11372.73+18767.05+33543.1+11369.51</f>
        <v>75052.39</v>
      </c>
      <c r="G16" s="9"/>
      <c r="H16" s="10"/>
      <c r="I16" s="10"/>
      <c r="J16" s="10"/>
    </row>
    <row r="17" spans="1:10" ht="23.1" customHeight="1" x14ac:dyDescent="0.2">
      <c r="B17" s="33" t="s">
        <v>3</v>
      </c>
      <c r="C17" s="34">
        <f>3+19+19+8+11</f>
        <v>60</v>
      </c>
      <c r="D17" s="22">
        <f>5.98+127.91+127.9+38.27+52.81</f>
        <v>352.86999999999995</v>
      </c>
      <c r="E17" s="22">
        <f>3697.8+24387+25991.4+7045.8+10329</f>
        <v>71451</v>
      </c>
      <c r="F17" s="25">
        <f>3994.02+25586.4+27300.72+7390.31+10804.35</f>
        <v>75075.8</v>
      </c>
      <c r="G17" s="9"/>
      <c r="H17" s="10"/>
      <c r="I17" s="10"/>
      <c r="J17" s="10"/>
    </row>
    <row r="18" spans="1:10" ht="23.1" customHeight="1" x14ac:dyDescent="0.25">
      <c r="B18" s="33" t="s">
        <v>34</v>
      </c>
      <c r="C18" s="34">
        <f>1+25+19+3</f>
        <v>48</v>
      </c>
      <c r="D18" s="22">
        <f>5.69+161.58+129.33+27.09</f>
        <v>323.69</v>
      </c>
      <c r="E18" s="22">
        <f>1086+36743.4+30148.8+4872</f>
        <v>72850.2</v>
      </c>
      <c r="F18" s="25">
        <f>1137.17+38695.58+31870.7+5115.77</f>
        <v>76819.22</v>
      </c>
      <c r="G18" s="52"/>
      <c r="H18" s="21"/>
      <c r="I18" s="10"/>
      <c r="J18" s="10"/>
    </row>
    <row r="19" spans="1:10" ht="23.1" customHeight="1" x14ac:dyDescent="0.2">
      <c r="B19" s="33" t="s">
        <v>5</v>
      </c>
      <c r="C19" s="34">
        <f>9+8+18+14</f>
        <v>49</v>
      </c>
      <c r="D19" s="25">
        <f>53+51.65+103.89+53.87</f>
        <v>262.41000000000003</v>
      </c>
      <c r="E19" s="25">
        <f>10327.2+9769.2+21051.6+13506</f>
        <v>54654</v>
      </c>
      <c r="F19" s="25">
        <f>10804.15+10234.07+22181.84+14231.87</f>
        <v>57451.93</v>
      </c>
      <c r="G19" s="9"/>
      <c r="H19" s="10"/>
      <c r="I19" s="10"/>
      <c r="J19" s="10"/>
    </row>
    <row r="20" spans="1:10" ht="23.1" customHeight="1" x14ac:dyDescent="0.2">
      <c r="B20" s="33" t="s">
        <v>15</v>
      </c>
      <c r="C20" s="34">
        <f>11+3+7+11</f>
        <v>32</v>
      </c>
      <c r="D20" s="53">
        <f>46.92+15.75+89.26+67.19</f>
        <v>219.12</v>
      </c>
      <c r="E20" s="53">
        <f>12471+17718.36+3271.2+11752.8</f>
        <v>45213.36</v>
      </c>
      <c r="F20" s="54">
        <f>13075.69+18767.9+3412.83+12524.52</f>
        <v>47780.94</v>
      </c>
      <c r="G20" s="9"/>
      <c r="H20" s="10"/>
      <c r="I20" s="55" t="s">
        <v>13</v>
      </c>
      <c r="J20" s="10"/>
    </row>
    <row r="21" spans="1:10" ht="23.1" customHeight="1" x14ac:dyDescent="0.2">
      <c r="B21" s="33" t="s">
        <v>16</v>
      </c>
      <c r="C21" s="34">
        <f>7+24+13+3</f>
        <v>47</v>
      </c>
      <c r="D21" s="25">
        <f>33.52+113.87+83.72+24.85</f>
        <v>255.96</v>
      </c>
      <c r="E21" s="25">
        <f>6522+24777.6+15734.4+6379.8</f>
        <v>53413.8</v>
      </c>
      <c r="F21" s="25">
        <f>6823.64+26171.9+16487.74+6832.29</f>
        <v>56315.57</v>
      </c>
      <c r="G21" s="9"/>
      <c r="H21" s="10"/>
      <c r="I21" s="55"/>
      <c r="J21" s="10"/>
    </row>
    <row r="22" spans="1:10" ht="23.1" customHeight="1" x14ac:dyDescent="0.2">
      <c r="B22" s="33" t="s">
        <v>17</v>
      </c>
      <c r="C22" s="34">
        <f>32+14+3+6</f>
        <v>55</v>
      </c>
      <c r="D22" s="25">
        <f>196.59+146.01+8.17+32.01</f>
        <v>382.78000000000003</v>
      </c>
      <c r="E22" s="25">
        <f>42933.6+27111.6+4705.8+8530.92</f>
        <v>83281.919999999998</v>
      </c>
      <c r="F22" s="25">
        <f>45517.75+28425.45+5134.69+9110.86</f>
        <v>88188.75</v>
      </c>
      <c r="G22" s="9"/>
      <c r="H22" s="10"/>
      <c r="I22" s="55" t="s">
        <v>13</v>
      </c>
      <c r="J22" s="10"/>
    </row>
    <row r="23" spans="1:10" ht="23.1" customHeight="1" x14ac:dyDescent="0.2">
      <c r="B23" s="33" t="s">
        <v>18</v>
      </c>
      <c r="C23" s="34">
        <f>17+24</f>
        <v>41</v>
      </c>
      <c r="D23" s="22">
        <f>131.46+172.91</f>
        <v>304.37</v>
      </c>
      <c r="E23" s="22">
        <f>30568.68+37980.24</f>
        <v>68548.92</v>
      </c>
      <c r="F23" s="22">
        <f>32440.03+40398.55</f>
        <v>72838.58</v>
      </c>
      <c r="G23" s="9"/>
      <c r="H23" s="10"/>
      <c r="I23" s="55"/>
      <c r="J23" s="10"/>
    </row>
    <row r="24" spans="1:10" ht="24.95" customHeight="1" x14ac:dyDescent="0.2">
      <c r="B24" s="37" t="s">
        <v>0</v>
      </c>
      <c r="C24" s="38">
        <f>SUM(C12:C23)</f>
        <v>758</v>
      </c>
      <c r="D24" s="39">
        <f t="shared" ref="D24:F24" si="0">SUM(D12:D23)</f>
        <v>4623.369999999999</v>
      </c>
      <c r="E24" s="39">
        <f t="shared" si="0"/>
        <v>964626.18</v>
      </c>
      <c r="F24" s="39">
        <f t="shared" si="0"/>
        <v>1016520.8600000001</v>
      </c>
      <c r="G24" s="11"/>
      <c r="H24" s="11" t="s">
        <v>13</v>
      </c>
      <c r="I24" s="11"/>
      <c r="J24" s="11"/>
    </row>
    <row r="25" spans="1:10" ht="12" customHeight="1" x14ac:dyDescent="0.2">
      <c r="B25" s="3"/>
      <c r="C25" s="6"/>
      <c r="D25" s="6"/>
      <c r="E25" s="6"/>
      <c r="F25" s="15" t="s">
        <v>28</v>
      </c>
      <c r="G25" s="6"/>
    </row>
    <row r="26" spans="1:10" ht="12" customHeight="1" x14ac:dyDescent="0.2">
      <c r="B26" s="56"/>
      <c r="C26" s="6"/>
      <c r="D26" s="6"/>
      <c r="E26" s="6"/>
      <c r="F26" s="15"/>
      <c r="G26" s="6"/>
    </row>
    <row r="27" spans="1:10" ht="18" x14ac:dyDescent="0.25">
      <c r="A27" s="57"/>
      <c r="B27" s="2"/>
      <c r="C27" s="2"/>
      <c r="D27" s="2"/>
      <c r="E27" s="2"/>
      <c r="F27" s="58"/>
      <c r="G27" s="58"/>
      <c r="H27" s="58"/>
    </row>
    <row r="28" spans="1:10" x14ac:dyDescent="0.2">
      <c r="A28" s="2"/>
      <c r="F28" s="2"/>
      <c r="G28" s="2"/>
      <c r="H28" s="2" t="s">
        <v>13</v>
      </c>
    </row>
    <row r="29" spans="1:10" x14ac:dyDescent="0.2">
      <c r="C29" s="6"/>
      <c r="D29" s="6"/>
      <c r="E29" s="6"/>
      <c r="G29" s="6"/>
    </row>
    <row r="32" spans="1:10" x14ac:dyDescent="0.2">
      <c r="A32" s="6" t="s">
        <v>19</v>
      </c>
      <c r="D32" s="6" t="s">
        <v>35</v>
      </c>
    </row>
    <row r="33" spans="1:8" x14ac:dyDescent="0.2">
      <c r="A33" s="6" t="s">
        <v>36</v>
      </c>
      <c r="B33" s="59"/>
      <c r="D33" s="6"/>
      <c r="E33" s="6" t="s">
        <v>37</v>
      </c>
      <c r="F33" s="6"/>
    </row>
    <row r="34" spans="1:8" x14ac:dyDescent="0.2">
      <c r="A34" s="46" t="s">
        <v>38</v>
      </c>
      <c r="B34" s="6"/>
      <c r="D34" s="6"/>
      <c r="E34" s="6" t="s">
        <v>39</v>
      </c>
      <c r="F34" s="6"/>
      <c r="H34" s="12"/>
    </row>
    <row r="35" spans="1:8" x14ac:dyDescent="0.2">
      <c r="A35" s="60"/>
      <c r="B35" s="60"/>
      <c r="C35" s="60"/>
      <c r="F35" s="6"/>
    </row>
    <row r="36" spans="1:8" x14ac:dyDescent="0.2">
      <c r="B36" s="6"/>
      <c r="C36" s="6"/>
      <c r="D36" s="6"/>
      <c r="E36" s="6"/>
      <c r="F36" s="6"/>
      <c r="G36" s="6"/>
    </row>
    <row r="37" spans="1:8" x14ac:dyDescent="0.2">
      <c r="B37" s="6"/>
      <c r="F37" s="6"/>
      <c r="G37" s="6"/>
    </row>
    <row r="38" spans="1:8" x14ac:dyDescent="0.2">
      <c r="B38" s="6"/>
      <c r="F38" s="6"/>
      <c r="G38" s="6"/>
    </row>
    <row r="39" spans="1:8" x14ac:dyDescent="0.2">
      <c r="B39" s="6"/>
      <c r="F39" s="6"/>
      <c r="G39" s="6"/>
    </row>
    <row r="40" spans="1:8" x14ac:dyDescent="0.2">
      <c r="B40" s="6"/>
      <c r="C40" s="6"/>
      <c r="D40" s="6"/>
      <c r="E40" s="6"/>
      <c r="F40" s="6"/>
      <c r="G40" s="6"/>
    </row>
    <row r="41" spans="1:8" x14ac:dyDescent="0.2">
      <c r="B41" s="6"/>
      <c r="C41" s="6"/>
      <c r="D41" s="6"/>
      <c r="E41" s="6"/>
      <c r="F41" s="6"/>
      <c r="G41" s="6"/>
    </row>
    <row r="42" spans="1:8" x14ac:dyDescent="0.2">
      <c r="B42" s="6"/>
      <c r="C42" s="6"/>
      <c r="D42" s="6"/>
      <c r="E42" s="6"/>
      <c r="F42" s="6"/>
      <c r="G42" s="6"/>
    </row>
    <row r="43" spans="1:8" x14ac:dyDescent="0.2">
      <c r="B43" s="6"/>
      <c r="C43" s="6"/>
      <c r="D43" s="6"/>
      <c r="E43" s="6"/>
      <c r="F43" s="6"/>
      <c r="G43" s="6"/>
    </row>
    <row r="44" spans="1:8" x14ac:dyDescent="0.2">
      <c r="B44" s="6"/>
      <c r="C44" s="6"/>
      <c r="D44" s="6"/>
      <c r="E44" s="6"/>
      <c r="F44" s="6"/>
      <c r="G44" s="6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J48"/>
  <sheetViews>
    <sheetView tabSelected="1" workbookViewId="0">
      <selection activeCell="D26" sqref="D26"/>
    </sheetView>
  </sheetViews>
  <sheetFormatPr baseColWidth="10" defaultRowHeight="12.75" x14ac:dyDescent="0.2"/>
  <cols>
    <col min="1" max="1" width="3.5703125" customWidth="1"/>
    <col min="2" max="2" width="16.28515625" customWidth="1"/>
    <col min="3" max="3" width="15" customWidth="1"/>
    <col min="5" max="5" width="13.71093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3" spans="2:10" x14ac:dyDescent="0.2">
      <c r="B3" s="4"/>
    </row>
    <row r="4" spans="2:10" x14ac:dyDescent="0.2">
      <c r="B4" s="5"/>
      <c r="C4" s="5"/>
      <c r="D4" s="5"/>
      <c r="E4" s="5"/>
    </row>
    <row r="5" spans="2:10" x14ac:dyDescent="0.2">
      <c r="B5" s="44" t="s">
        <v>11</v>
      </c>
      <c r="C5" s="44"/>
      <c r="D5" s="44"/>
      <c r="E5" s="44"/>
      <c r="F5" s="44"/>
      <c r="G5" s="6"/>
    </row>
    <row r="6" spans="2:10" x14ac:dyDescent="0.2">
      <c r="B6" s="44" t="s">
        <v>22</v>
      </c>
      <c r="C6" s="44"/>
      <c r="D6" s="44"/>
      <c r="E6" s="44"/>
      <c r="F6" s="44"/>
      <c r="G6" s="6"/>
    </row>
    <row r="7" spans="2:10" x14ac:dyDescent="0.2">
      <c r="B7" s="7"/>
      <c r="C7" s="6"/>
      <c r="D7" s="6"/>
      <c r="E7" s="6"/>
      <c r="F7" s="6"/>
      <c r="G7" s="7"/>
    </row>
    <row r="8" spans="2:10" ht="24.95" customHeight="1" x14ac:dyDescent="0.2">
      <c r="B8" s="16"/>
      <c r="C8" s="41" t="s">
        <v>27</v>
      </c>
      <c r="D8" s="42"/>
      <c r="E8" s="42"/>
      <c r="F8" s="43"/>
      <c r="G8" s="7"/>
    </row>
    <row r="9" spans="2:10" ht="36.75" customHeight="1" x14ac:dyDescent="0.2">
      <c r="B9" s="28" t="s">
        <v>1</v>
      </c>
      <c r="C9" s="29" t="s">
        <v>12</v>
      </c>
      <c r="D9" s="30" t="s">
        <v>14</v>
      </c>
      <c r="E9" s="31" t="s">
        <v>21</v>
      </c>
      <c r="F9" s="32" t="s">
        <v>10</v>
      </c>
      <c r="G9" s="8"/>
      <c r="H9" s="8"/>
      <c r="I9" s="8"/>
      <c r="J9" s="8"/>
    </row>
    <row r="10" spans="2:10" ht="23.1" customHeight="1" x14ac:dyDescent="0.2">
      <c r="B10" s="33" t="s">
        <v>6</v>
      </c>
      <c r="C10" s="34">
        <f>22+33+41+8</f>
        <v>104</v>
      </c>
      <c r="D10" s="27">
        <f>4.51+32.21+23.3+11.03</f>
        <v>71.05</v>
      </c>
      <c r="E10" s="27">
        <f>17265.54+32300.59+29949.93+11454.23</f>
        <v>90970.29</v>
      </c>
      <c r="F10" s="25">
        <f>13988.33+29533.75+26296.07+10747.92</f>
        <v>80566.069999999992</v>
      </c>
      <c r="G10" s="9"/>
      <c r="H10" s="10"/>
      <c r="I10" s="10"/>
      <c r="J10" s="10"/>
    </row>
    <row r="11" spans="2:10" ht="23.1" customHeight="1" x14ac:dyDescent="0.2">
      <c r="B11" s="33" t="s">
        <v>7</v>
      </c>
      <c r="C11" s="34">
        <f>16+23+36+32</f>
        <v>107</v>
      </c>
      <c r="D11" s="22">
        <f>1.49+7.27+27.23+15.56</f>
        <v>51.550000000000004</v>
      </c>
      <c r="E11" s="22">
        <f>10639.86+16696.95+30504.14+31572.3</f>
        <v>89413.25</v>
      </c>
      <c r="F11" s="25">
        <f>9208.15+13992.65+27548.08+28618.38</f>
        <v>79367.260000000009</v>
      </c>
      <c r="G11" s="9"/>
      <c r="H11" s="10" t="s">
        <v>13</v>
      </c>
      <c r="I11" s="10"/>
      <c r="J11" s="10"/>
    </row>
    <row r="12" spans="2:10" ht="23.1" customHeight="1" x14ac:dyDescent="0.2">
      <c r="B12" s="33" t="s">
        <v>8</v>
      </c>
      <c r="C12" s="34">
        <f>10+16+34+22</f>
        <v>82</v>
      </c>
      <c r="D12" s="35">
        <f>11.86+3.06+20.64+4.27</f>
        <v>39.83</v>
      </c>
      <c r="E12" s="35">
        <f>8339.63+9838.56+28954.43+16804.89</f>
        <v>63937.509999999995</v>
      </c>
      <c r="F12" s="25">
        <f>7755.61+8023.28+25165.86+13512.04</f>
        <v>54456.79</v>
      </c>
      <c r="G12" s="9"/>
      <c r="H12" s="10" t="s">
        <v>13</v>
      </c>
      <c r="I12" s="10"/>
      <c r="J12" s="10"/>
    </row>
    <row r="13" spans="2:10" ht="23.1" customHeight="1" x14ac:dyDescent="0.2">
      <c r="B13" s="33" t="s">
        <v>9</v>
      </c>
      <c r="C13" s="34">
        <f>25+30+18+22</f>
        <v>95</v>
      </c>
      <c r="D13" s="27">
        <f>8.33+6.27+2.61+22.2</f>
        <v>39.409999999999997</v>
      </c>
      <c r="E13" s="27">
        <v>96773.35</v>
      </c>
      <c r="F13" s="25">
        <v>84796.41</v>
      </c>
      <c r="G13" s="23"/>
      <c r="H13" s="21"/>
      <c r="I13" s="10"/>
      <c r="J13" s="10"/>
    </row>
    <row r="14" spans="2:10" ht="23.1" customHeight="1" x14ac:dyDescent="0.2">
      <c r="B14" s="33" t="s">
        <v>2</v>
      </c>
      <c r="C14" s="34">
        <f>28+31+19+14</f>
        <v>92</v>
      </c>
      <c r="D14" s="27">
        <f>7.71+29.44+8.06</f>
        <v>45.21</v>
      </c>
      <c r="E14" s="27">
        <f>23047.27+28183.28+17667.88+12144.22</f>
        <v>81042.650000000009</v>
      </c>
      <c r="F14" s="25">
        <f>19600.55+25034.45+15238.44+9842.07</f>
        <v>69715.510000000009</v>
      </c>
      <c r="G14" s="24"/>
      <c r="H14" s="10"/>
      <c r="I14" s="10"/>
      <c r="J14" s="10"/>
    </row>
    <row r="15" spans="2:10" ht="23.1" customHeight="1" x14ac:dyDescent="0.2">
      <c r="B15" s="33" t="s">
        <v>3</v>
      </c>
      <c r="C15" s="34">
        <f>8+43+18+7+21</f>
        <v>97</v>
      </c>
      <c r="D15" s="22">
        <f>20.73+4.36+1.39+5.92</f>
        <v>32.4</v>
      </c>
      <c r="E15" s="22">
        <f>3046.96+34772.02+14252.62+3070.29+18011.71</f>
        <v>73153.600000000006</v>
      </c>
      <c r="F15" s="25">
        <f>2248.94+30038.18+12450.08+2564.16+14787.36</f>
        <v>62088.72</v>
      </c>
      <c r="G15" s="9"/>
      <c r="H15" s="10" t="s">
        <v>13</v>
      </c>
      <c r="I15" s="10"/>
      <c r="J15" s="10"/>
    </row>
    <row r="16" spans="2:10" ht="23.1" customHeight="1" x14ac:dyDescent="0.2">
      <c r="B16" s="33" t="s">
        <v>4</v>
      </c>
      <c r="C16" s="36">
        <f>14+51+35+7</f>
        <v>107</v>
      </c>
      <c r="D16" s="27">
        <f>7.05+16.9+6.72</f>
        <v>30.669999999999998</v>
      </c>
      <c r="E16" s="27">
        <f>13380.78+41097.47+33553.7+11225.82</f>
        <v>99257.76999999999</v>
      </c>
      <c r="F16" s="25">
        <f>11593.9+33943.87+28842.32+9913.07</f>
        <v>84293.16</v>
      </c>
      <c r="G16" s="9"/>
      <c r="H16" s="21"/>
      <c r="I16" s="19" t="s">
        <v>13</v>
      </c>
      <c r="J16" s="10"/>
    </row>
    <row r="17" spans="1:10" ht="23.1" customHeight="1" x14ac:dyDescent="0.2">
      <c r="B17" s="33" t="s">
        <v>5</v>
      </c>
      <c r="C17" s="34">
        <f>24+18+34+19</f>
        <v>95</v>
      </c>
      <c r="D17" s="27">
        <f>7.51+19.11+16.84</f>
        <v>43.459999999999994</v>
      </c>
      <c r="E17" s="27">
        <f>18907.5+12053.53+27895.15+14277.81</f>
        <v>73133.990000000005</v>
      </c>
      <c r="F17" s="25">
        <f>16531.95+10239.88+25210.44+12801.73</f>
        <v>64784</v>
      </c>
      <c r="G17" s="9"/>
      <c r="H17" s="10"/>
      <c r="I17" s="10"/>
      <c r="J17" s="10"/>
    </row>
    <row r="18" spans="1:10" ht="23.1" customHeight="1" x14ac:dyDescent="0.2">
      <c r="B18" s="33" t="s">
        <v>15</v>
      </c>
      <c r="C18" s="34">
        <f>19+10+10+44</f>
        <v>83</v>
      </c>
      <c r="D18" s="27">
        <f>8.73+3.2+18.02</f>
        <v>29.95</v>
      </c>
      <c r="E18" s="27">
        <f>20978.27+6528.37+9867.03+41760.68</f>
        <v>79134.350000000006</v>
      </c>
      <c r="F18" s="27">
        <f>18685.03+5063.23+8209.86+36162.91</f>
        <v>68121.03</v>
      </c>
      <c r="G18" s="9"/>
      <c r="H18" s="10"/>
      <c r="I18" s="10"/>
      <c r="J18" s="10"/>
    </row>
    <row r="19" spans="1:10" ht="23.1" customHeight="1" x14ac:dyDescent="0.2">
      <c r="B19" s="33" t="s">
        <v>16</v>
      </c>
      <c r="C19" s="34">
        <f>32+56+23+12</f>
        <v>123</v>
      </c>
      <c r="D19" s="27">
        <f>9.26+79.7+18.45</f>
        <v>107.41000000000001</v>
      </c>
      <c r="E19" s="27">
        <f>33511.14+51161.51+24992.76+14892.65</f>
        <v>124558.05999999998</v>
      </c>
      <c r="F19" s="25">
        <f>27865.49+47198.91+22947.8+12448.81</f>
        <v>110461.01000000001</v>
      </c>
      <c r="G19" s="9"/>
      <c r="H19" s="10"/>
      <c r="I19" s="10" t="s">
        <v>13</v>
      </c>
      <c r="J19" s="10"/>
    </row>
    <row r="20" spans="1:10" ht="23.1" customHeight="1" x14ac:dyDescent="0.2">
      <c r="B20" s="33" t="s">
        <v>17</v>
      </c>
      <c r="C20" s="34">
        <f>15+57+32+9+28</f>
        <v>141</v>
      </c>
      <c r="D20" s="22">
        <f>7.93+37.05+23.46+9.97+17.83</f>
        <v>96.24</v>
      </c>
      <c r="E20" s="22">
        <f>52341.75+25241.29+7419.97+31438.87</f>
        <v>116441.88</v>
      </c>
      <c r="F20" s="25">
        <f>11164.26+48672.93+21851.87+6549.53+28615.19</f>
        <v>116853.78</v>
      </c>
      <c r="G20" s="9"/>
      <c r="H20" s="10"/>
      <c r="I20" s="10"/>
      <c r="J20" s="10" t="s">
        <v>13</v>
      </c>
    </row>
    <row r="21" spans="1:10" ht="23.1" customHeight="1" x14ac:dyDescent="0.2">
      <c r="B21" s="33" t="s">
        <v>18</v>
      </c>
      <c r="C21" s="34">
        <f>40+42</f>
        <v>82</v>
      </c>
      <c r="D21" s="27">
        <f>17.53+21.34</f>
        <v>38.870000000000005</v>
      </c>
      <c r="E21" s="27">
        <f>41519.86+37750.63</f>
        <v>79270.489999999991</v>
      </c>
      <c r="F21" s="25">
        <f>36998.84+34484.86</f>
        <v>71483.7</v>
      </c>
      <c r="G21" s="9"/>
      <c r="H21" s="10"/>
      <c r="I21" s="10"/>
      <c r="J21" s="10"/>
    </row>
    <row r="22" spans="1:10" ht="24.95" customHeight="1" x14ac:dyDescent="0.2">
      <c r="B22" s="37" t="s">
        <v>0</v>
      </c>
      <c r="C22" s="38">
        <f>SUM(C10:C21)</f>
        <v>1208</v>
      </c>
      <c r="D22" s="39">
        <f>SUM(D10:D21)</f>
        <v>626.04999999999995</v>
      </c>
      <c r="E22" s="39">
        <f>SUM(E10:E21)</f>
        <v>1067087.19</v>
      </c>
      <c r="F22" s="40">
        <f>SUM(F10:F21)</f>
        <v>946987.44000000006</v>
      </c>
      <c r="G22" s="11"/>
      <c r="H22" s="11"/>
      <c r="I22" s="11"/>
      <c r="J22" s="11"/>
    </row>
    <row r="23" spans="1:10" ht="12" customHeight="1" x14ac:dyDescent="0.2">
      <c r="B23" s="3"/>
      <c r="C23" s="6"/>
      <c r="D23" s="6"/>
      <c r="E23" s="6"/>
      <c r="F23" s="15" t="s">
        <v>28</v>
      </c>
      <c r="G23" s="6"/>
      <c r="H23" t="s">
        <v>13</v>
      </c>
    </row>
    <row r="24" spans="1:10" ht="12" customHeight="1" x14ac:dyDescent="0.2">
      <c r="B24" s="6"/>
      <c r="C24" s="6"/>
      <c r="D24" s="6"/>
      <c r="E24" s="6"/>
      <c r="F24" s="6"/>
      <c r="G24" s="6"/>
    </row>
    <row r="25" spans="1:10" x14ac:dyDescent="0.2">
      <c r="B25" s="2"/>
      <c r="C25" s="1"/>
      <c r="D25" s="1"/>
      <c r="E25" s="1"/>
      <c r="F25" s="1"/>
      <c r="G25" s="6"/>
      <c r="H25" s="26"/>
    </row>
    <row r="26" spans="1:10" x14ac:dyDescent="0.2">
      <c r="B26" s="1"/>
      <c r="C26" s="1"/>
      <c r="D26" s="1"/>
      <c r="E26" s="1"/>
      <c r="F26" s="1"/>
      <c r="G26" s="6"/>
    </row>
    <row r="27" spans="1:10" x14ac:dyDescent="0.2">
      <c r="B27" s="2"/>
      <c r="C27" s="1"/>
      <c r="D27" s="1"/>
      <c r="E27" s="1"/>
      <c r="F27" s="1"/>
      <c r="G27" s="6"/>
    </row>
    <row r="28" spans="1:10" x14ac:dyDescent="0.2">
      <c r="B28" s="1"/>
      <c r="C28" s="17"/>
      <c r="D28" s="17"/>
      <c r="E28" s="17"/>
      <c r="F28" s="1"/>
      <c r="G28" s="6"/>
    </row>
    <row r="29" spans="1:10" x14ac:dyDescent="0.2">
      <c r="A29" s="1" t="s">
        <v>19</v>
      </c>
      <c r="D29" s="12"/>
      <c r="E29" s="1" t="s">
        <v>20</v>
      </c>
      <c r="G29" s="6"/>
    </row>
    <row r="30" spans="1:10" x14ac:dyDescent="0.2">
      <c r="A30" s="20" t="s">
        <v>26</v>
      </c>
      <c r="D30" s="6"/>
      <c r="E30" s="6" t="s">
        <v>24</v>
      </c>
      <c r="G30" s="6"/>
    </row>
    <row r="31" spans="1:10" x14ac:dyDescent="0.2">
      <c r="A31" s="2" t="s">
        <v>23</v>
      </c>
      <c r="B31" s="13"/>
      <c r="D31" s="1"/>
      <c r="E31" s="6" t="s">
        <v>25</v>
      </c>
      <c r="G31" s="6"/>
    </row>
    <row r="32" spans="1:10" x14ac:dyDescent="0.2">
      <c r="A32" s="2"/>
      <c r="B32" s="12"/>
      <c r="D32" s="18"/>
      <c r="E32" s="18"/>
      <c r="F32" s="18"/>
      <c r="G32" s="6"/>
    </row>
    <row r="33" spans="2:7" x14ac:dyDescent="0.2">
      <c r="G33" s="6"/>
    </row>
    <row r="34" spans="2:7" x14ac:dyDescent="0.2">
      <c r="G34" s="6"/>
    </row>
    <row r="35" spans="2:7" x14ac:dyDescent="0.2">
      <c r="G35" s="6"/>
    </row>
    <row r="36" spans="2:7" x14ac:dyDescent="0.2">
      <c r="B36" s="1"/>
      <c r="G36" s="6"/>
    </row>
    <row r="37" spans="2:7" x14ac:dyDescent="0.2">
      <c r="B37" s="14"/>
      <c r="C37" s="1"/>
      <c r="D37" s="1"/>
      <c r="E37" s="1"/>
      <c r="F37" s="1"/>
      <c r="G37" s="6"/>
    </row>
    <row r="38" spans="2:7" x14ac:dyDescent="0.2">
      <c r="C38" s="18"/>
      <c r="D38" s="18"/>
      <c r="E38" s="18"/>
      <c r="F38" s="1"/>
      <c r="G38" s="6"/>
    </row>
    <row r="39" spans="2:7" x14ac:dyDescent="0.2">
      <c r="C39" s="18"/>
      <c r="D39" s="18"/>
      <c r="E39" s="18"/>
      <c r="F39" s="1"/>
      <c r="G39" s="6"/>
    </row>
    <row r="40" spans="2:7" x14ac:dyDescent="0.2">
      <c r="B40" s="1"/>
      <c r="C40" s="1"/>
      <c r="D40" s="1"/>
      <c r="E40" s="1"/>
      <c r="F40" s="1"/>
      <c r="G40" s="6"/>
    </row>
    <row r="41" spans="2:7" x14ac:dyDescent="0.2">
      <c r="B41" s="1"/>
      <c r="C41" s="1"/>
      <c r="D41" s="1"/>
      <c r="E41" s="1"/>
      <c r="F41" s="1"/>
      <c r="G41" s="6"/>
    </row>
    <row r="42" spans="2:7" x14ac:dyDescent="0.2">
      <c r="B42" s="6"/>
      <c r="C42" s="6"/>
      <c r="D42" s="6"/>
      <c r="E42" s="6"/>
      <c r="F42" s="6"/>
      <c r="G42" s="6"/>
    </row>
    <row r="43" spans="2:7" x14ac:dyDescent="0.2">
      <c r="B43" s="6"/>
      <c r="C43" s="6"/>
      <c r="D43" s="6"/>
      <c r="E43" s="6"/>
      <c r="F43" s="6"/>
      <c r="G43" s="6"/>
    </row>
    <row r="44" spans="2:7" x14ac:dyDescent="0.2">
      <c r="B44" s="6"/>
      <c r="C44" s="6"/>
      <c r="D44" s="6"/>
      <c r="E44" s="6"/>
      <c r="F44" s="6"/>
      <c r="G44" s="6"/>
    </row>
    <row r="45" spans="2:7" x14ac:dyDescent="0.2">
      <c r="B45" s="6"/>
      <c r="C45" s="6"/>
      <c r="D45" s="6"/>
      <c r="E45" s="6"/>
      <c r="F45" s="6"/>
      <c r="G45" s="6"/>
    </row>
    <row r="46" spans="2:7" x14ac:dyDescent="0.2">
      <c r="B46" s="6"/>
      <c r="C46" s="6"/>
      <c r="D46" s="6"/>
      <c r="E46" s="6"/>
      <c r="F46" s="6"/>
      <c r="G46" s="6"/>
    </row>
    <row r="47" spans="2:7" x14ac:dyDescent="0.2">
      <c r="B47" s="6"/>
      <c r="C47" s="6"/>
      <c r="D47" s="6"/>
      <c r="E47" s="6"/>
      <c r="F47" s="6"/>
      <c r="G47" s="6"/>
    </row>
    <row r="48" spans="2:7" x14ac:dyDescent="0.2">
      <c r="B48" s="6"/>
      <c r="C48" s="6"/>
      <c r="D48" s="6"/>
      <c r="E48" s="6"/>
      <c r="F48" s="6"/>
      <c r="G48" s="6"/>
    </row>
  </sheetData>
  <mergeCells count="3">
    <mergeCell ref="C8:F8"/>
    <mergeCell ref="B5:F5"/>
    <mergeCell ref="B6:F6"/>
  </mergeCells>
  <phoneticPr fontId="0" type="noConversion"/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FALLECIDOS POR SEXO 2016 </vt:lpstr>
      <vt:lpstr>SEGUROS PAGADOS AÑO 2016</vt:lpstr>
      <vt:lpstr>PAGO DE S.V.D. VENC POLIZA 2016</vt:lpstr>
      <vt:lpstr>Valores de Rescate pagados 2016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2017-01-05T17:10:45Z</cp:lastPrinted>
  <dcterms:created xsi:type="dcterms:W3CDTF">2002-04-29T19:59:45Z</dcterms:created>
  <dcterms:modified xsi:type="dcterms:W3CDTF">2017-02-28T20:21:17Z</dcterms:modified>
</cp:coreProperties>
</file>