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FALLECIDOS POR SEXO 2015 " sheetId="1" r:id="rId1"/>
    <sheet name="SEGUROS PAGADOS AÑO 2015" sheetId="3" r:id="rId2"/>
    <sheet name="Valores de Rescate pagados 2015" sheetId="2" r:id="rId3"/>
    <sheet name="Pago SVD Venc. de póliza 2015" sheetId="4" r:id="rId4"/>
  </sheets>
  <definedNames>
    <definedName name="_xlnm.Print_Area" localSheetId="0">'FALLECIDOS POR SEXO 2015 '!$A$1:$E$28</definedName>
    <definedName name="_xlnm.Print_Area" localSheetId="3">'Pago SVD Venc. de póliza 2015'!$A$1:$E$26</definedName>
    <definedName name="_xlnm.Print_Area" localSheetId="1">'SEGUROS PAGADOS AÑO 2015'!$A$1:$N$24</definedName>
    <definedName name="_xlnm.Print_Area" localSheetId="2">'Valores de Rescate pagados 2015'!$A$1:$E$23</definedName>
  </definedNames>
  <calcPr calcId="145621"/>
</workbook>
</file>

<file path=xl/calcChain.xml><?xml version="1.0" encoding="utf-8"?>
<calcChain xmlns="http://schemas.openxmlformats.org/spreadsheetml/2006/main">
  <c r="E22" i="4" l="1"/>
  <c r="D22" i="4"/>
  <c r="C22" i="4"/>
  <c r="E21" i="4"/>
  <c r="D21" i="4"/>
  <c r="C21" i="4"/>
  <c r="E20" i="4"/>
  <c r="D20" i="4"/>
  <c r="C20" i="4"/>
  <c r="E19" i="4"/>
  <c r="D19" i="4"/>
  <c r="C19" i="4"/>
  <c r="E22" i="2" l="1"/>
  <c r="D22" i="2"/>
  <c r="E21" i="2"/>
  <c r="D21" i="2"/>
  <c r="C21" i="2"/>
  <c r="E20" i="2"/>
  <c r="D20" i="2"/>
  <c r="C20" i="2"/>
  <c r="E19" i="2"/>
  <c r="D19" i="2"/>
  <c r="C19" i="2"/>
  <c r="E12" i="3" l="1"/>
  <c r="K19" i="3"/>
  <c r="J19" i="3"/>
  <c r="H19" i="3"/>
  <c r="G19" i="3"/>
  <c r="N19" i="3" s="1"/>
  <c r="F19" i="3"/>
  <c r="E19" i="3"/>
  <c r="D19" i="3"/>
  <c r="C19" i="3"/>
  <c r="B19" i="3"/>
  <c r="K18" i="3"/>
  <c r="J18" i="3"/>
  <c r="I18" i="3"/>
  <c r="H18" i="3"/>
  <c r="G18" i="3"/>
  <c r="N18" i="3" s="1"/>
  <c r="F18" i="3"/>
  <c r="E18" i="3"/>
  <c r="D18" i="3"/>
  <c r="C18" i="3"/>
  <c r="B18" i="3"/>
  <c r="K17" i="3"/>
  <c r="J17" i="3"/>
  <c r="I17" i="3"/>
  <c r="H17" i="3"/>
  <c r="G17" i="3"/>
  <c r="N17" i="3" s="1"/>
  <c r="F17" i="3"/>
  <c r="E17" i="3"/>
  <c r="D17" i="3"/>
  <c r="C17" i="3"/>
  <c r="B17" i="3"/>
  <c r="E18" i="4" l="1"/>
  <c r="D18" i="4"/>
  <c r="C18" i="4"/>
  <c r="E17" i="4"/>
  <c r="D17" i="4"/>
  <c r="C17" i="4"/>
  <c r="E16" i="4"/>
  <c r="D16" i="4"/>
  <c r="C16" i="4"/>
  <c r="E18" i="2" l="1"/>
  <c r="D18" i="2"/>
  <c r="C18" i="2"/>
  <c r="E17" i="2"/>
  <c r="D17" i="2"/>
  <c r="C17" i="2"/>
  <c r="E16" i="2"/>
  <c r="D16" i="2"/>
  <c r="C16" i="2"/>
  <c r="N16" i="3" l="1"/>
  <c r="N15" i="3"/>
  <c r="N14" i="3"/>
  <c r="N13" i="3"/>
  <c r="N12" i="3"/>
  <c r="N11" i="3"/>
  <c r="N10" i="3"/>
  <c r="N9" i="3"/>
  <c r="N8" i="3"/>
  <c r="K16" i="3"/>
  <c r="J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H14" i="3"/>
  <c r="G14" i="3"/>
  <c r="F14" i="3"/>
  <c r="E14" i="3"/>
  <c r="D14" i="3"/>
  <c r="C14" i="3"/>
  <c r="B14" i="3"/>
  <c r="K13" i="3"/>
  <c r="J13" i="3"/>
  <c r="H13" i="3"/>
  <c r="G13" i="3"/>
  <c r="F13" i="3"/>
  <c r="E13" i="3"/>
  <c r="D13" i="3"/>
  <c r="C13" i="3"/>
  <c r="B13" i="3"/>
  <c r="K12" i="3"/>
  <c r="J12" i="3"/>
  <c r="H12" i="3"/>
  <c r="G12" i="3"/>
  <c r="F12" i="3"/>
  <c r="D12" i="3"/>
  <c r="C12" i="3"/>
  <c r="B12" i="3"/>
  <c r="K11" i="3"/>
  <c r="J11" i="3"/>
  <c r="H11" i="3"/>
  <c r="G11" i="3"/>
  <c r="F11" i="3"/>
  <c r="E11" i="3"/>
  <c r="D11" i="3"/>
  <c r="C11" i="3"/>
  <c r="B11" i="3"/>
  <c r="K10" i="3"/>
  <c r="J10" i="3"/>
  <c r="H10" i="3"/>
  <c r="G10" i="3"/>
  <c r="F10" i="3"/>
  <c r="E10" i="3"/>
  <c r="D10" i="3"/>
  <c r="C10" i="3"/>
  <c r="B10" i="3"/>
  <c r="K9" i="3"/>
  <c r="J9" i="3"/>
  <c r="H9" i="3"/>
  <c r="G9" i="3"/>
  <c r="F9" i="3"/>
  <c r="E9" i="3"/>
  <c r="D9" i="3"/>
  <c r="C9" i="3"/>
  <c r="B9" i="3"/>
  <c r="K8" i="3"/>
  <c r="J8" i="3"/>
  <c r="H8" i="3"/>
  <c r="G8" i="3"/>
  <c r="F8" i="3"/>
  <c r="E8" i="3"/>
  <c r="D8" i="3"/>
  <c r="E15" i="4" l="1"/>
  <c r="D15" i="4"/>
  <c r="C15" i="4"/>
  <c r="E14" i="4"/>
  <c r="D14" i="4"/>
  <c r="C14" i="4"/>
  <c r="E13" i="4"/>
  <c r="D13" i="4"/>
  <c r="C13" i="4"/>
  <c r="E15" i="2" l="1"/>
  <c r="D15" i="2"/>
  <c r="C15" i="2"/>
  <c r="E14" i="2"/>
  <c r="D14" i="2"/>
  <c r="C14" i="2"/>
  <c r="E13" i="2"/>
  <c r="D13" i="2"/>
  <c r="C13" i="2"/>
  <c r="E12" i="4" l="1"/>
  <c r="D12" i="4"/>
  <c r="C12" i="4"/>
  <c r="E11" i="4"/>
  <c r="D11" i="4"/>
  <c r="C11" i="4"/>
  <c r="E10" i="4"/>
  <c r="D10" i="4"/>
  <c r="C10" i="4"/>
  <c r="E12" i="2" l="1"/>
  <c r="D12" i="2"/>
  <c r="C12" i="2"/>
  <c r="E11" i="2"/>
  <c r="D11" i="2"/>
  <c r="C11" i="2"/>
  <c r="E10" i="2"/>
  <c r="D10" i="2"/>
  <c r="C10" i="2"/>
  <c r="M20" i="3" l="1"/>
  <c r="L20" i="3" l="1"/>
  <c r="K20" i="3"/>
  <c r="J20" i="3"/>
  <c r="I20" i="3"/>
  <c r="H20" i="3"/>
  <c r="G20" i="3"/>
  <c r="F20" i="3"/>
  <c r="E20" i="3"/>
  <c r="D20" i="3"/>
  <c r="C20" i="3"/>
  <c r="B20" i="3"/>
  <c r="C22" i="2" l="1"/>
  <c r="N20" i="3" l="1"/>
  <c r="E11" i="1" l="1"/>
  <c r="E12" i="1"/>
  <c r="E13" i="1"/>
  <c r="E14" i="1"/>
  <c r="E15" i="1"/>
  <c r="E22" i="1"/>
  <c r="E21" i="1"/>
  <c r="E20" i="1"/>
  <c r="E19" i="1"/>
  <c r="E18" i="1"/>
  <c r="E17" i="1"/>
  <c r="E16" i="1"/>
  <c r="E23" i="1"/>
  <c r="D23" i="1"/>
  <c r="C23" i="1"/>
</calcChain>
</file>

<file path=xl/sharedStrings.xml><?xml version="1.0" encoding="utf-8"?>
<sst xmlns="http://schemas.openxmlformats.org/spreadsheetml/2006/main" count="135" uniqueCount="91">
  <si>
    <t>TOTAL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</si>
  <si>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</si>
  <si>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</si>
  <si>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</si>
  <si>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</si>
  <si>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</si>
  <si>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</si>
  <si>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</si>
  <si>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</si>
  <si>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</si>
  <si>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</si>
  <si>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</si>
  <si>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</si>
  <si>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</si>
  <si>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</si>
  <si>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</si>
  <si>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</si>
  <si>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</si>
  <si>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</si>
  <si>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>DE VIDA BÁSICO, OPCIONAL, DOTAL Y SEGURO POR SEPELIO</t>
  </si>
  <si>
    <t>MES</t>
  </si>
  <si>
    <t>RESUMEN DE SEGUROS DE VIDA APROBADOS POR EL CONSEJO DIRECTIVO</t>
  </si>
  <si>
    <t xml:space="preserve">MES   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</si>
  <si>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</si>
  <si>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</si>
  <si>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</si>
  <si>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</si>
  <si>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</si>
  <si>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PAGADO EN                       SEGURO DE VIDA DOTAL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</si>
  <si>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</si>
  <si>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</si>
  <si>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</si>
  <si>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</si>
  <si>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</si>
  <si>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Abril</t>
  </si>
  <si>
    <t>Mayo</t>
  </si>
  <si>
    <t>Junio</t>
  </si>
  <si>
    <t>Julio</t>
  </si>
  <si>
    <t>Agosto</t>
  </si>
  <si>
    <t>Octubre</t>
  </si>
  <si>
    <t xml:space="preserve">RESUMEN SOBRE VALORES DE RESCATE </t>
  </si>
  <si>
    <t>Nº DE VALORES DE RESCATE RECLAMADOS</t>
  </si>
  <si>
    <t>RENTA RETENIDA 10%</t>
  </si>
  <si>
    <t>CANTIDAD PAGADA</t>
  </si>
  <si>
    <t xml:space="preserve">RESUMEN MENSUAL SOBRE PAGO DE SEGURO  </t>
  </si>
  <si>
    <t>NUMERO DE SEGUROS RECLAMADOS</t>
  </si>
  <si>
    <t>CANTIDAD LIQUIDA PAGADA</t>
  </si>
  <si>
    <t>Enero</t>
  </si>
  <si>
    <t>Febrero</t>
  </si>
  <si>
    <t>Marzo</t>
  </si>
  <si>
    <t>Septiembre</t>
  </si>
  <si>
    <t>Noviembre</t>
  </si>
  <si>
    <t>Diciembre</t>
  </si>
  <si>
    <t>ASEGURADOS FALLECIDOS DEL AÑO 2015 DE QUIENES HAN RECLAMADO PAGOS</t>
  </si>
  <si>
    <t>CASOS DE SEGUROS PEND.DE PAGO DE OTROS AÑOS, PAGADOS EN EL 2015</t>
  </si>
  <si>
    <t>DE SEGURO DE VIDA DOTAL PAGADOS AÑO 2015</t>
  </si>
  <si>
    <t>DE VIDA DOTAL POR VENCIMIENTO DE PÓLIZA  AÑO 2015</t>
  </si>
  <si>
    <t>DEL 01 DE ENERO AL 31 DE DICIEMBRE DEL AÑO 2015</t>
  </si>
  <si>
    <t>PAGADOS POR FALLECIMIENTOS DEL 01 DE ENERO AL 31 DE DICIEMBRE DEL AÑO 2015</t>
  </si>
  <si>
    <t>San Salvador,  04 de enero de 2016</t>
  </si>
  <si>
    <t>Revisó</t>
  </si>
  <si>
    <t>Vo.Bo.</t>
  </si>
  <si>
    <t xml:space="preserve">           Dina Lariza Rivera Menjívar</t>
  </si>
  <si>
    <t xml:space="preserve">            Coordinación de Seguros</t>
  </si>
  <si>
    <t xml:space="preserve">     Elaboró:</t>
  </si>
  <si>
    <t xml:space="preserve">                 Silvia Elena Henríquez</t>
  </si>
  <si>
    <t xml:space="preserve">         Colaborador de Reclamos</t>
  </si>
  <si>
    <t xml:space="preserve">         Raúl Ernesto Calderón Sánchez</t>
  </si>
  <si>
    <t xml:space="preserve">                       Jefe de Operaciones</t>
  </si>
  <si>
    <t>San Salvador, 4 de enero de 2016</t>
  </si>
  <si>
    <t>Elaboró:</t>
  </si>
  <si>
    <t>Revisó:</t>
  </si>
  <si>
    <t xml:space="preserve">           Silvia Elena Henríquez</t>
  </si>
  <si>
    <t xml:space="preserve">          Raúl Ernesto Calderón Sánchez</t>
  </si>
  <si>
    <t xml:space="preserve">         Dina Lariza Rivera Menjívar</t>
  </si>
  <si>
    <t xml:space="preserve">               Colaborador de  Reclamos</t>
  </si>
  <si>
    <t xml:space="preserve">              Jefe de Operaciones</t>
  </si>
  <si>
    <t>San Salvador, 04 de enero de 2016</t>
  </si>
  <si>
    <t>Revisó :</t>
  </si>
  <si>
    <t>Silvia Elena Henríquez</t>
  </si>
  <si>
    <t>Raúl Ernesto Calderón Sánchez</t>
  </si>
  <si>
    <t>Colaborador de Reclamos</t>
  </si>
  <si>
    <t>Jefe de Operaciones</t>
  </si>
  <si>
    <t>Dina Lariza Rivera Menjívar</t>
  </si>
  <si>
    <t>Coordinación de Seguros</t>
  </si>
  <si>
    <t xml:space="preserve">                       Revisó :</t>
  </si>
  <si>
    <t xml:space="preserve">         Silvia Elena Henríquez </t>
  </si>
  <si>
    <t xml:space="preserve">                          Raúl Ernesto Calderón Sánchez</t>
  </si>
  <si>
    <t xml:space="preserve">            Colaborador de Reclamos</t>
  </si>
  <si>
    <t xml:space="preserve">                                  Jefe de Operaciones</t>
  </si>
  <si>
    <t xml:space="preserve">            Vo.Bo.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</si>
</sst>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5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7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4" fillId="0" borderId="13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center" wrapText="1" shrinkToFit="1"/>
    </xf>
    <xf numFmtId="0" fontId="4" fillId="0" borderId="19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4" fontId="19" fillId="0" borderId="23" xfId="1" applyFont="1" applyBorder="1" applyAlignment="1">
      <alignment horizontal="center"/>
    </xf>
    <xf numFmtId="1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8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8" fontId="19" fillId="0" borderId="25" xfId="0" applyNumberFormat="1" applyFont="1" applyBorder="1" applyAlignment="1">
      <alignment horizontal="center"/>
    </xf>
    <xf numFmtId="8" fontId="19" fillId="0" borderId="26" xfId="0" applyNumberFormat="1" applyFont="1" applyBorder="1" applyAlignment="1">
      <alignment horizontal="center"/>
    </xf>
    <xf numFmtId="44" fontId="19" fillId="0" borderId="26" xfId="1" applyFont="1" applyBorder="1" applyAlignment="1">
      <alignment horizontal="center"/>
    </xf>
    <xf numFmtId="0" fontId="18" fillId="0" borderId="0" xfId="0" applyFont="1"/>
    <xf numFmtId="17" fontId="19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8" fontId="19" fillId="0" borderId="2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8" fontId="19" fillId="0" borderId="30" xfId="0" applyNumberFormat="1" applyFont="1" applyBorder="1" applyAlignment="1">
      <alignment horizontal="center"/>
    </xf>
    <xf numFmtId="17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8" fontId="19" fillId="0" borderId="33" xfId="0" applyNumberFormat="1" applyFont="1" applyBorder="1" applyAlignment="1">
      <alignment horizontal="center"/>
    </xf>
    <xf numFmtId="164" fontId="19" fillId="0" borderId="33" xfId="0" applyNumberFormat="1" applyFont="1" applyBorder="1" applyAlignment="1">
      <alignment horizontal="center"/>
    </xf>
    <xf numFmtId="8" fontId="19" fillId="0" borderId="34" xfId="0" applyNumberFormat="1" applyFont="1" applyBorder="1" applyAlignment="1">
      <alignment horizontal="center"/>
    </xf>
    <xf numFmtId="17" fontId="19" fillId="0" borderId="35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8" fontId="19" fillId="0" borderId="36" xfId="0" applyNumberFormat="1" applyFont="1" applyBorder="1" applyAlignment="1">
      <alignment horizontal="center"/>
    </xf>
    <xf numFmtId="164" fontId="19" fillId="0" borderId="36" xfId="0" applyNumberFormat="1" applyFont="1" applyBorder="1" applyAlignment="1">
      <alignment horizontal="center"/>
    </xf>
    <xf numFmtId="8" fontId="0" fillId="0" borderId="0" xfId="0" applyNumberFormat="1"/>
    <xf numFmtId="0" fontId="19" fillId="0" borderId="34" xfId="0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9" fontId="19" fillId="0" borderId="0" xfId="2" applyFont="1"/>
    <xf numFmtId="0" fontId="25" fillId="0" borderId="0" xfId="0" applyFont="1"/>
    <xf numFmtId="9" fontId="0" fillId="0" borderId="0" xfId="2" applyFont="1"/>
    <xf numFmtId="0" fontId="2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7" fillId="0" borderId="0" xfId="0" applyFont="1"/>
    <xf numFmtId="0" fontId="0" fillId="0" borderId="0" xfId="0" applyBorder="1"/>
    <xf numFmtId="0" fontId="12" fillId="0" borderId="16" xfId="0" applyFont="1" applyBorder="1" applyAlignment="1">
      <alignment horizontal="center" wrapText="1" shrinkToFit="1"/>
    </xf>
    <xf numFmtId="0" fontId="21" fillId="0" borderId="37" xfId="0" applyFont="1" applyBorder="1" applyAlignment="1">
      <alignment horizontal="center" wrapText="1" shrinkToFit="1"/>
    </xf>
    <xf numFmtId="0" fontId="22" fillId="0" borderId="18" xfId="0" applyFont="1" applyBorder="1" applyAlignment="1">
      <alignment horizontal="center"/>
    </xf>
    <xf numFmtId="0" fontId="28" fillId="0" borderId="0" xfId="0" applyFont="1"/>
    <xf numFmtId="0" fontId="1" fillId="0" borderId="0" xfId="0" applyFont="1" applyBorder="1"/>
    <xf numFmtId="0" fontId="1" fillId="0" borderId="41" xfId="0" applyFont="1" applyBorder="1"/>
    <xf numFmtId="17" fontId="30" fillId="0" borderId="41" xfId="0" applyNumberFormat="1" applyFont="1" applyBorder="1" applyAlignment="1">
      <alignment horizontal="left"/>
    </xf>
    <xf numFmtId="0" fontId="1" fillId="0" borderId="46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44" fontId="0" fillId="0" borderId="50" xfId="1" applyFont="1" applyBorder="1"/>
    <xf numFmtId="0" fontId="2" fillId="0" borderId="46" xfId="0" applyFont="1" applyBorder="1"/>
    <xf numFmtId="0" fontId="2" fillId="0" borderId="46" xfId="0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0" fontId="1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164" fontId="1" fillId="0" borderId="47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" fontId="16" fillId="0" borderId="51" xfId="0" applyNumberFormat="1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8" fontId="19" fillId="0" borderId="38" xfId="0" applyNumberFormat="1" applyFont="1" applyBorder="1" applyAlignment="1">
      <alignment horizontal="right"/>
    </xf>
    <xf numFmtId="8" fontId="19" fillId="0" borderId="24" xfId="0" applyNumberFormat="1" applyFont="1" applyBorder="1" applyAlignment="1">
      <alignment horizontal="right"/>
    </xf>
    <xf numFmtId="164" fontId="1" fillId="0" borderId="54" xfId="0" applyNumberFormat="1" applyFont="1" applyBorder="1" applyAlignment="1">
      <alignment horizontal="center"/>
    </xf>
    <xf numFmtId="44" fontId="0" fillId="0" borderId="26" xfId="1" applyFont="1" applyBorder="1"/>
    <xf numFmtId="44" fontId="1" fillId="0" borderId="45" xfId="1" applyFont="1" applyBorder="1" applyAlignment="1">
      <alignment horizontal="center"/>
    </xf>
    <xf numFmtId="44" fontId="0" fillId="0" borderId="23" xfId="1" applyFont="1" applyBorder="1"/>
    <xf numFmtId="0" fontId="1" fillId="0" borderId="55" xfId="0" applyFon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8" fontId="19" fillId="0" borderId="21" xfId="0" applyNumberFormat="1" applyFont="1" applyBorder="1" applyAlignment="1">
      <alignment horizontal="center"/>
    </xf>
    <xf numFmtId="8" fontId="19" fillId="0" borderId="22" xfId="0" applyNumberFormat="1" applyFont="1" applyBorder="1" applyAlignment="1">
      <alignment horizontal="center"/>
    </xf>
    <xf numFmtId="8" fontId="19" fillId="0" borderId="23" xfId="0" applyNumberFormat="1" applyFont="1" applyBorder="1" applyAlignment="1">
      <alignment horizontal="center"/>
    </xf>
    <xf numFmtId="44" fontId="19" fillId="0" borderId="6" xfId="1" applyFont="1" applyBorder="1" applyAlignment="1">
      <alignment horizontal="center"/>
    </xf>
    <xf numFmtId="44" fontId="1" fillId="0" borderId="46" xfId="1" applyFont="1" applyBorder="1" applyAlignment="1">
      <alignment horizontal="center"/>
    </xf>
    <xf numFmtId="44" fontId="0" fillId="0" borderId="0" xfId="1" applyFont="1"/>
    <xf numFmtId="44" fontId="31" fillId="0" borderId="46" xfId="1" applyFont="1" applyBorder="1" applyProtection="1">
      <protection locked="0"/>
    </xf>
    <xf numFmtId="8" fontId="19" fillId="0" borderId="24" xfId="0" applyNumberFormat="1" applyFont="1" applyBorder="1" applyAlignment="1">
      <alignment horizontal="center"/>
    </xf>
    <xf numFmtId="44" fontId="1" fillId="0" borderId="49" xfId="1" applyFont="1" applyBorder="1" applyAlignment="1">
      <alignment horizontal="center"/>
    </xf>
    <xf numFmtId="0" fontId="33" fillId="0" borderId="0" xfId="0" applyFont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4" fontId="0" fillId="0" borderId="56" xfId="1" applyFont="1" applyBorder="1"/>
    <xf numFmtId="0" fontId="23" fillId="0" borderId="39" xfId="0" applyFont="1" applyFill="1" applyBorder="1" applyAlignment="1">
      <alignment horizontal="center"/>
    </xf>
    <xf numFmtId="8" fontId="22" fillId="0" borderId="39" xfId="0" applyNumberFormat="1" applyFont="1" applyFill="1" applyBorder="1" applyAlignment="1">
      <alignment horizontal="center"/>
    </xf>
    <xf numFmtId="164" fontId="22" fillId="0" borderId="39" xfId="0" applyNumberFormat="1" applyFont="1" applyFill="1" applyBorder="1" applyAlignment="1">
      <alignment horizontal="center"/>
    </xf>
    <xf numFmtId="44" fontId="22" fillId="0" borderId="39" xfId="1" applyFont="1" applyFill="1" applyBorder="1" applyAlignment="1">
      <alignment horizontal="center"/>
    </xf>
    <xf numFmtId="8" fontId="22" fillId="0" borderId="40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28575</xdr:rowOff>
    </xdr:from>
    <xdr:to>
      <xdr:col>1</xdr:col>
      <xdr:colOff>676275</xdr:colOff>
      <xdr:row>5</xdr:row>
      <xdr:rowOff>19050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342900</xdr:colOff>
      <xdr:row>5</xdr:row>
      <xdr:rowOff>46355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3" name="2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workbookViewId="0">
      <selection activeCell="D31" sqref="D31"/>
    </sheetView>
  </sheetViews>
  <sheetFormatPr baseColWidth="10" defaultRowHeight="12.75" x14ac:dyDescent="0.2"/>
  <cols>
    <col min="1" max="1" width="3.2851562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20.100000000000001" customHeight="1" x14ac:dyDescent="0.2">
      <c r="B6" s="136" t="s">
        <v>15</v>
      </c>
      <c r="C6" s="136"/>
      <c r="D6" s="136"/>
      <c r="E6" s="136"/>
      <c r="F6" s="11"/>
    </row>
    <row r="7" spans="2:10" ht="20.100000000000001" customHeight="1" x14ac:dyDescent="0.2">
      <c r="B7" s="136" t="s">
        <v>19</v>
      </c>
      <c r="C7" s="136"/>
      <c r="D7" s="136"/>
      <c r="E7" s="136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x14ac:dyDescent="0.2">
      <c r="B9" s="22"/>
      <c r="C9" s="135" t="s">
        <v>57</v>
      </c>
      <c r="D9" s="135"/>
      <c r="E9" s="135"/>
      <c r="F9" s="15"/>
      <c r="G9" s="2"/>
      <c r="H9" s="2"/>
      <c r="I9" s="2"/>
      <c r="J9" s="2"/>
    </row>
    <row r="10" spans="2:10" ht="24.95" customHeight="1" thickBot="1" x14ac:dyDescent="0.25">
      <c r="B10" s="23" t="s">
        <v>20</v>
      </c>
      <c r="C10" s="109" t="s">
        <v>1</v>
      </c>
      <c r="D10" s="110" t="s">
        <v>2</v>
      </c>
      <c r="E10" s="111" t="s">
        <v>0</v>
      </c>
      <c r="F10" s="15"/>
      <c r="G10" s="2"/>
      <c r="H10" s="2"/>
      <c r="I10" s="2"/>
      <c r="J10" s="2"/>
    </row>
    <row r="11" spans="2:10" ht="21.95" customHeight="1" x14ac:dyDescent="0.2">
      <c r="B11" s="24" t="s">
        <v>3</v>
      </c>
      <c r="C11" s="25">
        <v>17</v>
      </c>
      <c r="D11" s="25">
        <v>15</v>
      </c>
      <c r="E11" s="124">
        <f t="shared" ref="E11:E18" si="0">SUM(C11:D11)</f>
        <v>32</v>
      </c>
      <c r="F11" s="34"/>
      <c r="G11" s="34"/>
      <c r="H11" s="7"/>
      <c r="I11" s="3"/>
      <c r="J11" s="3"/>
    </row>
    <row r="12" spans="2:10" ht="21.95" customHeight="1" x14ac:dyDescent="0.2">
      <c r="B12" s="26" t="s">
        <v>5</v>
      </c>
      <c r="C12" s="27">
        <v>9</v>
      </c>
      <c r="D12" s="27">
        <v>14</v>
      </c>
      <c r="E12" s="29">
        <f t="shared" si="0"/>
        <v>23</v>
      </c>
      <c r="F12" s="16"/>
      <c r="G12" s="4"/>
      <c r="H12" s="3"/>
      <c r="I12" s="3"/>
      <c r="J12" s="3"/>
    </row>
    <row r="13" spans="2:10" ht="21.95" customHeight="1" x14ac:dyDescent="0.2">
      <c r="B13" s="26" t="s">
        <v>6</v>
      </c>
      <c r="C13" s="28">
        <v>8</v>
      </c>
      <c r="D13" s="28">
        <v>9</v>
      </c>
      <c r="E13" s="29">
        <f t="shared" si="0"/>
        <v>17</v>
      </c>
      <c r="F13" s="16"/>
      <c r="G13" s="4"/>
      <c r="H13" s="3"/>
      <c r="I13" s="3" t="s">
        <v>12</v>
      </c>
      <c r="J13" s="3"/>
    </row>
    <row r="14" spans="2:10" ht="21.95" customHeight="1" x14ac:dyDescent="0.2">
      <c r="B14" s="26" t="s">
        <v>7</v>
      </c>
      <c r="C14" s="31">
        <v>17</v>
      </c>
      <c r="D14" s="31">
        <v>20</v>
      </c>
      <c r="E14" s="32">
        <f t="shared" si="0"/>
        <v>37</v>
      </c>
      <c r="F14" s="16"/>
      <c r="G14" s="4"/>
      <c r="H14" s="3"/>
      <c r="I14" s="3"/>
      <c r="J14" s="3"/>
    </row>
    <row r="15" spans="2:10" ht="21.95" customHeight="1" x14ac:dyDescent="0.2">
      <c r="B15" s="26" t="s">
        <v>8</v>
      </c>
      <c r="C15" s="31">
        <v>8</v>
      </c>
      <c r="D15" s="31">
        <v>9</v>
      </c>
      <c r="E15" s="32">
        <f t="shared" si="0"/>
        <v>17</v>
      </c>
      <c r="F15" s="16"/>
      <c r="G15" s="4"/>
      <c r="H15" s="3"/>
      <c r="I15" s="3"/>
      <c r="J15" s="3"/>
    </row>
    <row r="16" spans="2:10" ht="21.95" customHeight="1" x14ac:dyDescent="0.2">
      <c r="B16" s="26" t="s">
        <v>9</v>
      </c>
      <c r="C16" s="27">
        <v>9</v>
      </c>
      <c r="D16" s="27">
        <v>21</v>
      </c>
      <c r="E16" s="32">
        <f t="shared" si="0"/>
        <v>30</v>
      </c>
      <c r="F16" s="16"/>
      <c r="G16" s="4"/>
      <c r="H16" s="3"/>
      <c r="I16" s="3"/>
      <c r="J16" s="3"/>
    </row>
    <row r="17" spans="1:10" ht="21.95" customHeight="1" x14ac:dyDescent="0.2">
      <c r="B17" s="26" t="s">
        <v>10</v>
      </c>
      <c r="C17" s="27">
        <v>21</v>
      </c>
      <c r="D17" s="27">
        <v>20</v>
      </c>
      <c r="E17" s="29">
        <f t="shared" si="0"/>
        <v>41</v>
      </c>
      <c r="F17" s="17"/>
      <c r="G17" s="8"/>
      <c r="H17" s="8"/>
      <c r="I17" s="3"/>
      <c r="J17" s="3"/>
    </row>
    <row r="18" spans="1:10" ht="21.95" customHeight="1" x14ac:dyDescent="0.2">
      <c r="B18" s="26" t="s">
        <v>11</v>
      </c>
      <c r="C18" s="27">
        <v>11</v>
      </c>
      <c r="D18" s="27">
        <v>11</v>
      </c>
      <c r="E18" s="29">
        <f t="shared" si="0"/>
        <v>22</v>
      </c>
      <c r="F18" s="17"/>
      <c r="G18" s="8"/>
      <c r="H18" s="8"/>
      <c r="I18" s="3"/>
      <c r="J18" s="3"/>
    </row>
    <row r="19" spans="1:10" ht="21.95" customHeight="1" x14ac:dyDescent="0.2">
      <c r="B19" s="33" t="s">
        <v>14</v>
      </c>
      <c r="C19" s="28">
        <v>6</v>
      </c>
      <c r="D19" s="28">
        <v>21</v>
      </c>
      <c r="E19" s="29">
        <f>SUM(C19:D19)</f>
        <v>27</v>
      </c>
      <c r="F19" s="17"/>
      <c r="G19" s="8" t="s">
        <v>13</v>
      </c>
      <c r="H19" s="8"/>
      <c r="I19" s="3"/>
      <c r="J19" s="3"/>
    </row>
    <row r="20" spans="1:10" ht="21.95" customHeight="1" x14ac:dyDescent="0.2">
      <c r="B20" s="33" t="s">
        <v>16</v>
      </c>
      <c r="C20" s="28">
        <v>5</v>
      </c>
      <c r="D20" s="28">
        <v>11</v>
      </c>
      <c r="E20" s="29">
        <f>SUM(C20:D20)</f>
        <v>16</v>
      </c>
      <c r="F20" s="17"/>
      <c r="G20" s="8"/>
      <c r="H20" s="8"/>
      <c r="I20" s="3"/>
      <c r="J20" s="3"/>
    </row>
    <row r="21" spans="1:10" ht="21.95" customHeight="1" x14ac:dyDescent="0.2">
      <c r="B21" s="33" t="s">
        <v>17</v>
      </c>
      <c r="C21" s="28">
        <v>4</v>
      </c>
      <c r="D21" s="28">
        <v>11</v>
      </c>
      <c r="E21" s="29">
        <f>SUM(C21:D21)</f>
        <v>15</v>
      </c>
      <c r="F21" s="17"/>
      <c r="G21" s="8"/>
      <c r="H21" s="8"/>
      <c r="I21" s="3"/>
      <c r="J21" s="3"/>
    </row>
    <row r="22" spans="1:10" ht="21.95" customHeight="1" thickBot="1" x14ac:dyDescent="0.25">
      <c r="B22" s="33" t="s">
        <v>18</v>
      </c>
      <c r="C22" s="28">
        <v>12</v>
      </c>
      <c r="D22" s="28">
        <v>15</v>
      </c>
      <c r="E22" s="29">
        <f>SUM(C22:D22)</f>
        <v>27</v>
      </c>
      <c r="F22" s="17"/>
      <c r="G22" s="8" t="s">
        <v>13</v>
      </c>
      <c r="H22" s="8"/>
      <c r="I22" s="3"/>
      <c r="J22" s="3"/>
    </row>
    <row r="23" spans="1:10" ht="22.5" customHeight="1" thickBot="1" x14ac:dyDescent="0.25">
      <c r="B23" s="112" t="s">
        <v>4</v>
      </c>
      <c r="C23" s="113">
        <f>SUM(C11:C22)</f>
        <v>127</v>
      </c>
      <c r="D23" s="113">
        <f>SUM(D11:D22)</f>
        <v>177</v>
      </c>
      <c r="E23" s="114">
        <f>SUM(E11:E22)</f>
        <v>304</v>
      </c>
      <c r="F23" s="17"/>
      <c r="G23" s="8"/>
      <c r="H23" s="8"/>
      <c r="I23" s="3"/>
      <c r="J23" s="3"/>
    </row>
    <row r="24" spans="1:10" ht="14.25" customHeight="1" x14ac:dyDescent="0.2">
      <c r="C24" s="11"/>
      <c r="D24" s="30"/>
      <c r="E24" s="30" t="s">
        <v>59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37"/>
      <c r="C27" s="10"/>
      <c r="D27" s="10"/>
      <c r="E27" s="10"/>
      <c r="F27" s="10"/>
      <c r="G27" s="5"/>
    </row>
    <row r="28" spans="1:10" x14ac:dyDescent="0.2">
      <c r="A28" s="37" t="s">
        <v>64</v>
      </c>
      <c r="B28" s="37"/>
      <c r="C28" s="37"/>
      <c r="D28" t="s">
        <v>60</v>
      </c>
      <c r="F28" s="10"/>
      <c r="G28" s="5"/>
    </row>
    <row r="29" spans="1:10" x14ac:dyDescent="0.2">
      <c r="A29" s="81" t="s">
        <v>65</v>
      </c>
      <c r="B29" s="142"/>
      <c r="C29" s="37"/>
      <c r="D29" s="37" t="s">
        <v>67</v>
      </c>
      <c r="F29" s="10"/>
      <c r="G29" s="5"/>
    </row>
    <row r="30" spans="1:10" x14ac:dyDescent="0.2">
      <c r="A30" s="14"/>
      <c r="B30" s="37" t="s">
        <v>66</v>
      </c>
      <c r="C30" s="37"/>
      <c r="D30" s="19" t="s">
        <v>68</v>
      </c>
      <c r="F30" s="10"/>
      <c r="G30" s="5"/>
    </row>
    <row r="31" spans="1:10" x14ac:dyDescent="0.2">
      <c r="B31" s="19"/>
      <c r="C31" s="37"/>
      <c r="D31" s="37"/>
      <c r="F31" s="10"/>
      <c r="G31" s="5"/>
    </row>
    <row r="32" spans="1:10" x14ac:dyDescent="0.2">
      <c r="C32" s="37"/>
      <c r="D32" s="37"/>
      <c r="E32" s="37"/>
      <c r="F32" s="14"/>
      <c r="G32" s="5"/>
    </row>
    <row r="33" spans="2:7" x14ac:dyDescent="0.2">
      <c r="B33" s="37"/>
      <c r="C33" s="37"/>
      <c r="D33" s="37"/>
      <c r="E33" s="37"/>
      <c r="F33" s="14"/>
      <c r="G33" s="5"/>
    </row>
    <row r="34" spans="2:7" x14ac:dyDescent="0.2">
      <c r="B34" s="37"/>
      <c r="C34" s="35" t="s">
        <v>61</v>
      </c>
      <c r="D34" s="35"/>
      <c r="E34" s="37"/>
      <c r="F34" s="14"/>
      <c r="G34" s="5"/>
    </row>
    <row r="35" spans="2:7" x14ac:dyDescent="0.2">
      <c r="B35" s="35"/>
      <c r="C35" s="35" t="s">
        <v>62</v>
      </c>
      <c r="D35" s="36"/>
      <c r="E35" s="37"/>
      <c r="F35" s="21"/>
      <c r="G35" s="5"/>
    </row>
    <row r="36" spans="2:7" x14ac:dyDescent="0.2">
      <c r="B36" s="37"/>
      <c r="C36" s="19" t="s">
        <v>63</v>
      </c>
      <c r="D36" s="35"/>
      <c r="E36" s="37"/>
      <c r="F36" s="10"/>
      <c r="G36" s="5"/>
    </row>
    <row r="37" spans="2:7" x14ac:dyDescent="0.2">
      <c r="B37" s="35"/>
      <c r="C37" s="35"/>
      <c r="D37" s="36"/>
      <c r="E37" s="10"/>
      <c r="F37" s="10"/>
      <c r="G37" s="5"/>
    </row>
    <row r="38" spans="2:7" x14ac:dyDescent="0.2">
      <c r="B38" s="10"/>
      <c r="C38" s="19"/>
      <c r="D38" s="35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12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horizontalCentered="1"/>
  <pageMargins left="0.59055118110236227" right="0.39370078740157483" top="0.98425196850393704" bottom="0.59055118110236227" header="0" footer="0"/>
  <pageSetup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0"/>
  <sheetViews>
    <sheetView zoomScaleNormal="100" workbookViewId="0">
      <selection activeCell="B20" sqref="B20:N20"/>
    </sheetView>
  </sheetViews>
  <sheetFormatPr baseColWidth="10" defaultRowHeight="12.75" x14ac:dyDescent="0.2"/>
  <cols>
    <col min="1" max="1" width="9.425781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1.42578125" customWidth="1"/>
    <col min="8" max="8" width="12.42578125" customWidth="1"/>
    <col min="9" max="9" width="11.42578125" customWidth="1"/>
    <col min="10" max="10" width="11.28515625" customWidth="1"/>
    <col min="11" max="11" width="10.5703125" customWidth="1"/>
    <col min="12" max="12" width="10.42578125" customWidth="1"/>
    <col min="13" max="13" width="17.140625" customWidth="1"/>
    <col min="14" max="14" width="13" customWidth="1"/>
  </cols>
  <sheetData>
    <row r="4" spans="1:17" x14ac:dyDescent="0.2">
      <c r="A4" s="137" t="s">
        <v>21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7" x14ac:dyDescent="0.2">
      <c r="A5" s="137" t="s">
        <v>58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7" ht="12.75" customHeight="1" thickBo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3.5" customHeight="1" thickBot="1" x14ac:dyDescent="0.25">
      <c r="A7" s="85" t="s">
        <v>22</v>
      </c>
      <c r="B7" s="38" t="s">
        <v>53</v>
      </c>
      <c r="C7" s="38" t="s">
        <v>54</v>
      </c>
      <c r="D7" s="38" t="s">
        <v>23</v>
      </c>
      <c r="E7" s="38" t="s">
        <v>24</v>
      </c>
      <c r="F7" s="38" t="s">
        <v>25</v>
      </c>
      <c r="G7" s="38" t="s">
        <v>26</v>
      </c>
      <c r="H7" s="38" t="s">
        <v>27</v>
      </c>
      <c r="I7" s="38" t="s">
        <v>28</v>
      </c>
      <c r="J7" s="38" t="s">
        <v>29</v>
      </c>
      <c r="K7" s="39" t="s">
        <v>30</v>
      </c>
      <c r="L7" s="40" t="s">
        <v>31</v>
      </c>
      <c r="M7" s="41" t="s">
        <v>32</v>
      </c>
      <c r="N7" s="86" t="s">
        <v>33</v>
      </c>
      <c r="O7" s="42"/>
      <c r="P7" s="42"/>
    </row>
    <row r="8" spans="1:17" ht="23.1" customHeight="1" x14ac:dyDescent="0.2">
      <c r="A8" s="43" t="s">
        <v>47</v>
      </c>
      <c r="B8" s="44">
        <v>0</v>
      </c>
      <c r="C8" s="44">
        <v>28</v>
      </c>
      <c r="D8" s="44">
        <f>21+8+16+9</f>
        <v>54</v>
      </c>
      <c r="E8" s="44">
        <f>6+2+5+5</f>
        <v>18</v>
      </c>
      <c r="F8" s="44">
        <f>5+2+2+1</f>
        <v>10</v>
      </c>
      <c r="G8" s="125">
        <f>6171.43+3428.57+7714.28</f>
        <v>17314.28</v>
      </c>
      <c r="H8" s="125">
        <f>43999.99+15542.86+20057.18+13942.86</f>
        <v>93542.89</v>
      </c>
      <c r="I8" s="45">
        <v>2285.71</v>
      </c>
      <c r="J8" s="125">
        <f>1142.86*5</f>
        <v>5714.2999999999993</v>
      </c>
      <c r="K8" s="126">
        <f>163.27*5-0.03+163.27+163.27+1142.86</f>
        <v>2285.7200000000003</v>
      </c>
      <c r="L8" s="127">
        <v>0</v>
      </c>
      <c r="M8" s="46">
        <v>0</v>
      </c>
      <c r="N8" s="115">
        <f t="shared" ref="N8:N16" si="0">SUM(G8:M8)</f>
        <v>121142.90000000001</v>
      </c>
    </row>
    <row r="9" spans="1:17" ht="23.1" customHeight="1" x14ac:dyDescent="0.2">
      <c r="A9" s="47" t="s">
        <v>48</v>
      </c>
      <c r="B9" s="48">
        <f>3+8</f>
        <v>11</v>
      </c>
      <c r="C9" s="48">
        <f>5+5+2+1+4</f>
        <v>17</v>
      </c>
      <c r="D9" s="48">
        <f>14+20+4+17+13</f>
        <v>68</v>
      </c>
      <c r="E9" s="48">
        <f>3+5+1+6</f>
        <v>15</v>
      </c>
      <c r="F9" s="48">
        <f>2+2+9</f>
        <v>13</v>
      </c>
      <c r="G9" s="49">
        <f>13714.28+6857.14+3428.57+8914.29</f>
        <v>32914.28</v>
      </c>
      <c r="H9" s="49">
        <f>14857.15+11817.13+11428.57+13523.78+18342.84</f>
        <v>69969.47</v>
      </c>
      <c r="I9" s="50">
        <v>0</v>
      </c>
      <c r="J9" s="49">
        <f>1142.86*8</f>
        <v>9142.8799999999992</v>
      </c>
      <c r="K9" s="51">
        <f>571.43+285.72+285.72+285.7+285.72+380.96+380.95+380.95+380.96+380.96+380.95+380.95+914.29+1142.86+1142.86+1142.86</f>
        <v>8723.8399999999983</v>
      </c>
      <c r="L9" s="52">
        <v>0</v>
      </c>
      <c r="M9" s="53">
        <v>0</v>
      </c>
      <c r="N9" s="116">
        <f t="shared" si="0"/>
        <v>120750.47</v>
      </c>
    </row>
    <row r="10" spans="1:17" ht="23.1" customHeight="1" x14ac:dyDescent="0.2">
      <c r="A10" s="47" t="s">
        <v>49</v>
      </c>
      <c r="B10" s="48">
        <f>4+2+5+5</f>
        <v>16</v>
      </c>
      <c r="C10" s="48">
        <f>2+2+1</f>
        <v>5</v>
      </c>
      <c r="D10" s="48">
        <f>12+11+13+11</f>
        <v>47</v>
      </c>
      <c r="E10" s="48">
        <f>4+3+7+3</f>
        <v>17</v>
      </c>
      <c r="F10" s="48">
        <f>1+3</f>
        <v>4</v>
      </c>
      <c r="G10" s="49">
        <f>3428.57+4457.14+2571.43+8571.42</f>
        <v>19028.560000000001</v>
      </c>
      <c r="H10" s="49">
        <f>15346.74+11931.43+10380.92+18297.13</f>
        <v>55956.22</v>
      </c>
      <c r="I10" s="50">
        <v>1142.8599999999999</v>
      </c>
      <c r="J10" s="128">
        <f>11*1142.86</f>
        <v>12571.46</v>
      </c>
      <c r="K10" s="51">
        <f>142.85+142.86+142.86+142.86+571.43+285.72+285.72+285.7+285.7+285.72+285.72+285.72+1142.86+380.96</f>
        <v>4666.68</v>
      </c>
      <c r="L10" s="52">
        <v>0</v>
      </c>
      <c r="M10" s="53">
        <v>0</v>
      </c>
      <c r="N10" s="116">
        <f t="shared" si="0"/>
        <v>93365.78</v>
      </c>
      <c r="O10" s="54"/>
      <c r="P10" s="54"/>
      <c r="Q10" s="54"/>
    </row>
    <row r="11" spans="1:17" ht="23.1" customHeight="1" x14ac:dyDescent="0.2">
      <c r="A11" s="47" t="s">
        <v>34</v>
      </c>
      <c r="B11" s="48">
        <f>7+3+3+5</f>
        <v>18</v>
      </c>
      <c r="C11" s="48">
        <f>1+1+1</f>
        <v>3</v>
      </c>
      <c r="D11" s="48">
        <f>14+6+2+9+15</f>
        <v>46</v>
      </c>
      <c r="E11" s="48">
        <f>3+1+1+3</f>
        <v>8</v>
      </c>
      <c r="F11" s="48">
        <f>5+2+3+3</f>
        <v>13</v>
      </c>
      <c r="G11" s="49">
        <f>2297.14+10285.71+6548.57+11485.71</f>
        <v>30617.129999999997</v>
      </c>
      <c r="H11" s="49">
        <f>18000+17142.85+2640+2640+22971.43+22285.71</f>
        <v>85679.989999999991</v>
      </c>
      <c r="I11" s="50">
        <v>0</v>
      </c>
      <c r="J11" s="49">
        <f>7*1142.86</f>
        <v>8000.0199999999995</v>
      </c>
      <c r="K11" s="51">
        <f>266.67+266.66+380.95+380.95+380.96+142.86+142.85+142.86+142.86+380.95+380.95+380.96+380.95+380.95</f>
        <v>4152.38</v>
      </c>
      <c r="L11" s="52">
        <v>3428.57</v>
      </c>
      <c r="M11" s="53">
        <v>0</v>
      </c>
      <c r="N11" s="132">
        <f t="shared" si="0"/>
        <v>131878.09</v>
      </c>
    </row>
    <row r="12" spans="1:17" ht="23.1" customHeight="1" x14ac:dyDescent="0.2">
      <c r="A12" s="47" t="s">
        <v>35</v>
      </c>
      <c r="B12" s="48">
        <f>4+5+7+4</f>
        <v>20</v>
      </c>
      <c r="C12" s="36">
        <f>1+1</f>
        <v>2</v>
      </c>
      <c r="D12" s="48">
        <f>17+10+15+7</f>
        <v>49</v>
      </c>
      <c r="E12" s="48">
        <f>1+2+3+3</f>
        <v>9</v>
      </c>
      <c r="F12" s="48">
        <f>3+5+1</f>
        <v>9</v>
      </c>
      <c r="G12" s="49">
        <f>10799.99+6000</f>
        <v>16799.989999999998</v>
      </c>
      <c r="H12" s="49">
        <f>21714.29+13725.71+45577.15+6857.15</f>
        <v>87874.299999999988</v>
      </c>
      <c r="I12" s="50">
        <v>857.14</v>
      </c>
      <c r="J12" s="49">
        <f>1142.86*7</f>
        <v>8000.0199999999995</v>
      </c>
      <c r="K12" s="51">
        <f>190.47+380.95+380.95+380.96+1142.86+114.27+571.43</f>
        <v>3161.8899999999994</v>
      </c>
      <c r="L12" s="52">
        <v>0</v>
      </c>
      <c r="M12" s="53">
        <v>0</v>
      </c>
      <c r="N12" s="132">
        <f t="shared" si="0"/>
        <v>116693.33999999998</v>
      </c>
    </row>
    <row r="13" spans="1:17" ht="23.1" customHeight="1" x14ac:dyDescent="0.2">
      <c r="A13" s="47" t="s">
        <v>36</v>
      </c>
      <c r="B13" s="48">
        <f>3+2+7+3</f>
        <v>15</v>
      </c>
      <c r="C13" s="48">
        <f>1+1+3</f>
        <v>5</v>
      </c>
      <c r="D13" s="48">
        <f>9+5+4+14+13</f>
        <v>45</v>
      </c>
      <c r="E13" s="48">
        <f>1+2+1+3+3</f>
        <v>10</v>
      </c>
      <c r="F13" s="48">
        <f>2+1+4+3</f>
        <v>10</v>
      </c>
      <c r="G13" s="49">
        <f>3428.57+5279.99+3428.57+7714.29</f>
        <v>19851.419999999998</v>
      </c>
      <c r="H13" s="49">
        <f>7999.87+15657.13+30000+11691.43+19942.85</f>
        <v>85291.28</v>
      </c>
      <c r="I13" s="50">
        <v>1142.8599999999999</v>
      </c>
      <c r="J13" s="49">
        <f>1142.86*10</f>
        <v>11428.599999999999</v>
      </c>
      <c r="K13" s="51">
        <f>1200+1142.88+571.43+571.43+380.96+380.95+380.95+380.95+380.95+380.96+114.29+380.95+380.95+228.57+342.86+342.86+342.85</f>
        <v>7904.7899999999981</v>
      </c>
      <c r="L13" s="52">
        <v>0</v>
      </c>
      <c r="M13" s="53">
        <v>3428.57</v>
      </c>
      <c r="N13" s="132">
        <f t="shared" si="0"/>
        <v>129047.52</v>
      </c>
    </row>
    <row r="14" spans="1:17" ht="23.1" customHeight="1" x14ac:dyDescent="0.2">
      <c r="A14" s="47" t="s">
        <v>37</v>
      </c>
      <c r="B14" s="48">
        <f>4+6+4+3</f>
        <v>17</v>
      </c>
      <c r="C14" s="48">
        <f>2+4</f>
        <v>6</v>
      </c>
      <c r="D14" s="48">
        <f>12+12+10+10</f>
        <v>44</v>
      </c>
      <c r="E14" s="48">
        <f>4+2+2+6</f>
        <v>14</v>
      </c>
      <c r="F14" s="48">
        <f>2+4+2+1</f>
        <v>9</v>
      </c>
      <c r="G14" s="49">
        <f>3051.41+10285.71+4628.58+2742.85</f>
        <v>20708.549999999996</v>
      </c>
      <c r="H14" s="49">
        <f>14399.98+27428.57+4457.13+10787.42</f>
        <v>57073.1</v>
      </c>
      <c r="I14" s="50">
        <v>285.72000000000003</v>
      </c>
      <c r="J14" s="49">
        <f>1142.86*12</f>
        <v>13714.32</v>
      </c>
      <c r="K14" s="51">
        <f>685.7+380.96+380.95+380.95+380.96+163.27+163.24+163.27+163.27+163.27+163.27+163.27+205.71+205.71+205.71+205.71+205.73+380.95+380.95+380.95+285.72+190.48+190.48+190.47+571.43+1142.86</f>
        <v>8095.239999999998</v>
      </c>
      <c r="L14" s="52">
        <v>11428.57</v>
      </c>
      <c r="M14" s="53">
        <v>0</v>
      </c>
      <c r="N14" s="116">
        <f t="shared" si="0"/>
        <v>111305.5</v>
      </c>
    </row>
    <row r="15" spans="1:17" ht="23.1" customHeight="1" x14ac:dyDescent="0.2">
      <c r="A15" s="47" t="s">
        <v>38</v>
      </c>
      <c r="B15" s="48">
        <f>8+9+6+8</f>
        <v>31</v>
      </c>
      <c r="C15" s="48">
        <f>1+1+1+1+1+1</f>
        <v>6</v>
      </c>
      <c r="D15" s="48">
        <f>14+1+2+25+8+22+2</f>
        <v>74</v>
      </c>
      <c r="E15" s="48">
        <f>4+2+8+4+5+1</f>
        <v>24</v>
      </c>
      <c r="F15" s="48">
        <f>4+2+3+4</f>
        <v>13</v>
      </c>
      <c r="G15" s="49">
        <f>12342.86+10457.14+2571.43</f>
        <v>25371.43</v>
      </c>
      <c r="H15" s="49">
        <f>21714.27+2720+33942.85+16674.28+28000+5714.28</f>
        <v>108765.68</v>
      </c>
      <c r="I15" s="50">
        <f>342.85+1714.29</f>
        <v>2057.14</v>
      </c>
      <c r="J15" s="49">
        <f>1142.86*5</f>
        <v>5714.2999999999993</v>
      </c>
      <c r="K15" s="51">
        <f>266.67+285.7+285.71+285.72+1142.86+285.71+285.72+571.43+380.95+380.96+380.95+228.57+228.57+228.57+571.44</f>
        <v>5809.5299999999988</v>
      </c>
      <c r="L15" s="52">
        <v>0</v>
      </c>
      <c r="M15" s="53">
        <v>11428.57</v>
      </c>
      <c r="N15" s="116">
        <f t="shared" si="0"/>
        <v>159146.65</v>
      </c>
    </row>
    <row r="16" spans="1:17" ht="23.1" customHeight="1" x14ac:dyDescent="0.2">
      <c r="A16" s="55" t="s">
        <v>50</v>
      </c>
      <c r="B16" s="56">
        <f>9+10+4+6</f>
        <v>29</v>
      </c>
      <c r="C16" s="57">
        <f>1+1+1+1</f>
        <v>4</v>
      </c>
      <c r="D16" s="56">
        <f>27+20+17+14</f>
        <v>78</v>
      </c>
      <c r="E16" s="56">
        <f>6+6+3+4</f>
        <v>19</v>
      </c>
      <c r="F16" s="56">
        <f>4+5+2+3</f>
        <v>14</v>
      </c>
      <c r="G16" s="58">
        <f>10800+6034.29+8914.29+5142.86</f>
        <v>30891.440000000002</v>
      </c>
      <c r="H16" s="58">
        <f>27542.87+33371.46+32274.28+26914.29</f>
        <v>120102.9</v>
      </c>
      <c r="I16" s="59">
        <v>3428.57</v>
      </c>
      <c r="J16" s="58">
        <f>1142.86*8</f>
        <v>9142.8799999999992</v>
      </c>
      <c r="K16" s="60">
        <f>457.16+285.71+285.72+1200</f>
        <v>2228.59</v>
      </c>
      <c r="L16" s="52">
        <v>2285.71</v>
      </c>
      <c r="M16" s="53">
        <v>0</v>
      </c>
      <c r="N16" s="116">
        <f t="shared" si="0"/>
        <v>168080.09</v>
      </c>
    </row>
    <row r="17" spans="1:17" ht="23.1" customHeight="1" x14ac:dyDescent="0.2">
      <c r="A17" s="61" t="s">
        <v>39</v>
      </c>
      <c r="B17" s="62">
        <f>10+12+9+5+7</f>
        <v>43</v>
      </c>
      <c r="C17" s="63">
        <f>1+2</f>
        <v>3</v>
      </c>
      <c r="D17" s="63">
        <f>22+32+24+9+17</f>
        <v>104</v>
      </c>
      <c r="E17" s="63">
        <f>6+6+6+4+5</f>
        <v>27</v>
      </c>
      <c r="F17" s="63">
        <f>46-27</f>
        <v>19</v>
      </c>
      <c r="G17" s="64">
        <f>11999.99+3428.57+10285.71+9428.57+17142.85</f>
        <v>52285.689999999995</v>
      </c>
      <c r="H17" s="64">
        <f>22857.14+31645.69+42285.71+10192.47+33485.73</f>
        <v>140466.74000000002</v>
      </c>
      <c r="I17" s="65">
        <f>1714.29+2714.28</f>
        <v>4428.57</v>
      </c>
      <c r="J17" s="64">
        <f>1142.86*7</f>
        <v>8000.0199999999995</v>
      </c>
      <c r="K17" s="64">
        <f>285.71+285.72+228.57+228.57+190.48+380.95+380.945+380.95+571.43+571.43+571.43+285.71+285.72</f>
        <v>4647.6149999999998</v>
      </c>
      <c r="L17" s="52">
        <v>0</v>
      </c>
      <c r="M17" s="53">
        <v>0</v>
      </c>
      <c r="N17" s="132">
        <f t="shared" ref="N17:N19" si="1">SUM(G17:M17)</f>
        <v>209828.63500000001</v>
      </c>
    </row>
    <row r="18" spans="1:17" ht="23.1" customHeight="1" x14ac:dyDescent="0.2">
      <c r="A18" s="67" t="s">
        <v>51</v>
      </c>
      <c r="B18" s="68">
        <f>8+8+10+8</f>
        <v>34</v>
      </c>
      <c r="C18" s="68">
        <f>2+3</f>
        <v>5</v>
      </c>
      <c r="D18" s="68">
        <f>17+20+21+22</f>
        <v>80</v>
      </c>
      <c r="E18" s="68">
        <f>6+8+9+4</f>
        <v>27</v>
      </c>
      <c r="F18" s="68">
        <f>4+4+4</f>
        <v>12</v>
      </c>
      <c r="G18" s="69">
        <f>2399.99+10285.71+17142.85+6857.14</f>
        <v>36685.689999999995</v>
      </c>
      <c r="H18" s="69">
        <f>26479.98+41524.01+24914.27+15714.28</f>
        <v>108632.54000000001</v>
      </c>
      <c r="I18" s="70">
        <f>3428.57</f>
        <v>3428.57</v>
      </c>
      <c r="J18" s="69">
        <f>1142.86*5</f>
        <v>5714.2999999999993</v>
      </c>
      <c r="K18" s="69">
        <f>380.96+571.43+571.43+571.43+190.47+380.95+380.95+380.96+190.48+190.46</f>
        <v>3809.5199999999991</v>
      </c>
      <c r="L18" s="52">
        <v>5714.29</v>
      </c>
      <c r="M18" s="53">
        <v>0</v>
      </c>
      <c r="N18" s="132">
        <f t="shared" si="1"/>
        <v>163984.91</v>
      </c>
      <c r="O18" s="71"/>
    </row>
    <row r="19" spans="1:17" ht="23.1" customHeight="1" thickBot="1" x14ac:dyDescent="0.25">
      <c r="A19" s="67" t="s">
        <v>52</v>
      </c>
      <c r="B19" s="72">
        <f>4+9+4+5</f>
        <v>22</v>
      </c>
      <c r="C19" s="72">
        <f>1+1+1</f>
        <v>3</v>
      </c>
      <c r="D19" s="72">
        <f>12+20+7+11</f>
        <v>50</v>
      </c>
      <c r="E19" s="72">
        <f>3+6+3+5</f>
        <v>17</v>
      </c>
      <c r="F19" s="72">
        <f>1+4+2+1</f>
        <v>8</v>
      </c>
      <c r="G19" s="66">
        <f>3428.57+15771.43+857.14+6857.14</f>
        <v>26914.28</v>
      </c>
      <c r="H19" s="66">
        <f>46000+29440+8114.28+12182.86</f>
        <v>95737.14</v>
      </c>
      <c r="I19" s="73">
        <v>0</v>
      </c>
      <c r="J19" s="66">
        <f>1142.86*6</f>
        <v>6857.16</v>
      </c>
      <c r="K19" s="66">
        <f>228.58+285.72+285.72+285.7+228.57+228.57+228.58</f>
        <v>1771.4399999999998</v>
      </c>
      <c r="L19" s="52">
        <v>30000</v>
      </c>
      <c r="M19" s="53">
        <v>0</v>
      </c>
      <c r="N19" s="132">
        <f t="shared" si="1"/>
        <v>161280.01999999999</v>
      </c>
      <c r="O19" s="71"/>
    </row>
    <row r="20" spans="1:17" ht="23.1" customHeight="1" thickBot="1" x14ac:dyDescent="0.25">
      <c r="A20" s="87" t="s">
        <v>0</v>
      </c>
      <c r="B20" s="145">
        <f t="shared" ref="B20:L20" si="2">SUM(B8:B19)</f>
        <v>256</v>
      </c>
      <c r="C20" s="145">
        <f t="shared" si="2"/>
        <v>87</v>
      </c>
      <c r="D20" s="145">
        <f t="shared" si="2"/>
        <v>739</v>
      </c>
      <c r="E20" s="145">
        <f t="shared" si="2"/>
        <v>205</v>
      </c>
      <c r="F20" s="145">
        <f t="shared" si="2"/>
        <v>134</v>
      </c>
      <c r="G20" s="146">
        <f t="shared" si="2"/>
        <v>329382.74</v>
      </c>
      <c r="H20" s="146">
        <f t="shared" si="2"/>
        <v>1109092.25</v>
      </c>
      <c r="I20" s="147">
        <f t="shared" si="2"/>
        <v>19057.14</v>
      </c>
      <c r="J20" s="146">
        <f t="shared" si="2"/>
        <v>104000.26000000001</v>
      </c>
      <c r="K20" s="146">
        <f t="shared" si="2"/>
        <v>57257.234999999986</v>
      </c>
      <c r="L20" s="146">
        <f t="shared" si="2"/>
        <v>52857.14</v>
      </c>
      <c r="M20" s="148">
        <f>SUM(M8:M19)</f>
        <v>14857.14</v>
      </c>
      <c r="N20" s="149">
        <f>SUM(N8:N19)</f>
        <v>1686503.905</v>
      </c>
    </row>
    <row r="21" spans="1:17" ht="13.5" customHeight="1" x14ac:dyDescent="0.2">
      <c r="A21" s="74"/>
      <c r="B21" s="37"/>
      <c r="C21" s="37"/>
      <c r="D21" s="37"/>
      <c r="E21" s="37"/>
      <c r="F21" s="37"/>
      <c r="G21" s="37"/>
      <c r="H21" s="75"/>
      <c r="I21" s="18"/>
      <c r="J21" s="35"/>
      <c r="K21" s="35"/>
      <c r="L21" s="35"/>
      <c r="M21" s="35"/>
      <c r="N21" s="30"/>
      <c r="O21" s="5"/>
      <c r="P21" s="37" t="s">
        <v>13</v>
      </c>
    </row>
    <row r="22" spans="1:17" x14ac:dyDescent="0.2">
      <c r="A22" s="20"/>
      <c r="B22" s="35"/>
      <c r="C22" s="76"/>
      <c r="D22" s="76"/>
      <c r="E22" s="76"/>
      <c r="F22" s="76"/>
      <c r="G22" s="35"/>
      <c r="H22" s="76"/>
      <c r="I22" s="35"/>
      <c r="J22" s="35"/>
      <c r="K22" s="35"/>
      <c r="L22" s="35"/>
      <c r="M22" s="35"/>
      <c r="N22" s="77"/>
      <c r="O22" s="78"/>
    </row>
    <row r="23" spans="1:17" x14ac:dyDescent="0.2">
      <c r="A23" s="20"/>
      <c r="B23" s="35"/>
      <c r="C23" s="76"/>
      <c r="D23" s="76"/>
      <c r="E23" s="76"/>
      <c r="F23" s="76"/>
      <c r="G23" s="35"/>
      <c r="H23" s="76"/>
      <c r="I23" s="35"/>
      <c r="J23" s="35"/>
      <c r="K23" s="35"/>
      <c r="L23" s="35"/>
      <c r="M23" s="35"/>
      <c r="N23" s="77"/>
      <c r="O23" s="78"/>
    </row>
    <row r="24" spans="1:17" x14ac:dyDescent="0.2">
      <c r="A24" s="37" t="s">
        <v>70</v>
      </c>
      <c r="E24" s="80"/>
      <c r="F24" t="s">
        <v>71</v>
      </c>
      <c r="K24" s="37" t="s">
        <v>61</v>
      </c>
      <c r="L24" s="37"/>
      <c r="M24" s="37"/>
      <c r="N24" s="37"/>
      <c r="Q24" s="37" t="s">
        <v>13</v>
      </c>
    </row>
    <row r="25" spans="1:17" x14ac:dyDescent="0.2">
      <c r="A25" s="81" t="s">
        <v>72</v>
      </c>
      <c r="B25" s="82"/>
      <c r="C25" s="37"/>
      <c r="D25" s="37"/>
      <c r="E25" s="83"/>
      <c r="F25" t="s">
        <v>73</v>
      </c>
      <c r="K25" s="37" t="s">
        <v>74</v>
      </c>
      <c r="L25" s="37"/>
    </row>
    <row r="26" spans="1:17" x14ac:dyDescent="0.2">
      <c r="A26" s="75" t="s">
        <v>75</v>
      </c>
      <c r="B26" s="35"/>
      <c r="C26" s="35"/>
      <c r="D26" s="35"/>
      <c r="E26" s="83"/>
      <c r="F26" s="35" t="s">
        <v>76</v>
      </c>
      <c r="G26" s="35"/>
      <c r="H26" s="35"/>
      <c r="K26" s="35" t="s">
        <v>63</v>
      </c>
      <c r="L26" s="35"/>
      <c r="M26" s="35"/>
      <c r="N26" s="30"/>
    </row>
    <row r="27" spans="1:17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</row>
    <row r="28" spans="1:17" x14ac:dyDescent="0.2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37" t="s">
        <v>69</v>
      </c>
      <c r="N28" s="84"/>
    </row>
    <row r="29" spans="1:17" x14ac:dyDescent="0.2">
      <c r="A29" s="20"/>
      <c r="B29" s="35"/>
      <c r="C29" s="76"/>
      <c r="D29" s="76"/>
      <c r="E29" s="76"/>
      <c r="F29" s="76"/>
      <c r="G29" s="35"/>
      <c r="H29" s="76"/>
      <c r="I29" s="35"/>
      <c r="J29" s="35"/>
      <c r="K29" s="35"/>
      <c r="N29" s="79"/>
      <c r="O29" s="5"/>
    </row>
    <row r="30" spans="1:17" x14ac:dyDescent="0.2">
      <c r="A30" s="20"/>
      <c r="B30" s="35"/>
      <c r="C30" s="13"/>
      <c r="D30" s="13"/>
      <c r="E30" s="13"/>
      <c r="F30" s="13"/>
      <c r="G30" s="37"/>
      <c r="H30" s="13"/>
      <c r="N30" s="79"/>
      <c r="O30" s="5"/>
    </row>
    <row r="31" spans="1:17" x14ac:dyDescent="0.2">
      <c r="A31" s="20"/>
      <c r="B31" s="35"/>
      <c r="C31" s="13"/>
      <c r="D31" s="13"/>
      <c r="E31" s="13"/>
      <c r="F31" s="13"/>
      <c r="G31" s="37"/>
      <c r="H31" s="13"/>
      <c r="N31" s="79"/>
      <c r="O31" s="5"/>
    </row>
    <row r="32" spans="1:17" x14ac:dyDescent="0.2">
      <c r="A32" s="20"/>
      <c r="B32" s="37"/>
      <c r="C32" s="13"/>
      <c r="D32" s="13"/>
      <c r="E32" s="13"/>
      <c r="F32" s="13"/>
      <c r="G32" s="37"/>
      <c r="H32" s="13"/>
      <c r="N32" s="79"/>
      <c r="O32" s="5"/>
    </row>
    <row r="33" spans="1:17" x14ac:dyDescent="0.2">
      <c r="A33" s="37"/>
      <c r="E33" s="80"/>
      <c r="J33" s="37"/>
      <c r="K33" s="37"/>
      <c r="L33" s="37"/>
      <c r="M33" s="37"/>
      <c r="N33" s="37"/>
      <c r="Q33" s="37"/>
    </row>
    <row r="34" spans="1:17" x14ac:dyDescent="0.2">
      <c r="A34" s="81"/>
      <c r="B34" s="82"/>
      <c r="C34" s="37"/>
      <c r="D34" s="37"/>
      <c r="E34" s="83"/>
      <c r="J34" s="37"/>
      <c r="K34" s="37"/>
    </row>
    <row r="35" spans="1:17" x14ac:dyDescent="0.2">
      <c r="A35" s="75"/>
      <c r="B35" s="35"/>
      <c r="C35" s="35"/>
      <c r="D35" s="35"/>
      <c r="E35" s="83"/>
      <c r="F35" s="35"/>
      <c r="G35" s="35"/>
      <c r="H35" s="35"/>
      <c r="J35" s="35"/>
      <c r="K35" s="35"/>
      <c r="L35" s="35"/>
      <c r="M35" s="35"/>
      <c r="N35" s="35"/>
    </row>
    <row r="36" spans="1:17" x14ac:dyDescent="0.2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</row>
    <row r="37" spans="1:17" x14ac:dyDescent="0.2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4"/>
    </row>
    <row r="38" spans="1:17" x14ac:dyDescent="0.2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4"/>
    </row>
    <row r="39" spans="1:17" x14ac:dyDescent="0.2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1" spans="1:17" x14ac:dyDescent="0.2">
      <c r="A41" s="83"/>
      <c r="F41" s="37"/>
      <c r="G41" s="5"/>
    </row>
    <row r="42" spans="1:17" x14ac:dyDescent="0.2">
      <c r="F42" s="35"/>
      <c r="G42" s="78"/>
      <c r="L42" s="35"/>
      <c r="M42" s="35"/>
      <c r="N42" s="35"/>
    </row>
    <row r="45" spans="1:17" x14ac:dyDescent="0.2">
      <c r="O45" s="35"/>
    </row>
    <row r="46" spans="1:17" x14ac:dyDescent="0.2">
      <c r="B46" s="75"/>
      <c r="C46" s="35"/>
      <c r="D46" s="35"/>
      <c r="E46" s="35"/>
      <c r="F46" s="35"/>
      <c r="J46" s="35"/>
      <c r="K46" s="35"/>
      <c r="L46" s="35"/>
      <c r="M46" s="35"/>
      <c r="N46" s="35"/>
      <c r="O46" s="35"/>
    </row>
    <row r="48" spans="1:17" x14ac:dyDescent="0.2">
      <c r="B48" s="37"/>
    </row>
    <row r="49" spans="2:2" x14ac:dyDescent="0.2">
      <c r="B49" s="37"/>
    </row>
    <row r="50" spans="2:2" x14ac:dyDescent="0.2">
      <c r="B50" s="37"/>
    </row>
  </sheetData>
  <mergeCells count="2">
    <mergeCell ref="A4:N4"/>
    <mergeCell ref="A5:N5"/>
  </mergeCells>
  <printOptions horizontalCentered="1"/>
  <pageMargins left="0.39370078740157483" right="0.39370078740157483" top="1.1811023622047245" bottom="0.39370078740157483" header="0" footer="0"/>
  <pageSetup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opLeftCell="A10" workbookViewId="0">
      <selection activeCell="E22" sqref="E22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88"/>
    </row>
    <row r="4" spans="2:5" x14ac:dyDescent="0.2">
      <c r="B4" s="1"/>
      <c r="C4" s="1"/>
      <c r="D4" s="1"/>
    </row>
    <row r="5" spans="2:5" ht="20.100000000000001" customHeight="1" x14ac:dyDescent="0.2">
      <c r="B5" s="138" t="s">
        <v>40</v>
      </c>
      <c r="C5" s="138"/>
      <c r="D5" s="138"/>
      <c r="E5" s="138"/>
    </row>
    <row r="6" spans="2:5" ht="20.100000000000001" customHeight="1" x14ac:dyDescent="0.2">
      <c r="B6" s="138" t="s">
        <v>55</v>
      </c>
      <c r="C6" s="138"/>
      <c r="D6" s="138"/>
      <c r="E6" s="138"/>
    </row>
    <row r="7" spans="2:5" x14ac:dyDescent="0.2">
      <c r="B7" s="89"/>
      <c r="C7" s="37"/>
      <c r="D7" s="37"/>
      <c r="E7" s="37"/>
    </row>
    <row r="8" spans="2:5" ht="21.95" customHeight="1" x14ac:dyDescent="0.2">
      <c r="B8" s="90"/>
      <c r="C8" s="139" t="s">
        <v>57</v>
      </c>
      <c r="D8" s="140"/>
      <c r="E8" s="141"/>
    </row>
    <row r="9" spans="2:5" ht="27" x14ac:dyDescent="0.2">
      <c r="B9" s="103" t="s">
        <v>20</v>
      </c>
      <c r="C9" s="104" t="s">
        <v>41</v>
      </c>
      <c r="D9" s="105" t="s">
        <v>42</v>
      </c>
      <c r="E9" s="106" t="s">
        <v>43</v>
      </c>
    </row>
    <row r="10" spans="2:5" ht="20.100000000000001" customHeight="1" x14ac:dyDescent="0.2">
      <c r="B10" s="91" t="s">
        <v>3</v>
      </c>
      <c r="C10" s="92">
        <f>41+34+50+16</f>
        <v>141</v>
      </c>
      <c r="D10" s="129">
        <f>13.44+26.59+9.43</f>
        <v>49.46</v>
      </c>
      <c r="E10" s="94">
        <f>17152.53+24086.21+32277.54+41122.54</f>
        <v>114638.82</v>
      </c>
    </row>
    <row r="11" spans="2:5" ht="20.100000000000001" customHeight="1" x14ac:dyDescent="0.2">
      <c r="B11" s="91" t="s">
        <v>5</v>
      </c>
      <c r="C11" s="92">
        <f>30+18+16+19</f>
        <v>83</v>
      </c>
      <c r="D11" s="130">
        <f>31.24+9.19+14.61+2.45</f>
        <v>57.49</v>
      </c>
      <c r="E11" s="95">
        <f>28311.86+10165.97+13565.84+19440.27</f>
        <v>71483.94</v>
      </c>
    </row>
    <row r="12" spans="2:5" ht="20.100000000000001" customHeight="1" x14ac:dyDescent="0.2">
      <c r="B12" s="91" t="s">
        <v>6</v>
      </c>
      <c r="C12" s="92">
        <f>9+36+32+45</f>
        <v>122</v>
      </c>
      <c r="D12" s="131">
        <f>7.5+15.55+38.29+29.77</f>
        <v>91.11</v>
      </c>
      <c r="E12" s="95">
        <f>6612.18+21425.35+25753.61+45139.23</f>
        <v>98930.37</v>
      </c>
    </row>
    <row r="13" spans="2:5" ht="20.100000000000001" customHeight="1" x14ac:dyDescent="0.2">
      <c r="B13" s="91" t="s">
        <v>7</v>
      </c>
      <c r="C13" s="96">
        <f>16+61+24+17</f>
        <v>118</v>
      </c>
      <c r="D13" s="133">
        <f>6.61+18.68+45.65+4.55</f>
        <v>75.489999999999995</v>
      </c>
      <c r="E13" s="93">
        <f>10463.38+45455.97+14899.24+12199.71</f>
        <v>83018.299999999988</v>
      </c>
    </row>
    <row r="14" spans="2:5" ht="20.100000000000001" customHeight="1" x14ac:dyDescent="0.2">
      <c r="B14" s="91" t="s">
        <v>8</v>
      </c>
      <c r="C14" s="92">
        <f>11+28+33+45</f>
        <v>117</v>
      </c>
      <c r="D14" s="119">
        <f>2.5+34.85+32.74+27.51</f>
        <v>97.600000000000009</v>
      </c>
      <c r="E14" s="95">
        <f>5936.87+23749.18+27642.19+26889.98</f>
        <v>84218.22</v>
      </c>
    </row>
    <row r="15" spans="2:5" ht="20.100000000000001" customHeight="1" x14ac:dyDescent="0.2">
      <c r="B15" s="91" t="s">
        <v>9</v>
      </c>
      <c r="C15" s="92">
        <f>11+19+23+25</f>
        <v>78</v>
      </c>
      <c r="D15" s="99">
        <f>16.79+14.19+5.79+29.58</f>
        <v>66.349999999999994</v>
      </c>
      <c r="E15" s="95">
        <f>7099.95+20721.57+10023.56+21751.12</f>
        <v>59596.2</v>
      </c>
    </row>
    <row r="16" spans="2:5" ht="20.100000000000001" customHeight="1" x14ac:dyDescent="0.2">
      <c r="B16" s="91" t="s">
        <v>10</v>
      </c>
      <c r="C16" s="92">
        <f>35+25+39+13</f>
        <v>112</v>
      </c>
      <c r="D16" s="119">
        <f>46.56+29.52+20.84</f>
        <v>96.92</v>
      </c>
      <c r="E16" s="95">
        <f>31068.33+21396.05+25468.14+18569.29</f>
        <v>96501.81</v>
      </c>
    </row>
    <row r="17" spans="1:6" ht="20.100000000000001" customHeight="1" x14ac:dyDescent="0.2">
      <c r="B17" s="91" t="s">
        <v>11</v>
      </c>
      <c r="C17" s="98">
        <f>45+19+13+22</f>
        <v>99</v>
      </c>
      <c r="D17" s="119">
        <f>40.84+8.18+14.84</f>
        <v>63.86</v>
      </c>
      <c r="E17" s="95">
        <f>34348.78+12174.3+8733.47+13631.83</f>
        <v>68888.38</v>
      </c>
    </row>
    <row r="18" spans="1:6" ht="20.100000000000001" customHeight="1" x14ac:dyDescent="0.2">
      <c r="B18" s="91" t="s">
        <v>14</v>
      </c>
      <c r="C18" s="98">
        <f>25+33+27+30+19</f>
        <v>134</v>
      </c>
      <c r="D18" s="119">
        <f>25.08+20.67+18.73+8.43+2.81</f>
        <v>75.72</v>
      </c>
      <c r="E18" s="95">
        <f>22327.14+25382.38+20823.02+16790.07+12066.59</f>
        <v>97389.200000000012</v>
      </c>
    </row>
    <row r="19" spans="1:6" ht="20.100000000000001" customHeight="1" x14ac:dyDescent="0.2">
      <c r="B19" s="91" t="s">
        <v>16</v>
      </c>
      <c r="C19" s="98">
        <f>18+27+25+45</f>
        <v>115</v>
      </c>
      <c r="D19" s="119">
        <f>18.96+21.78+20.14+18.06</f>
        <v>78.94</v>
      </c>
      <c r="E19" s="95">
        <f>14055.64+21164.75+20995.61+21687.11</f>
        <v>77903.11</v>
      </c>
    </row>
    <row r="20" spans="1:6" ht="20.100000000000001" customHeight="1" x14ac:dyDescent="0.2">
      <c r="B20" s="91" t="s">
        <v>17</v>
      </c>
      <c r="C20" s="98">
        <f>29+44+33+27</f>
        <v>133</v>
      </c>
      <c r="D20" s="99">
        <f>30+26.61+8.85+21.79</f>
        <v>87.25</v>
      </c>
      <c r="E20" s="95">
        <f>22572.21+28448.31+21470.66+21436.62</f>
        <v>93927.8</v>
      </c>
    </row>
    <row r="21" spans="1:6" ht="20.100000000000001" customHeight="1" x14ac:dyDescent="0.2">
      <c r="B21" s="91" t="s">
        <v>18</v>
      </c>
      <c r="C21" s="98">
        <f>17+35+39+21</f>
        <v>112</v>
      </c>
      <c r="D21" s="119">
        <f>26.14+24.52+26.64+12.66</f>
        <v>89.96</v>
      </c>
      <c r="E21" s="119">
        <f>21783.74+21254.43+28085.29+14039.28</f>
        <v>85162.739999999991</v>
      </c>
    </row>
    <row r="22" spans="1:6" ht="20.100000000000001" customHeight="1" x14ac:dyDescent="0.2">
      <c r="B22" s="100" t="s">
        <v>0</v>
      </c>
      <c r="C22" s="101">
        <f>SUM(C10:C18)</f>
        <v>1004</v>
      </c>
      <c r="D22" s="102">
        <f>SUM(D10:D21)</f>
        <v>930.15000000000009</v>
      </c>
      <c r="E22" s="102">
        <f>SUM(E10:E21)</f>
        <v>1031658.89</v>
      </c>
    </row>
    <row r="23" spans="1:6" x14ac:dyDescent="0.2">
      <c r="B23" s="74"/>
      <c r="C23" s="37"/>
      <c r="D23" s="19"/>
      <c r="E23" s="30" t="s">
        <v>77</v>
      </c>
    </row>
    <row r="24" spans="1:6" x14ac:dyDescent="0.2">
      <c r="B24" s="37"/>
      <c r="C24" s="37"/>
      <c r="D24" s="37"/>
      <c r="E24" s="37"/>
    </row>
    <row r="25" spans="1:6" x14ac:dyDescent="0.2">
      <c r="B25" s="37"/>
    </row>
    <row r="28" spans="1:6" x14ac:dyDescent="0.2">
      <c r="A28" s="37" t="s">
        <v>70</v>
      </c>
      <c r="D28" s="35" t="s">
        <v>78</v>
      </c>
      <c r="E28" s="37"/>
      <c r="F28" s="37"/>
    </row>
    <row r="29" spans="1:6" x14ac:dyDescent="0.2">
      <c r="A29" s="81" t="s">
        <v>79</v>
      </c>
      <c r="D29" s="37" t="s">
        <v>80</v>
      </c>
      <c r="E29" s="37"/>
      <c r="F29" s="37"/>
    </row>
    <row r="30" spans="1:6" x14ac:dyDescent="0.2">
      <c r="A30" s="19" t="s">
        <v>81</v>
      </c>
      <c r="B30" s="143"/>
      <c r="D30" s="37" t="s">
        <v>82</v>
      </c>
      <c r="E30" s="37"/>
      <c r="F30" s="37"/>
    </row>
    <row r="31" spans="1:6" x14ac:dyDescent="0.2">
      <c r="A31" s="19"/>
      <c r="B31" s="35"/>
      <c r="D31" s="35"/>
      <c r="E31" s="35"/>
      <c r="F31" s="37"/>
    </row>
    <row r="32" spans="1:6" x14ac:dyDescent="0.2">
      <c r="F32" s="37"/>
    </row>
    <row r="33" spans="2:6" x14ac:dyDescent="0.2">
      <c r="C33" s="37" t="s">
        <v>61</v>
      </c>
      <c r="F33" s="37"/>
    </row>
    <row r="34" spans="2:6" x14ac:dyDescent="0.2">
      <c r="C34" s="37" t="s">
        <v>83</v>
      </c>
      <c r="F34" s="37"/>
    </row>
    <row r="35" spans="2:6" x14ac:dyDescent="0.2">
      <c r="B35" s="37"/>
      <c r="C35" s="37" t="s">
        <v>84</v>
      </c>
      <c r="F35" s="37"/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ignoredErrors>
    <ignoredError sqref="D1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workbookViewId="0">
      <selection activeCell="B25" sqref="B25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88"/>
    </row>
    <row r="4" spans="2:5" x14ac:dyDescent="0.2">
      <c r="B4" s="1"/>
      <c r="C4" s="1"/>
      <c r="D4" s="1"/>
    </row>
    <row r="5" spans="2:5" ht="20.100000000000001" customHeight="1" x14ac:dyDescent="0.2">
      <c r="B5" s="138" t="s">
        <v>44</v>
      </c>
      <c r="C5" s="138"/>
      <c r="D5" s="138"/>
      <c r="E5" s="138"/>
    </row>
    <row r="6" spans="2:5" ht="20.100000000000001" customHeight="1" x14ac:dyDescent="0.2">
      <c r="B6" s="138" t="s">
        <v>56</v>
      </c>
      <c r="C6" s="138"/>
      <c r="D6" s="138"/>
      <c r="E6" s="138"/>
    </row>
    <row r="7" spans="2:5" x14ac:dyDescent="0.2">
      <c r="B7" s="89"/>
      <c r="C7" s="37"/>
      <c r="D7" s="37"/>
      <c r="E7" s="37"/>
    </row>
    <row r="8" spans="2:5" ht="30" customHeight="1" x14ac:dyDescent="0.2">
      <c r="B8" s="90"/>
      <c r="C8" s="139" t="s">
        <v>57</v>
      </c>
      <c r="D8" s="140"/>
      <c r="E8" s="141"/>
    </row>
    <row r="9" spans="2:5" ht="30" customHeight="1" x14ac:dyDescent="0.2">
      <c r="B9" s="103" t="s">
        <v>20</v>
      </c>
      <c r="C9" s="105" t="s">
        <v>45</v>
      </c>
      <c r="D9" s="105" t="s">
        <v>42</v>
      </c>
      <c r="E9" s="108" t="s">
        <v>46</v>
      </c>
    </row>
    <row r="10" spans="2:5" ht="20.100000000000001" customHeight="1" x14ac:dyDescent="0.2">
      <c r="B10" s="91" t="s">
        <v>3</v>
      </c>
      <c r="C10" s="96">
        <f>16+11+18+6</f>
        <v>51</v>
      </c>
      <c r="D10" s="107">
        <f>113.65+48.47+180.95+45.57</f>
        <v>388.64</v>
      </c>
      <c r="E10" s="93">
        <f>22172.08+15380.13+34676.22+9097.3</f>
        <v>81325.73</v>
      </c>
    </row>
    <row r="11" spans="2:5" ht="20.100000000000001" customHeight="1" x14ac:dyDescent="0.2">
      <c r="B11" s="91" t="s">
        <v>5</v>
      </c>
      <c r="C11" s="96">
        <f>36+3+6+7</f>
        <v>52</v>
      </c>
      <c r="D11" s="97">
        <f>33.88+41.13+11.73+325.31</f>
        <v>412.05</v>
      </c>
      <c r="E11" s="95">
        <f>62531.9+2273.99+7958.88+6823.28</f>
        <v>79588.05</v>
      </c>
    </row>
    <row r="12" spans="2:5" ht="20.100000000000001" customHeight="1" x14ac:dyDescent="0.2">
      <c r="B12" s="91" t="s">
        <v>6</v>
      </c>
      <c r="C12" s="96">
        <f>3+8+8+26</f>
        <v>45</v>
      </c>
      <c r="D12" s="97">
        <f>19.61+57.14+40.74+170.23</f>
        <v>287.72000000000003</v>
      </c>
      <c r="E12" s="95">
        <f>3980.4+16514.3+8530.71+34686.97</f>
        <v>63712.380000000005</v>
      </c>
    </row>
    <row r="13" spans="2:5" ht="20.100000000000001" customHeight="1" x14ac:dyDescent="0.2">
      <c r="B13" s="91" t="s">
        <v>7</v>
      </c>
      <c r="C13" s="96">
        <f>31+11+10+8</f>
        <v>60</v>
      </c>
      <c r="D13" s="97">
        <f>63.58+58.57+96.62+208.16</f>
        <v>426.93</v>
      </c>
      <c r="E13" s="95">
        <f>12507.86+11941.45+19331.97+41506.17</f>
        <v>85287.45</v>
      </c>
    </row>
    <row r="14" spans="2:5" ht="20.100000000000001" customHeight="1" x14ac:dyDescent="0.2">
      <c r="B14" s="91" t="s">
        <v>8</v>
      </c>
      <c r="C14" s="96">
        <f>4+4+5+22</f>
        <v>35</v>
      </c>
      <c r="D14" s="117">
        <f>28.5+16.52+40.52+159.42</f>
        <v>244.95999999999998</v>
      </c>
      <c r="E14" s="97">
        <f>9114.36+3412.06+7388.05+31269.19</f>
        <v>51183.66</v>
      </c>
    </row>
    <row r="15" spans="2:5" ht="20.100000000000001" customHeight="1" x14ac:dyDescent="0.2">
      <c r="B15" s="91" t="s">
        <v>9</v>
      </c>
      <c r="C15" s="96">
        <f>4+6+10+23</f>
        <v>43</v>
      </c>
      <c r="D15" s="118">
        <f>41.99+63.64+62.81+198.47</f>
        <v>366.90999999999997</v>
      </c>
      <c r="E15" s="97">
        <f>8529.44+11364.94+23937.2+39801.56</f>
        <v>83633.14</v>
      </c>
    </row>
    <row r="16" spans="2:5" ht="20.100000000000001" customHeight="1" x14ac:dyDescent="0.2">
      <c r="B16" s="91" t="s">
        <v>10</v>
      </c>
      <c r="C16" s="96">
        <f>12+6+21+21+12</f>
        <v>72</v>
      </c>
      <c r="D16" s="120">
        <f>82.14+43.19+191.8+79.78</f>
        <v>396.90999999999997</v>
      </c>
      <c r="E16" s="97">
        <f>17632.17+8528.25+37522.52+17063.11</f>
        <v>80746.049999999988</v>
      </c>
    </row>
    <row r="17" spans="1:7" ht="20.100000000000001" customHeight="1" x14ac:dyDescent="0.2">
      <c r="B17" s="91" t="s">
        <v>11</v>
      </c>
      <c r="C17" s="121">
        <f>7+7+13+24</f>
        <v>51</v>
      </c>
      <c r="D17" s="97">
        <f>57.62+24.06+72.25+156.4</f>
        <v>310.33000000000004</v>
      </c>
      <c r="E17" s="95">
        <f>10799.53+15975.95+17070.62+30700.8</f>
        <v>74546.900000000009</v>
      </c>
    </row>
    <row r="18" spans="1:7" ht="20.100000000000001" customHeight="1" x14ac:dyDescent="0.2">
      <c r="B18" s="91" t="s">
        <v>14</v>
      </c>
      <c r="C18" s="121">
        <f>9+13+8+2+4</f>
        <v>36</v>
      </c>
      <c r="D18" s="122">
        <f>73.49+68.34+48.56+8.65+34.65</f>
        <v>233.69</v>
      </c>
      <c r="E18" s="123">
        <f>14212.24+25645.97+9094.32+1705.64+6822.49</f>
        <v>57480.659999999996</v>
      </c>
    </row>
    <row r="19" spans="1:7" ht="20.100000000000001" customHeight="1" x14ac:dyDescent="0.2">
      <c r="B19" s="91" t="s">
        <v>16</v>
      </c>
      <c r="C19" s="121">
        <f>4+2+6+10</f>
        <v>22</v>
      </c>
      <c r="D19" s="97">
        <f>23.42+13.86+36.67+56.48</f>
        <v>130.43</v>
      </c>
      <c r="E19" s="97">
        <f>4548.02+2843.29+7391.92+15372.1</f>
        <v>30155.33</v>
      </c>
    </row>
    <row r="20" spans="1:7" ht="20.100000000000001" customHeight="1" x14ac:dyDescent="0.2">
      <c r="B20" s="91" t="s">
        <v>17</v>
      </c>
      <c r="C20" s="121">
        <f>5+4+8+9</f>
        <v>26</v>
      </c>
      <c r="D20" s="97">
        <f>30.6+5.86+82.2+136.21</f>
        <v>254.87</v>
      </c>
      <c r="E20" s="97">
        <f>9112.26+6279.86+15917.8+26720.95</f>
        <v>58030.869999999995</v>
      </c>
    </row>
    <row r="21" spans="1:7" ht="20.100000000000001" customHeight="1" x14ac:dyDescent="0.2">
      <c r="B21" s="91" t="s">
        <v>18</v>
      </c>
      <c r="C21" s="121">
        <f>7+4+9+11</f>
        <v>31</v>
      </c>
      <c r="D21" s="144">
        <f>56.43+22.45+61.51+112.04</f>
        <v>252.43</v>
      </c>
      <c r="E21" s="144">
        <f>14229.29+4548.99+15367.07+21030.83</f>
        <v>55176.18</v>
      </c>
    </row>
    <row r="22" spans="1:7" ht="20.100000000000001" customHeight="1" x14ac:dyDescent="0.2">
      <c r="B22" s="100" t="s">
        <v>0</v>
      </c>
      <c r="C22" s="101">
        <f>SUM(C10:C21)</f>
        <v>524</v>
      </c>
      <c r="D22" s="102">
        <f>SUM(D10:D21)</f>
        <v>3705.8699999999994</v>
      </c>
      <c r="E22" s="102">
        <f>SUM(E10:E21)</f>
        <v>800866.4</v>
      </c>
    </row>
    <row r="23" spans="1:7" x14ac:dyDescent="0.2">
      <c r="B23" s="74"/>
      <c r="C23" s="37"/>
      <c r="D23" s="134"/>
      <c r="E23" s="30" t="s">
        <v>77</v>
      </c>
    </row>
    <row r="24" spans="1:7" x14ac:dyDescent="0.2">
      <c r="B24" s="37"/>
      <c r="C24" s="37"/>
      <c r="D24" s="37"/>
      <c r="E24" s="37"/>
    </row>
    <row r="25" spans="1:7" x14ac:dyDescent="0.2">
      <c r="B25" s="37"/>
    </row>
    <row r="28" spans="1:7" x14ac:dyDescent="0.2">
      <c r="B28" s="37" t="s">
        <v>70</v>
      </c>
      <c r="D28" s="35" t="s">
        <v>85</v>
      </c>
    </row>
    <row r="29" spans="1:7" x14ac:dyDescent="0.2">
      <c r="B29" s="37" t="s">
        <v>86</v>
      </c>
      <c r="C29" s="143"/>
      <c r="D29" s="37" t="s">
        <v>87</v>
      </c>
    </row>
    <row r="30" spans="1:7" x14ac:dyDescent="0.2">
      <c r="A30" s="37"/>
      <c r="B30" s="18" t="s">
        <v>88</v>
      </c>
      <c r="C30" s="37"/>
      <c r="D30" s="35" t="s">
        <v>89</v>
      </c>
      <c r="E30" s="35"/>
      <c r="G30" s="35"/>
    </row>
    <row r="31" spans="1:7" x14ac:dyDescent="0.2">
      <c r="A31" s="14"/>
      <c r="B31" s="14"/>
      <c r="C31" s="14"/>
      <c r="E31" s="37"/>
    </row>
    <row r="32" spans="1:7" x14ac:dyDescent="0.2">
      <c r="B32" s="37"/>
      <c r="C32" s="37"/>
      <c r="D32" s="37"/>
      <c r="E32" s="37"/>
      <c r="F32" s="37"/>
    </row>
    <row r="33" spans="2:6" x14ac:dyDescent="0.2">
      <c r="B33" s="37"/>
      <c r="C33" s="37" t="s">
        <v>90</v>
      </c>
      <c r="E33" s="37"/>
      <c r="F33" s="37"/>
    </row>
    <row r="34" spans="2:6" x14ac:dyDescent="0.2">
      <c r="B34" s="37"/>
      <c r="C34" s="37"/>
      <c r="D34" s="37" t="s">
        <v>83</v>
      </c>
      <c r="E34" s="37"/>
      <c r="F34" s="37"/>
    </row>
    <row r="35" spans="2:6" x14ac:dyDescent="0.2">
      <c r="B35" s="37"/>
      <c r="C35" s="37"/>
      <c r="D35" s="37" t="s">
        <v>84</v>
      </c>
      <c r="E35" s="37"/>
      <c r="F35" s="37"/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FALLECIDOS POR SEXO 2015 </vt:lpstr>
      <vt:lpstr>SEGUROS PAGADOS AÑO 2015</vt:lpstr>
      <vt:lpstr>Valores de Rescate pagados 2015</vt:lpstr>
      <vt:lpstr>Pago SVD Venc. de póliza 2015</vt:lpstr>
      <vt:lpstr>'FALLECIDOS POR SEXO 2015 '!Área_de_impresión</vt:lpstr>
      <vt:lpstr>'Pago SVD Venc. de póliza 2015'!Área_de_impresión</vt:lpstr>
      <vt:lpstr>'SEGUROS PAGADOS AÑO 2015'!Área_de_impresión</vt:lpstr>
      <vt:lpstr>'Valores de Rescate pagados 2015'!Área_de_impresión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2015-05-07T20:07:02Z</cp:lastPrinted>
  <dcterms:created xsi:type="dcterms:W3CDTF">2002-04-29T19:59:45Z</dcterms:created>
  <dcterms:modified xsi:type="dcterms:W3CDTF">2016-01-20T14:00:43Z</dcterms:modified>
</cp:coreProperties>
</file>