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-156" windowWidth="9720" windowHeight="5736"/>
  </bookViews>
  <sheets>
    <sheet name="Sheet1" sheetId="1" r:id="rId1"/>
  </sheets>
  <definedNames>
    <definedName name="_xlnm.Print_Titles" localSheetId="0">Sheet1!$4:$5</definedName>
  </definedNames>
  <calcPr calcId="145621"/>
</workbook>
</file>

<file path=xl/calcChain.xml><?xml version="1.0" encoding="utf-8"?>
<calcChain xmlns="http://schemas.openxmlformats.org/spreadsheetml/2006/main">
  <c r="C150" i="1" l="1"/>
  <c r="E150" i="1" s="1"/>
  <c r="D150" i="1"/>
  <c r="F150" i="1"/>
  <c r="M141" i="1"/>
  <c r="M140" i="1"/>
  <c r="Q138" i="1"/>
  <c r="M139" i="1"/>
  <c r="Q136" i="1"/>
  <c r="M137" i="1"/>
  <c r="M138" i="1"/>
  <c r="M136" i="1"/>
  <c r="G81" i="1"/>
  <c r="G83" i="1"/>
  <c r="G85" i="1"/>
  <c r="G87" i="1"/>
  <c r="G89" i="1"/>
  <c r="G91" i="1"/>
  <c r="G93" i="1"/>
  <c r="G79" i="1"/>
  <c r="G77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E93" i="1"/>
  <c r="E91" i="1"/>
  <c r="E89" i="1"/>
  <c r="E87" i="1"/>
  <c r="E85" i="1"/>
  <c r="E83" i="1"/>
  <c r="E81" i="1"/>
  <c r="E79" i="1"/>
  <c r="E77" i="1"/>
  <c r="E75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G27" i="1"/>
  <c r="G26" i="1"/>
  <c r="G25" i="1"/>
  <c r="G24" i="1"/>
  <c r="G23" i="1"/>
  <c r="G22" i="1"/>
  <c r="G21" i="1"/>
  <c r="G20" i="1"/>
  <c r="G19" i="1"/>
  <c r="G18" i="1"/>
  <c r="G17" i="1"/>
  <c r="E27" i="1"/>
  <c r="E26" i="1"/>
  <c r="E25" i="1"/>
  <c r="E24" i="1"/>
  <c r="E23" i="1"/>
  <c r="E22" i="1"/>
  <c r="E21" i="1"/>
  <c r="E20" i="1"/>
  <c r="E19" i="1"/>
  <c r="E18" i="1"/>
  <c r="E17" i="1"/>
  <c r="E7" i="1"/>
  <c r="E6" i="1"/>
  <c r="G6" i="1"/>
  <c r="G7" i="1"/>
  <c r="G16" i="1"/>
  <c r="G15" i="1"/>
  <c r="G14" i="1"/>
  <c r="G13" i="1"/>
  <c r="G12" i="1"/>
  <c r="G11" i="1"/>
  <c r="E16" i="1"/>
  <c r="E15" i="1"/>
  <c r="E14" i="1"/>
  <c r="E13" i="1"/>
  <c r="E12" i="1"/>
  <c r="E11" i="1"/>
  <c r="G10" i="1"/>
  <c r="E10" i="1"/>
  <c r="G9" i="1"/>
  <c r="E9" i="1"/>
  <c r="G8" i="1"/>
  <c r="E8" i="1"/>
  <c r="G150" i="1"/>
  <c r="G138" i="1"/>
  <c r="E138" i="1"/>
  <c r="G136" i="1"/>
  <c r="E136" i="1"/>
  <c r="G134" i="1"/>
  <c r="E134" i="1"/>
  <c r="G132" i="1"/>
  <c r="E132" i="1"/>
  <c r="G130" i="1"/>
  <c r="E130" i="1"/>
  <c r="G127" i="1"/>
  <c r="E127" i="1"/>
  <c r="G125" i="1"/>
  <c r="E125" i="1"/>
  <c r="G123" i="1"/>
  <c r="E123" i="1"/>
  <c r="G121" i="1"/>
  <c r="E121" i="1"/>
  <c r="G120" i="1"/>
  <c r="E120" i="1"/>
  <c r="G119" i="1"/>
  <c r="E119" i="1"/>
  <c r="G118" i="1"/>
  <c r="E118" i="1"/>
  <c r="G117" i="1"/>
  <c r="E117" i="1"/>
  <c r="G116" i="1"/>
  <c r="E116" i="1"/>
  <c r="G115" i="1"/>
  <c r="E115" i="1"/>
  <c r="G114" i="1"/>
  <c r="E114" i="1"/>
  <c r="G113" i="1"/>
  <c r="E113" i="1"/>
  <c r="G112" i="1"/>
  <c r="E112" i="1"/>
  <c r="G111" i="1"/>
  <c r="E111" i="1"/>
  <c r="G110" i="1"/>
  <c r="E110" i="1"/>
  <c r="G109" i="1"/>
  <c r="E109" i="1"/>
  <c r="G108" i="1"/>
  <c r="E108" i="1"/>
  <c r="G107" i="1"/>
  <c r="E107" i="1"/>
  <c r="G106" i="1"/>
  <c r="E106" i="1"/>
  <c r="G105" i="1"/>
  <c r="E105" i="1"/>
  <c r="G103" i="1"/>
  <c r="E103" i="1"/>
  <c r="G101" i="1"/>
  <c r="E101" i="1"/>
  <c r="G99" i="1"/>
  <c r="E99" i="1"/>
  <c r="G97" i="1"/>
  <c r="E97" i="1"/>
  <c r="G95" i="1"/>
  <c r="E95" i="1"/>
  <c r="R134" i="1" l="1"/>
  <c r="Q134" i="1"/>
  <c r="M135" i="1"/>
  <c r="M134" i="1"/>
  <c r="Q132" i="1" l="1"/>
  <c r="M133" i="1"/>
  <c r="Q130" i="1"/>
  <c r="Q127" i="1"/>
  <c r="M129" i="1"/>
  <c r="M132" i="1"/>
  <c r="M131" i="1"/>
  <c r="M128" i="1"/>
  <c r="M126" i="1"/>
  <c r="M124" i="1"/>
  <c r="Q121" i="1"/>
  <c r="M122" i="1"/>
  <c r="Q125" i="1"/>
  <c r="M130" i="1"/>
  <c r="M125" i="1"/>
  <c r="M127" i="1"/>
  <c r="Q123" i="1"/>
  <c r="M123" i="1"/>
  <c r="M121" i="1"/>
  <c r="R120" i="1"/>
  <c r="Q120" i="1"/>
  <c r="M120" i="1"/>
  <c r="R119" i="1"/>
  <c r="Q119" i="1"/>
  <c r="M119" i="1"/>
  <c r="Q118" i="1"/>
  <c r="R118" i="1"/>
  <c r="M118" i="1"/>
  <c r="R117" i="1"/>
  <c r="Q117" i="1"/>
  <c r="M117" i="1"/>
  <c r="M115" i="1"/>
  <c r="M109" i="1"/>
  <c r="M77" i="1"/>
  <c r="M79" i="1"/>
  <c r="M85" i="1"/>
  <c r="Q107" i="1" s="1"/>
  <c r="M87" i="1"/>
  <c r="R87" i="1" s="1"/>
  <c r="M91" i="1"/>
  <c r="M95" i="1"/>
  <c r="M103" i="1"/>
  <c r="R103" i="1" s="1"/>
  <c r="Q83" i="1"/>
  <c r="Q81" i="1"/>
  <c r="Q79" i="1"/>
  <c r="Q77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R105" i="1"/>
  <c r="R101" i="1"/>
  <c r="R99" i="1"/>
  <c r="R97" i="1"/>
  <c r="R95" i="1"/>
  <c r="R93" i="1"/>
  <c r="R91" i="1"/>
  <c r="R89" i="1"/>
  <c r="R83" i="1"/>
  <c r="R81" i="1"/>
  <c r="R79" i="1"/>
  <c r="R77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P74" i="1"/>
  <c r="Q105" i="1" l="1"/>
  <c r="R85" i="1"/>
  <c r="Q89" i="1"/>
  <c r="Q106" i="1"/>
  <c r="Q99" i="1"/>
  <c r="Q101" i="1"/>
  <c r="Q93" i="1"/>
  <c r="Q85" i="1"/>
  <c r="Q96" i="1"/>
  <c r="Q87" i="1"/>
  <c r="Q91" i="1"/>
  <c r="Q97" i="1"/>
  <c r="Q103" i="1"/>
</calcChain>
</file>

<file path=xl/sharedStrings.xml><?xml version="1.0" encoding="utf-8"?>
<sst xmlns="http://schemas.openxmlformats.org/spreadsheetml/2006/main" count="366" uniqueCount="257">
  <si>
    <t>HOMBRES</t>
  </si>
  <si>
    <t>MUJERES</t>
  </si>
  <si>
    <t>P-01</t>
  </si>
  <si>
    <t>P-02</t>
  </si>
  <si>
    <t>P-03</t>
  </si>
  <si>
    <t>P-04</t>
  </si>
  <si>
    <t>P-05</t>
  </si>
  <si>
    <t>P-06</t>
  </si>
  <si>
    <t>P-07</t>
  </si>
  <si>
    <t>P-08</t>
  </si>
  <si>
    <t>P-09</t>
  </si>
  <si>
    <t>P-10</t>
  </si>
  <si>
    <t>P-11</t>
  </si>
  <si>
    <t>P-12</t>
  </si>
  <si>
    <t>P-13</t>
  </si>
  <si>
    <t>P-14</t>
  </si>
  <si>
    <t>P-15</t>
  </si>
  <si>
    <t>P-16</t>
  </si>
  <si>
    <t>P-17</t>
  </si>
  <si>
    <t>P-18</t>
  </si>
  <si>
    <t>P-19</t>
  </si>
  <si>
    <t>P-20</t>
  </si>
  <si>
    <t>P-21</t>
  </si>
  <si>
    <t>P-22</t>
  </si>
  <si>
    <t>P-23</t>
  </si>
  <si>
    <t>P-24</t>
  </si>
  <si>
    <t>P-25</t>
  </si>
  <si>
    <t>P-26</t>
  </si>
  <si>
    <t>P-27</t>
  </si>
  <si>
    <t>P-28</t>
  </si>
  <si>
    <t>P-29</t>
  </si>
  <si>
    <t>P-30</t>
  </si>
  <si>
    <t>P-31</t>
  </si>
  <si>
    <t>P-32</t>
  </si>
  <si>
    <t>P-33</t>
  </si>
  <si>
    <t>P-34</t>
  </si>
  <si>
    <t>P-35</t>
  </si>
  <si>
    <t xml:space="preserve"> ACADEMIA NACIONAL DE SEGURIDAD PUBLICA</t>
  </si>
  <si>
    <t>REGISTRO ACADEMICO</t>
  </si>
  <si>
    <t>P-57</t>
  </si>
  <si>
    <t>P-54</t>
  </si>
  <si>
    <t>P-36</t>
  </si>
  <si>
    <t>P-37</t>
  </si>
  <si>
    <t>P-38</t>
  </si>
  <si>
    <t>P-39</t>
  </si>
  <si>
    <t>P-40</t>
  </si>
  <si>
    <t>P-41</t>
  </si>
  <si>
    <t>P-42</t>
  </si>
  <si>
    <t>P-43</t>
  </si>
  <si>
    <t>P-44</t>
  </si>
  <si>
    <t>P-45</t>
  </si>
  <si>
    <t>P-46</t>
  </si>
  <si>
    <t>P-47</t>
  </si>
  <si>
    <t>P-48</t>
  </si>
  <si>
    <t>P-49</t>
  </si>
  <si>
    <t>P-50</t>
  </si>
  <si>
    <t>P-51</t>
  </si>
  <si>
    <t>P-52</t>
  </si>
  <si>
    <t>P-53</t>
  </si>
  <si>
    <t>P-55</t>
  </si>
  <si>
    <t>P-56</t>
  </si>
  <si>
    <t>P-58</t>
  </si>
  <si>
    <t>P-59</t>
  </si>
  <si>
    <t xml:space="preserve"> </t>
  </si>
  <si>
    <t>P-60</t>
  </si>
  <si>
    <t>P-61</t>
  </si>
  <si>
    <t>P-62</t>
  </si>
  <si>
    <t>P-63</t>
  </si>
  <si>
    <t>P-64</t>
  </si>
  <si>
    <t>P-65</t>
  </si>
  <si>
    <t>P-66</t>
  </si>
  <si>
    <t>FECHA</t>
  </si>
  <si>
    <t>GRADUAC.</t>
  </si>
  <si>
    <t>P-67</t>
  </si>
  <si>
    <t>P-68</t>
  </si>
  <si>
    <t>P-69</t>
  </si>
  <si>
    <t>P-70</t>
  </si>
  <si>
    <t>P-71</t>
  </si>
  <si>
    <t>P-72</t>
  </si>
  <si>
    <t>P-73</t>
  </si>
  <si>
    <t>H</t>
  </si>
  <si>
    <t>M</t>
  </si>
  <si>
    <t>TOTAL</t>
  </si>
  <si>
    <t xml:space="preserve">           G R A D U A D O S</t>
  </si>
  <si>
    <t>P-74</t>
  </si>
  <si>
    <t>P-75</t>
  </si>
  <si>
    <t>FECHA DE PRAC.</t>
  </si>
  <si>
    <t>1a. FASE</t>
  </si>
  <si>
    <t>2a. FASE</t>
  </si>
  <si>
    <t>al 30-08-02</t>
  </si>
  <si>
    <t>del 2-08-02</t>
  </si>
  <si>
    <t>del 4-11-02</t>
  </si>
  <si>
    <t>al 06-12-02</t>
  </si>
  <si>
    <t>del 04-11-02</t>
  </si>
  <si>
    <t>PROM.</t>
  </si>
  <si>
    <t>INGRESO</t>
  </si>
  <si>
    <t>ACEPTADOS EN PNC</t>
  </si>
  <si>
    <t>a</t>
  </si>
  <si>
    <t>partir</t>
  </si>
  <si>
    <t>de</t>
  </si>
  <si>
    <t>la</t>
  </si>
  <si>
    <t>promoción</t>
  </si>
  <si>
    <t>APOYO A LOS XIX JUEGOS CENTROAMERICANOS.resol.Jur R73/2002 del 11/11/02</t>
  </si>
  <si>
    <t xml:space="preserve"> T    O    T    A    L</t>
  </si>
  <si>
    <t>P-76</t>
  </si>
  <si>
    <t>P-77</t>
  </si>
  <si>
    <t>del 01 al 20/08/2003</t>
  </si>
  <si>
    <t>del 20 junio al 19 julio/03</t>
  </si>
  <si>
    <t>del 27 marzo al 23 abril/03</t>
  </si>
  <si>
    <t>CUADRO DE FECHA DE INGRESOS Y GRADUACIONES NIVEL BASICO</t>
  </si>
  <si>
    <t>P-78</t>
  </si>
  <si>
    <t>del 04 al 20/06/2003</t>
  </si>
  <si>
    <t>del 03 al 30</t>
  </si>
  <si>
    <t>P-79</t>
  </si>
  <si>
    <t>24 oct.2003</t>
  </si>
  <si>
    <t>del 27 sept. al</t>
  </si>
  <si>
    <t xml:space="preserve">del 01 al </t>
  </si>
  <si>
    <t>del 12-dic-03</t>
  </si>
  <si>
    <t>al 10-ene-04</t>
  </si>
  <si>
    <t>P-80</t>
  </si>
  <si>
    <t>del 16-mar al</t>
  </si>
  <si>
    <t>del 15-abr al</t>
  </si>
  <si>
    <t>del 24-jun</t>
  </si>
  <si>
    <t>P-81</t>
  </si>
  <si>
    <t>del 20-may al</t>
  </si>
  <si>
    <t>al 19-jul-04</t>
  </si>
  <si>
    <t>P-82</t>
  </si>
  <si>
    <t>del 09-oct</t>
  </si>
  <si>
    <t>al 08-nov-04</t>
  </si>
  <si>
    <t>P-83</t>
  </si>
  <si>
    <t>al 15-ene-05</t>
  </si>
  <si>
    <t>del 17-dic-04</t>
  </si>
  <si>
    <t>al 25-ene-05</t>
  </si>
  <si>
    <t>P-84</t>
  </si>
  <si>
    <t>del 24-feb</t>
  </si>
  <si>
    <t>al 05-abril-05</t>
  </si>
  <si>
    <t>del 02-oct al 17-nov-04</t>
  </si>
  <si>
    <t>apoyo navideño dic./04, Semana Santa/05, Plan Antihomicidios-soyapango/05</t>
  </si>
  <si>
    <t xml:space="preserve">del 04 al  </t>
  </si>
  <si>
    <t>24 de julio-05</t>
  </si>
  <si>
    <t>P-85</t>
  </si>
  <si>
    <t>del 09-sept. Al</t>
  </si>
  <si>
    <t>07-oct./05</t>
  </si>
  <si>
    <t>Fase única del 29 de septiembre al 07 de diciembre de 2005</t>
  </si>
  <si>
    <t>APOYO A LOS XIX JUEGOS CENTROAMERICANOS, del 23/11 al 07/12/02</t>
  </si>
  <si>
    <t>P-86</t>
  </si>
  <si>
    <t>Fase única del 27 de enero al 17 de marzo de 2006</t>
  </si>
  <si>
    <t>P-87</t>
  </si>
  <si>
    <t>P-88</t>
  </si>
  <si>
    <t>NO GRADUADOS</t>
  </si>
  <si>
    <t>P-89</t>
  </si>
  <si>
    <t>cantidad de graduados acumulados p/promoción</t>
  </si>
  <si>
    <t>del 28-febrero al 16-abril-2007</t>
  </si>
  <si>
    <t>P-90</t>
  </si>
  <si>
    <t>P-91</t>
  </si>
  <si>
    <t>P-92</t>
  </si>
  <si>
    <t xml:space="preserve">del 19-julio al 13-sept-2007 </t>
  </si>
  <si>
    <t>P-93</t>
  </si>
  <si>
    <t>29 y 30-jun/07</t>
  </si>
  <si>
    <t>del 13-oct al 11-dic-2007</t>
  </si>
  <si>
    <t>P-94</t>
  </si>
  <si>
    <t>del 06-feb al 04-abril-2008</t>
  </si>
  <si>
    <t>P-95</t>
  </si>
  <si>
    <t>del 22 abril al 16-junio-2008</t>
  </si>
  <si>
    <t>P-96</t>
  </si>
  <si>
    <t>del 18 junio al 15 agosto 2008</t>
  </si>
  <si>
    <t>del 27 agosto al 31 octubre 2008</t>
  </si>
  <si>
    <t>P-97</t>
  </si>
  <si>
    <t>del 31 octubre al 05 enero 2009</t>
  </si>
  <si>
    <t>P-98</t>
  </si>
  <si>
    <t>del 03 abril al 25 mayo 2009</t>
  </si>
  <si>
    <t>fases: 03-jun al 18-ago; 05-may al 28-jun; 27-jul al 18-ago-06</t>
  </si>
  <si>
    <t>del 13 febrero al 13 abril 2009</t>
  </si>
  <si>
    <t>P-99</t>
  </si>
  <si>
    <t>del 27 junio al 24 agosto 2009</t>
  </si>
  <si>
    <t>P-100</t>
  </si>
  <si>
    <t>del 15 octub-09 al 03 ene.2010</t>
  </si>
  <si>
    <t>P-101</t>
  </si>
  <si>
    <t>25 y 26</t>
  </si>
  <si>
    <t>del 14-mar al 13-jun-2010</t>
  </si>
  <si>
    <t>del 03 julio al 03 octubre 2010</t>
  </si>
  <si>
    <t>P-102</t>
  </si>
  <si>
    <t>P-103</t>
  </si>
  <si>
    <t xml:space="preserve">27 y </t>
  </si>
  <si>
    <t>`28/09/2010</t>
  </si>
  <si>
    <t>del 05 sept. Al 05 diciem. 2010</t>
  </si>
  <si>
    <t>P-104</t>
  </si>
  <si>
    <t>15 y</t>
  </si>
  <si>
    <t>07-Dic.-10</t>
  </si>
  <si>
    <t>*</t>
  </si>
  <si>
    <t>P-105</t>
  </si>
  <si>
    <t>7 y</t>
  </si>
  <si>
    <t>del 30 de marzo al 27 de junio/11</t>
  </si>
  <si>
    <t>P-106</t>
  </si>
  <si>
    <t>6 y 7/06/11</t>
  </si>
  <si>
    <t>del 06 sept. Al 04 de dic. 11</t>
  </si>
  <si>
    <t>del 29 de junio al 26 de sept./11</t>
  </si>
  <si>
    <t>del 07 dic./11 al 05 Marz/2012</t>
  </si>
  <si>
    <t>P-107</t>
  </si>
  <si>
    <t>9 y 10/01/12</t>
  </si>
  <si>
    <t>En acto privado se graduaron 3 alumnos de la P-103 el 26/01/2012 (3 hombres)</t>
  </si>
  <si>
    <t>En acto privado se graduaron 4 alumnos de la P-102 el 13/10/11 (4 hombres)</t>
  </si>
  <si>
    <t>En acto privado se graduaron 13 alumnos de la P-101 el 04/03/11 (10 hombres y 3 mujeres)</t>
  </si>
  <si>
    <t>En acto privado se graduaron 5 alumnos de la P-104 el 17/04/2012 (5 hombres)</t>
  </si>
  <si>
    <t>del 21 Mar al 18 junio/12</t>
  </si>
  <si>
    <t>Los graduados en actos privados ya están detallados en el cuadro.</t>
  </si>
  <si>
    <t xml:space="preserve">En acto privado se gradúa 1 alumno de la P-104 el 18/07/2012 (1 hombre) </t>
  </si>
  <si>
    <t>A partir de la P-49 se estableció como requisito de ingreso el título de bachiller.</t>
  </si>
  <si>
    <t>En acto privado se graduó 1 alumna de la P-105 el 19/06/2012 (1 mujer)</t>
  </si>
  <si>
    <t>En acto privado se gradúan 2 alumnos de la P-106 el 28/08/2012 (1 mujer y 1 hombre)</t>
  </si>
  <si>
    <t>P-108</t>
  </si>
  <si>
    <t>1 Y 2/10/12</t>
  </si>
  <si>
    <t>del 17-sep. Al 01-dic/2012</t>
  </si>
  <si>
    <t>P-109</t>
  </si>
  <si>
    <t>7 y 8/01/13</t>
  </si>
  <si>
    <t>En acto privado se gradùan 7 alumnos de la P-107 el 11/03/2013 (2 mujeres y 5 hombres)</t>
  </si>
  <si>
    <t>INGRESOS</t>
  </si>
  <si>
    <t>%</t>
  </si>
  <si>
    <t>21 y 22-Nov-07</t>
  </si>
  <si>
    <t>20 y 21-Sep-07</t>
  </si>
  <si>
    <t>del 11-10 al 09-12-2006</t>
  </si>
  <si>
    <t>19 y 20-Jul-05</t>
  </si>
  <si>
    <t>P-110</t>
  </si>
  <si>
    <t>24 y 25/06/13</t>
  </si>
  <si>
    <t>del 21-Jun al 13-Sept-13</t>
  </si>
  <si>
    <t>del 14-Sep al 01-Dic-13</t>
  </si>
  <si>
    <t>En acto privado se gradúan 8 alumnos de la P-108 el 13/01/2014 (2 mujeres y 6 hombres)</t>
  </si>
  <si>
    <t>P-111</t>
  </si>
  <si>
    <t>20 y 21/01/14</t>
  </si>
  <si>
    <t>del 14-Feb al 16-May-14</t>
  </si>
  <si>
    <t>En acto privado se gradúan 2 alumnos de la P-109 el 20/03/2014 (2 hombres)</t>
  </si>
  <si>
    <t>P-112</t>
  </si>
  <si>
    <t>19/09/14</t>
  </si>
  <si>
    <t>del 12-sept al 12 dic-14</t>
  </si>
  <si>
    <t>En acto privado se gradúaron 2 alumnos de la P-110, el 19/09/14 (1 mujer y 1 hombre)</t>
  </si>
  <si>
    <t>16/12/14</t>
  </si>
  <si>
    <t>P-113</t>
  </si>
  <si>
    <t>del 20-mar al 09-jun-2015</t>
  </si>
  <si>
    <t>11/06/15</t>
  </si>
  <si>
    <t>P-114</t>
  </si>
  <si>
    <t>6 y 7/07/15</t>
  </si>
  <si>
    <t>del 16-sep al 09-dic-2015</t>
  </si>
  <si>
    <t>24/09/15</t>
  </si>
  <si>
    <t>P-115</t>
  </si>
  <si>
    <t>En acto privado se graduó 1alumnos de la P-112, el 19/09/14 (1 mujer y 1 hombre)</t>
  </si>
  <si>
    <t>P-110 Ingresaron 330 alumnos, mas un reingreso autorizado por el Consejo Académico, debió hacérsele Certificación Académica. El Acuerdo de Ingreso está por 330 alumnos.</t>
  </si>
  <si>
    <t>Ω</t>
  </si>
  <si>
    <t>La asignatura Armamento y Tiro  fue impartida desde la primera promoción, pero comenzó a ser evaluada desde la Promoción 35 del Nivel Básico.</t>
  </si>
  <si>
    <t>Certificación Académica, no incluirlos en la lista de nuevo ingreso. Hacen un total de 559 alumnos. En el cuadro solo se reflejan 551 para no inflar las estadísticas.</t>
  </si>
  <si>
    <t xml:space="preserve">P-108  ingresaron 551 alumnos, mas 8 (que pasaron a ésta  por reprobar asignatura 7 de la P-107 y 1 de la P- 106 por Incapacidad Médica) los 8 debieron haber reingresado con </t>
  </si>
  <si>
    <t xml:space="preserve">y uno no presentaqdo con la P-110.- El Acuerdo de Ingreso está con 330. </t>
  </si>
  <si>
    <t xml:space="preserve">P-111 ingresaron 330 alumnos, mas 4 de reingreso aprobado por el Consejo Académico, dos de la P-108; 1 desistido y 1 no presentado, uno de la P-109 pro reprobar asignatura </t>
  </si>
  <si>
    <t>No se toma en cuenta los 8 alumnos en este cuadro de ingreso, porque ya fueron contabilizados en las respectivas promociones. El Acuerdo de Ingreso está con 551 aspirantes.</t>
  </si>
  <si>
    <t>del 19-mar al 16-jun-2016</t>
  </si>
  <si>
    <t>P-116</t>
  </si>
  <si>
    <t xml:space="preserve">La Promoción 115 se encuentra en su fase de Entrenamiento en el servicio del  16/09 al 12/12/16 son 210 alumnos.  </t>
  </si>
  <si>
    <t>La Promoción 116 se encuentra cursando el primer períofo y son 505 alumnos al 10/10/16.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</si>
</sst>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C0A]d\-mmm\-yy;@"/>
    <numFmt numFmtId="165" formatCode="dd/mm/yyyy;@"/>
  </numFmts>
  <fonts count="37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sz val="10"/>
      <name val="Times New Roman"/>
      <family val="1"/>
    </font>
    <font>
      <sz val="14"/>
      <color indexed="12"/>
      <name val="Times New Roman"/>
      <family val="1"/>
    </font>
    <font>
      <sz val="10"/>
      <color indexed="12"/>
      <name val="Times New Roman"/>
      <family val="1"/>
    </font>
    <font>
      <sz val="10"/>
      <color indexed="12"/>
      <name val="Arial"/>
      <family val="2"/>
    </font>
    <font>
      <b/>
      <i/>
      <sz val="14"/>
      <color indexed="12"/>
      <name val="Book Antiqua"/>
      <family val="1"/>
    </font>
    <font>
      <b/>
      <i/>
      <sz val="10"/>
      <color indexed="12"/>
      <name val="Book Antiqua"/>
      <family val="1"/>
    </font>
    <font>
      <b/>
      <sz val="10"/>
      <name val="Arial"/>
      <family val="2"/>
    </font>
    <font>
      <b/>
      <sz val="10"/>
      <color indexed="23"/>
      <name val="Arial"/>
      <family val="2"/>
    </font>
    <font>
      <sz val="14"/>
      <name val="Times New Roman"/>
      <family val="1"/>
    </font>
    <font>
      <b/>
      <i/>
      <sz val="14"/>
      <name val="Book Antiqua"/>
      <family val="1"/>
    </font>
    <font>
      <sz val="14"/>
      <name val="Book Antiqua"/>
      <family val="1"/>
    </font>
    <font>
      <b/>
      <sz val="11"/>
      <name val="Arial"/>
      <family val="2"/>
    </font>
    <font>
      <sz val="11"/>
      <name val="Times New Roman"/>
      <family val="1"/>
    </font>
    <font>
      <b/>
      <sz val="9"/>
      <name val="Arial Narrow"/>
      <family val="2"/>
    </font>
    <font>
      <b/>
      <sz val="9"/>
      <color indexed="23"/>
      <name val="Arial"/>
      <family val="2"/>
    </font>
    <font>
      <b/>
      <sz val="6"/>
      <color indexed="23"/>
      <name val="Arial Narrow"/>
      <family val="2"/>
    </font>
    <font>
      <sz val="10"/>
      <name val="Arial Narrow"/>
      <family val="2"/>
    </font>
    <font>
      <sz val="8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sz val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sz val="9"/>
      <color rgb="FF000000"/>
      <name val="Verdana"/>
      <family val="2"/>
    </font>
    <font>
      <sz val="12"/>
      <name val="Calibri"/>
      <family val="2"/>
    </font>
    <font>
      <sz val="12"/>
      <color rgb="FFFF33CC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b/>
      <sz val="10"/>
      <name val="Times New Roman"/>
      <family val="1"/>
    </font>
    <font>
      <b/>
      <sz val="12"/>
      <name val="Calibri"/>
      <family val="2"/>
    </font>
    <font>
      <b/>
      <sz val="10"/>
      <name val="Times"/>
      <family val="1"/>
    </font>
    <font>
      <b/>
      <sz val="9"/>
      <color rgb="FF00000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34">
    <xf numFmtId="0" fontId="0" fillId="0" borderId="0" xfId="0"/>
    <xf numFmtId="0" fontId="0" fillId="0" borderId="0" xfId="0" applyBorder="1"/>
    <xf numFmtId="0" fontId="4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5" fillId="0" borderId="0" xfId="0" applyFont="1" applyBorder="1" applyAlignment="1">
      <alignment horizontal="center"/>
    </xf>
    <xf numFmtId="0" fontId="6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0" fontId="8" fillId="0" borderId="0" xfId="0" applyFont="1" applyAlignment="1">
      <alignment horizontal="centerContinuous"/>
    </xf>
    <xf numFmtId="0" fontId="9" fillId="0" borderId="0" xfId="0" applyFont="1" applyAlignment="1">
      <alignment horizontal="centerContinuous"/>
    </xf>
    <xf numFmtId="0" fontId="10" fillId="0" borderId="0" xfId="0" applyFont="1" applyAlignment="1">
      <alignment horizontal="centerContinuous"/>
    </xf>
    <xf numFmtId="0" fontId="0" fillId="0" borderId="1" xfId="0" applyBorder="1"/>
    <xf numFmtId="0" fontId="0" fillId="0" borderId="1" xfId="0" applyBorder="1" applyAlignment="1">
      <alignment horizontal="center"/>
    </xf>
    <xf numFmtId="0" fontId="13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14" fillId="0" borderId="0" xfId="0" applyFont="1" applyAlignment="1">
      <alignment horizontal="centerContinuous"/>
    </xf>
    <xf numFmtId="0" fontId="15" fillId="0" borderId="0" xfId="0" applyFont="1" applyAlignment="1">
      <alignment horizontal="centerContinuous"/>
    </xf>
    <xf numFmtId="0" fontId="17" fillId="0" borderId="2" xfId="0" applyFont="1" applyFill="1" applyBorder="1" applyAlignment="1" applyProtection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16" fillId="2" borderId="4" xfId="0" applyFont="1" applyFill="1" applyBorder="1" applyAlignment="1">
      <alignment horizontal="center"/>
    </xf>
    <xf numFmtId="0" fontId="18" fillId="2" borderId="4" xfId="0" applyFont="1" applyFill="1" applyBorder="1" applyAlignment="1">
      <alignment horizontal="center"/>
    </xf>
    <xf numFmtId="0" fontId="1" fillId="2" borderId="5" xfId="0" applyFont="1" applyFill="1" applyBorder="1"/>
    <xf numFmtId="0" fontId="2" fillId="2" borderId="6" xfId="0" applyFont="1" applyFill="1" applyBorder="1"/>
    <xf numFmtId="0" fontId="20" fillId="2" borderId="7" xfId="0" applyFont="1" applyFill="1" applyBorder="1"/>
    <xf numFmtId="0" fontId="0" fillId="2" borderId="5" xfId="0" applyFill="1" applyBorder="1"/>
    <xf numFmtId="0" fontId="0" fillId="2" borderId="6" xfId="0" applyFill="1" applyBorder="1"/>
    <xf numFmtId="0" fontId="16" fillId="2" borderId="3" xfId="0" applyFont="1" applyFill="1" applyBorder="1" applyAlignment="1" applyProtection="1">
      <alignment horizontal="center"/>
    </xf>
    <xf numFmtId="0" fontId="18" fillId="2" borderId="3" xfId="0" applyFont="1" applyFill="1" applyBorder="1" applyAlignment="1" applyProtection="1">
      <alignment horizontal="center"/>
    </xf>
    <xf numFmtId="0" fontId="1" fillId="2" borderId="3" xfId="0" applyFont="1" applyFill="1" applyBorder="1" applyAlignment="1">
      <alignment horizontal="center"/>
    </xf>
    <xf numFmtId="0" fontId="11" fillId="2" borderId="3" xfId="0" applyFont="1" applyFill="1" applyBorder="1"/>
    <xf numFmtId="0" fontId="12" fillId="2" borderId="3" xfId="0" applyFont="1" applyFill="1" applyBorder="1" applyAlignment="1">
      <alignment horizontal="center"/>
    </xf>
    <xf numFmtId="0" fontId="19" fillId="2" borderId="3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0" borderId="4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0" xfId="0" applyFill="1" applyBorder="1"/>
    <xf numFmtId="0" fontId="23" fillId="0" borderId="1" xfId="0" applyFont="1" applyFill="1" applyBorder="1" applyAlignment="1" applyProtection="1">
      <alignment horizontal="center"/>
    </xf>
    <xf numFmtId="15" fontId="23" fillId="0" borderId="1" xfId="0" applyNumberFormat="1" applyFont="1" applyFill="1" applyBorder="1" applyAlignment="1" applyProtection="1">
      <alignment horizontal="center"/>
    </xf>
    <xf numFmtId="0" fontId="23" fillId="0" borderId="7" xfId="0" applyFont="1" applyFill="1" applyBorder="1" applyAlignment="1" applyProtection="1">
      <alignment horizontal="center"/>
    </xf>
    <xf numFmtId="15" fontId="23" fillId="0" borderId="6" xfId="0" applyNumberFormat="1" applyFont="1" applyFill="1" applyBorder="1" applyAlignment="1" applyProtection="1">
      <alignment horizontal="center"/>
    </xf>
    <xf numFmtId="0" fontId="23" fillId="0" borderId="6" xfId="0" applyFont="1" applyFill="1" applyBorder="1" applyAlignment="1" applyProtection="1">
      <alignment horizontal="center"/>
    </xf>
    <xf numFmtId="0" fontId="23" fillId="0" borderId="1" xfId="0" applyFont="1" applyBorder="1" applyAlignment="1">
      <alignment horizontal="center"/>
    </xf>
    <xf numFmtId="0" fontId="23" fillId="0" borderId="1" xfId="0" applyFont="1" applyFill="1" applyBorder="1" applyAlignment="1">
      <alignment horizontal="center"/>
    </xf>
    <xf numFmtId="15" fontId="23" fillId="0" borderId="5" xfId="0" applyNumberFormat="1" applyFont="1" applyFill="1" applyBorder="1" applyAlignment="1" applyProtection="1">
      <alignment horizontal="center"/>
    </xf>
    <xf numFmtId="0" fontId="23" fillId="0" borderId="7" xfId="0" applyFont="1" applyBorder="1" applyAlignment="1">
      <alignment horizontal="center"/>
    </xf>
    <xf numFmtId="0" fontId="23" fillId="0" borderId="6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15" fontId="23" fillId="0" borderId="4" xfId="0" applyNumberFormat="1" applyFont="1" applyFill="1" applyBorder="1" applyAlignment="1" applyProtection="1">
      <alignment horizontal="center"/>
    </xf>
    <xf numFmtId="0" fontId="23" fillId="0" borderId="11" xfId="0" applyFont="1" applyFill="1" applyBorder="1" applyAlignment="1">
      <alignment horizontal="center"/>
    </xf>
    <xf numFmtId="0" fontId="23" fillId="0" borderId="9" xfId="0" applyFont="1" applyBorder="1" applyAlignment="1">
      <alignment horizontal="center"/>
    </xf>
    <xf numFmtId="15" fontId="23" fillId="0" borderId="3" xfId="0" applyNumberFormat="1" applyFont="1" applyFill="1" applyBorder="1" applyAlignment="1" applyProtection="1">
      <alignment horizontal="center"/>
    </xf>
    <xf numFmtId="0" fontId="23" fillId="0" borderId="10" xfId="0" applyFont="1" applyFill="1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4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15" fontId="23" fillId="0" borderId="2" xfId="0" applyNumberFormat="1" applyFont="1" applyFill="1" applyBorder="1" applyAlignment="1" applyProtection="1">
      <alignment horizontal="center"/>
    </xf>
    <xf numFmtId="0" fontId="23" fillId="0" borderId="13" xfId="0" applyFont="1" applyBorder="1" applyAlignment="1">
      <alignment horizontal="center"/>
    </xf>
    <xf numFmtId="0" fontId="23" fillId="0" borderId="13" xfId="0" applyFont="1" applyFill="1" applyBorder="1" applyAlignment="1">
      <alignment horizontal="center"/>
    </xf>
    <xf numFmtId="0" fontId="23" fillId="0" borderId="9" xfId="0" applyFont="1" applyFill="1" applyBorder="1" applyAlignment="1">
      <alignment horizontal="center"/>
    </xf>
    <xf numFmtId="17" fontId="24" fillId="0" borderId="3" xfId="0" applyNumberFormat="1" applyFont="1" applyFill="1" applyBorder="1" applyAlignment="1">
      <alignment horizontal="center"/>
    </xf>
    <xf numFmtId="0" fontId="23" fillId="0" borderId="4" xfId="0" applyFont="1" applyFill="1" applyBorder="1" applyAlignment="1">
      <alignment horizontal="center"/>
    </xf>
    <xf numFmtId="0" fontId="23" fillId="0" borderId="3" xfId="0" applyFont="1" applyFill="1" applyBorder="1" applyAlignment="1">
      <alignment horizontal="center"/>
    </xf>
    <xf numFmtId="14" fontId="24" fillId="0" borderId="4" xfId="0" applyNumberFormat="1" applyFont="1" applyFill="1" applyBorder="1" applyAlignment="1">
      <alignment horizontal="center"/>
    </xf>
    <xf numFmtId="0" fontId="23" fillId="0" borderId="2" xfId="0" applyFont="1" applyFill="1" applyBorder="1" applyAlignment="1">
      <alignment horizontal="center"/>
    </xf>
    <xf numFmtId="15" fontId="23" fillId="0" borderId="12" xfId="0" applyNumberFormat="1" applyFont="1" applyFill="1" applyBorder="1" applyAlignment="1" applyProtection="1">
      <alignment horizontal="center"/>
    </xf>
    <xf numFmtId="15" fontId="23" fillId="0" borderId="1" xfId="0" applyNumberFormat="1" applyFont="1" applyFill="1" applyBorder="1" applyAlignment="1">
      <alignment horizontal="center"/>
    </xf>
    <xf numFmtId="15" fontId="23" fillId="0" borderId="12" xfId="0" applyNumberFormat="1" applyFont="1" applyFill="1" applyBorder="1" applyAlignment="1">
      <alignment horizontal="center"/>
    </xf>
    <xf numFmtId="15" fontId="23" fillId="0" borderId="1" xfId="0" applyNumberFormat="1" applyFont="1" applyBorder="1" applyAlignment="1">
      <alignment horizontal="center"/>
    </xf>
    <xf numFmtId="15" fontId="23" fillId="0" borderId="12" xfId="0" applyNumberFormat="1" applyFont="1" applyBorder="1" applyAlignment="1">
      <alignment horizontal="center"/>
    </xf>
    <xf numFmtId="15" fontId="23" fillId="0" borderId="4" xfId="0" applyNumberFormat="1" applyFont="1" applyFill="1" applyBorder="1" applyAlignment="1">
      <alignment horizontal="center"/>
    </xf>
    <xf numFmtId="15" fontId="23" fillId="0" borderId="3" xfId="0" applyNumberFormat="1" applyFont="1" applyFill="1" applyBorder="1" applyAlignment="1">
      <alignment horizontal="center"/>
    </xf>
    <xf numFmtId="15" fontId="23" fillId="0" borderId="9" xfId="0" applyNumberFormat="1" applyFont="1" applyFill="1" applyBorder="1" applyAlignment="1">
      <alignment horizontal="center"/>
    </xf>
    <xf numFmtId="15" fontId="23" fillId="0" borderId="4" xfId="0" applyNumberFormat="1" applyFont="1" applyBorder="1" applyAlignment="1">
      <alignment horizontal="center"/>
    </xf>
    <xf numFmtId="15" fontId="23" fillId="0" borderId="3" xfId="0" applyNumberFormat="1" applyFont="1" applyBorder="1" applyAlignment="1">
      <alignment horizontal="center"/>
    </xf>
    <xf numFmtId="17" fontId="23" fillId="0" borderId="3" xfId="0" applyNumberFormat="1" applyFont="1" applyBorder="1" applyAlignment="1">
      <alignment horizontal="center"/>
    </xf>
    <xf numFmtId="15" fontId="23" fillId="0" borderId="2" xfId="0" applyNumberFormat="1" applyFont="1" applyBorder="1" applyAlignment="1">
      <alignment horizontal="center"/>
    </xf>
    <xf numFmtId="15" fontId="23" fillId="0" borderId="2" xfId="0" applyNumberFormat="1" applyFont="1" applyFill="1" applyBorder="1" applyAlignment="1">
      <alignment horizontal="center"/>
    </xf>
    <xf numFmtId="0" fontId="24" fillId="0" borderId="10" xfId="0" applyFont="1" applyBorder="1" applyAlignment="1">
      <alignment horizontal="center"/>
    </xf>
    <xf numFmtId="15" fontId="23" fillId="0" borderId="12" xfId="0" applyNumberFormat="1" applyFont="1" applyFill="1" applyBorder="1" applyAlignment="1">
      <alignment horizontal="left"/>
    </xf>
    <xf numFmtId="0" fontId="24" fillId="0" borderId="13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24" fillId="0" borderId="1" xfId="0" applyFont="1" applyFill="1" applyBorder="1" applyAlignment="1">
      <alignment horizontal="center"/>
    </xf>
    <xf numFmtId="0" fontId="23" fillId="0" borderId="2" xfId="0" applyFont="1" applyBorder="1" applyAlignment="1">
      <alignment horizontal="center"/>
    </xf>
    <xf numFmtId="15" fontId="23" fillId="2" borderId="7" xfId="0" applyNumberFormat="1" applyFont="1" applyFill="1" applyBorder="1" applyAlignment="1" applyProtection="1">
      <alignment vertical="center"/>
    </xf>
    <xf numFmtId="0" fontId="24" fillId="2" borderId="5" xfId="0" applyFont="1" applyFill="1" applyBorder="1" applyAlignment="1">
      <alignment vertical="center"/>
    </xf>
    <xf numFmtId="0" fontId="26" fillId="2" borderId="1" xfId="0" applyFont="1" applyFill="1" applyBorder="1" applyAlignment="1" applyProtection="1">
      <alignment horizontal="center" vertical="center"/>
    </xf>
    <xf numFmtId="0" fontId="23" fillId="2" borderId="7" xfId="0" applyFont="1" applyFill="1" applyBorder="1" applyAlignment="1" applyProtection="1">
      <alignment horizontal="center" vertical="center"/>
    </xf>
    <xf numFmtId="0" fontId="23" fillId="2" borderId="6" xfId="0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23" fillId="0" borderId="12" xfId="0" applyNumberFormat="1" applyFont="1" applyFill="1" applyBorder="1" applyAlignment="1"/>
    <xf numFmtId="0" fontId="13" fillId="0" borderId="0" xfId="0" applyFont="1" applyFill="1" applyAlignment="1">
      <alignment horizontal="centerContinuous"/>
    </xf>
    <xf numFmtId="0" fontId="14" fillId="0" borderId="0" xfId="0" applyFont="1" applyFill="1" applyAlignment="1">
      <alignment horizontal="centerContinuous"/>
    </xf>
    <xf numFmtId="15" fontId="23" fillId="0" borderId="15" xfId="0" applyNumberFormat="1" applyFont="1" applyFill="1" applyBorder="1" applyAlignment="1">
      <alignment horizontal="center"/>
    </xf>
    <xf numFmtId="15" fontId="23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6" fillId="4" borderId="3" xfId="0" applyFont="1" applyFill="1" applyBorder="1" applyAlignment="1" applyProtection="1">
      <alignment horizontal="center"/>
    </xf>
    <xf numFmtId="0" fontId="23" fillId="0" borderId="12" xfId="0" applyFont="1" applyFill="1" applyBorder="1" applyAlignment="1">
      <alignment horizontal="center"/>
    </xf>
    <xf numFmtId="49" fontId="23" fillId="4" borderId="5" xfId="0" applyNumberFormat="1" applyFont="1" applyFill="1" applyBorder="1" applyAlignment="1" applyProtection="1">
      <alignment horizontal="center" vertical="center"/>
    </xf>
    <xf numFmtId="14" fontId="24" fillId="0" borderId="0" xfId="0" applyNumberFormat="1" applyFont="1" applyFill="1" applyBorder="1" applyAlignment="1">
      <alignment horizontal="center"/>
    </xf>
    <xf numFmtId="15" fontId="17" fillId="0" borderId="0" xfId="0" applyNumberFormat="1" applyFont="1" applyFill="1" applyBorder="1" applyAlignment="1">
      <alignment horizontal="center"/>
    </xf>
    <xf numFmtId="0" fontId="24" fillId="0" borderId="4" xfId="0" applyNumberFormat="1" applyFont="1" applyFill="1" applyBorder="1" applyAlignment="1">
      <alignment horizontal="center"/>
    </xf>
    <xf numFmtId="14" fontId="24" fillId="0" borderId="3" xfId="0" applyNumberFormat="1" applyFont="1" applyFill="1" applyBorder="1" applyAlignment="1">
      <alignment horizontal="center"/>
    </xf>
    <xf numFmtId="0" fontId="4" fillId="0" borderId="0" xfId="0" applyFont="1" applyFill="1" applyBorder="1" applyAlignment="1" applyProtection="1">
      <alignment horizontal="left"/>
    </xf>
    <xf numFmtId="0" fontId="23" fillId="0" borderId="0" xfId="0" applyFont="1" applyFill="1" applyBorder="1" applyAlignment="1">
      <alignment horizontal="center"/>
    </xf>
    <xf numFmtId="0" fontId="2" fillId="0" borderId="0" xfId="0" applyFont="1" applyFill="1"/>
    <xf numFmtId="0" fontId="23" fillId="0" borderId="0" xfId="0" applyFont="1" applyFill="1" applyBorder="1" applyAlignment="1">
      <alignment horizontal="left"/>
    </xf>
    <xf numFmtId="0" fontId="0" fillId="0" borderId="3" xfId="0" applyBorder="1" applyAlignment="1">
      <alignment horizontal="center" vertical="center"/>
    </xf>
    <xf numFmtId="15" fontId="2" fillId="0" borderId="14" xfId="0" applyNumberFormat="1" applyFont="1" applyFill="1" applyBorder="1" applyAlignment="1">
      <alignment horizontal="center"/>
    </xf>
    <xf numFmtId="0" fontId="23" fillId="5" borderId="1" xfId="0" applyFont="1" applyFill="1" applyBorder="1" applyAlignment="1" applyProtection="1">
      <alignment horizontal="center"/>
    </xf>
    <xf numFmtId="15" fontId="23" fillId="5" borderId="1" xfId="0" applyNumberFormat="1" applyFont="1" applyFill="1" applyBorder="1" applyAlignment="1" applyProtection="1">
      <alignment horizontal="center"/>
    </xf>
    <xf numFmtId="0" fontId="17" fillId="5" borderId="4" xfId="0" applyFont="1" applyFill="1" applyBorder="1" applyAlignment="1" applyProtection="1">
      <alignment horizontal="center"/>
    </xf>
    <xf numFmtId="0" fontId="24" fillId="5" borderId="1" xfId="0" applyFont="1" applyFill="1" applyBorder="1" applyAlignment="1">
      <alignment horizontal="center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17" fillId="5" borderId="2" xfId="0" applyFont="1" applyFill="1" applyBorder="1" applyAlignment="1" applyProtection="1">
      <alignment horizontal="center"/>
    </xf>
    <xf numFmtId="15" fontId="23" fillId="5" borderId="2" xfId="0" applyNumberFormat="1" applyFont="1" applyFill="1" applyBorder="1" applyAlignment="1" applyProtection="1">
      <alignment horizontal="center"/>
    </xf>
    <xf numFmtId="1" fontId="23" fillId="5" borderId="2" xfId="0" applyNumberFormat="1" applyFont="1" applyFill="1" applyBorder="1" applyAlignment="1" applyProtection="1">
      <alignment horizontal="center"/>
    </xf>
    <xf numFmtId="0" fontId="23" fillId="5" borderId="7" xfId="0" applyFont="1" applyFill="1" applyBorder="1" applyAlignment="1" applyProtection="1">
      <alignment horizontal="center"/>
    </xf>
    <xf numFmtId="15" fontId="23" fillId="5" borderId="12" xfId="0" applyNumberFormat="1" applyFont="1" applyFill="1" applyBorder="1" applyAlignment="1" applyProtection="1">
      <alignment horizontal="center"/>
    </xf>
    <xf numFmtId="0" fontId="23" fillId="5" borderId="6" xfId="0" applyFont="1" applyFill="1" applyBorder="1" applyAlignment="1" applyProtection="1">
      <alignment horizontal="center"/>
    </xf>
    <xf numFmtId="15" fontId="23" fillId="5" borderId="6" xfId="0" applyNumberFormat="1" applyFont="1" applyFill="1" applyBorder="1" applyAlignment="1" applyProtection="1">
      <alignment horizontal="center"/>
    </xf>
    <xf numFmtId="0" fontId="23" fillId="5" borderId="1" xfId="0" applyFont="1" applyFill="1" applyBorder="1" applyAlignment="1">
      <alignment horizontal="center"/>
    </xf>
    <xf numFmtId="15" fontId="23" fillId="5" borderId="1" xfId="0" applyNumberFormat="1" applyFont="1" applyFill="1" applyBorder="1" applyAlignment="1">
      <alignment horizontal="center"/>
    </xf>
    <xf numFmtId="15" fontId="23" fillId="5" borderId="12" xfId="0" applyNumberFormat="1" applyFont="1" applyFill="1" applyBorder="1" applyAlignment="1">
      <alignment horizontal="center"/>
    </xf>
    <xf numFmtId="15" fontId="23" fillId="5" borderId="5" xfId="0" applyNumberFormat="1" applyFont="1" applyFill="1" applyBorder="1" applyAlignment="1" applyProtection="1">
      <alignment horizontal="center"/>
    </xf>
    <xf numFmtId="0" fontId="23" fillId="5" borderId="7" xfId="0" applyFont="1" applyFill="1" applyBorder="1" applyAlignment="1">
      <alignment horizontal="center"/>
    </xf>
    <xf numFmtId="0" fontId="23" fillId="5" borderId="6" xfId="0" applyFont="1" applyFill="1" applyBorder="1" applyAlignment="1">
      <alignment horizontal="center"/>
    </xf>
    <xf numFmtId="0" fontId="23" fillId="5" borderId="8" xfId="0" applyFont="1" applyFill="1" applyBorder="1" applyAlignment="1">
      <alignment horizontal="center"/>
    </xf>
    <xf numFmtId="15" fontId="23" fillId="5" borderId="4" xfId="0" applyNumberFormat="1" applyFont="1" applyFill="1" applyBorder="1" applyAlignment="1" applyProtection="1">
      <alignment horizontal="center"/>
    </xf>
    <xf numFmtId="0" fontId="23" fillId="5" borderId="11" xfId="0" applyFont="1" applyFill="1" applyBorder="1" applyAlignment="1">
      <alignment horizontal="center"/>
    </xf>
    <xf numFmtId="15" fontId="23" fillId="5" borderId="4" xfId="0" applyNumberFormat="1" applyFont="1" applyFill="1" applyBorder="1" applyAlignment="1">
      <alignment horizontal="center"/>
    </xf>
    <xf numFmtId="15" fontId="23" fillId="5" borderId="11" xfId="0" applyNumberFormat="1" applyFont="1" applyFill="1" applyBorder="1" applyAlignment="1" applyProtection="1">
      <alignment horizontal="center"/>
    </xf>
    <xf numFmtId="0" fontId="23" fillId="5" borderId="4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3" fillId="5" borderId="9" xfId="0" applyFont="1" applyFill="1" applyBorder="1" applyAlignment="1">
      <alignment horizontal="center"/>
    </xf>
    <xf numFmtId="15" fontId="23" fillId="5" borderId="3" xfId="0" applyNumberFormat="1" applyFont="1" applyFill="1" applyBorder="1" applyAlignment="1" applyProtection="1">
      <alignment horizontal="center"/>
    </xf>
    <xf numFmtId="0" fontId="23" fillId="5" borderId="10" xfId="0" applyFont="1" applyFill="1" applyBorder="1" applyAlignment="1">
      <alignment horizontal="center"/>
    </xf>
    <xf numFmtId="15" fontId="23" fillId="5" borderId="3" xfId="0" applyNumberFormat="1" applyFont="1" applyFill="1" applyBorder="1" applyAlignment="1">
      <alignment horizontal="center"/>
    </xf>
    <xf numFmtId="15" fontId="23" fillId="5" borderId="14" xfId="0" applyNumberFormat="1" applyFont="1" applyFill="1" applyBorder="1" applyAlignment="1" applyProtection="1">
      <alignment horizontal="center"/>
    </xf>
    <xf numFmtId="0" fontId="23" fillId="5" borderId="3" xfId="0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23" fillId="5" borderId="12" xfId="0" applyFont="1" applyFill="1" applyBorder="1" applyAlignment="1">
      <alignment horizontal="center"/>
    </xf>
    <xf numFmtId="0" fontId="23" fillId="5" borderId="13" xfId="0" applyFont="1" applyFill="1" applyBorder="1" applyAlignment="1">
      <alignment horizontal="center"/>
    </xf>
    <xf numFmtId="15" fontId="23" fillId="5" borderId="2" xfId="0" applyNumberFormat="1" applyFont="1" applyFill="1" applyBorder="1" applyAlignment="1">
      <alignment horizontal="center"/>
    </xf>
    <xf numFmtId="0" fontId="23" fillId="5" borderId="2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15" fontId="23" fillId="5" borderId="15" xfId="0" applyNumberFormat="1" applyFont="1" applyFill="1" applyBorder="1" applyAlignment="1">
      <alignment horizontal="center"/>
    </xf>
    <xf numFmtId="0" fontId="23" fillId="5" borderId="14" xfId="0" applyFont="1" applyFill="1" applyBorder="1" applyAlignment="1">
      <alignment horizontal="center"/>
    </xf>
    <xf numFmtId="17" fontId="24" fillId="5" borderId="4" xfId="0" applyNumberFormat="1" applyFont="1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17" fontId="24" fillId="5" borderId="3" xfId="0" applyNumberFormat="1" applyFont="1" applyFill="1" applyBorder="1" applyAlignment="1">
      <alignment horizontal="center"/>
    </xf>
    <xf numFmtId="14" fontId="24" fillId="5" borderId="4" xfId="0" applyNumberFormat="1" applyFont="1" applyFill="1" applyBorder="1" applyAlignment="1">
      <alignment horizontal="center"/>
    </xf>
    <xf numFmtId="15" fontId="23" fillId="5" borderId="9" xfId="0" applyNumberFormat="1" applyFont="1" applyFill="1" applyBorder="1" applyAlignment="1">
      <alignment horizontal="center"/>
    </xf>
    <xf numFmtId="0" fontId="24" fillId="5" borderId="10" xfId="0" applyFont="1" applyFill="1" applyBorder="1" applyAlignment="1">
      <alignment horizontal="center"/>
    </xf>
    <xf numFmtId="0" fontId="24" fillId="5" borderId="13" xfId="0" applyFont="1" applyFill="1" applyBorder="1" applyAlignment="1">
      <alignment horizontal="center"/>
    </xf>
    <xf numFmtId="15" fontId="23" fillId="5" borderId="12" xfId="0" applyNumberFormat="1" applyFont="1" applyFill="1" applyBorder="1" applyAlignment="1">
      <alignment horizontal="left"/>
    </xf>
    <xf numFmtId="0" fontId="24" fillId="5" borderId="3" xfId="0" applyNumberFormat="1" applyFont="1" applyFill="1" applyBorder="1" applyAlignment="1">
      <alignment horizontal="center"/>
    </xf>
    <xf numFmtId="14" fontId="24" fillId="5" borderId="3" xfId="0" applyNumberFormat="1" applyFont="1" applyFill="1" applyBorder="1" applyAlignment="1">
      <alignment horizontal="center"/>
    </xf>
    <xf numFmtId="15" fontId="2" fillId="5" borderId="14" xfId="0" applyNumberFormat="1" applyFont="1" applyFill="1" applyBorder="1" applyAlignment="1">
      <alignment horizontal="center"/>
    </xf>
    <xf numFmtId="14" fontId="24" fillId="5" borderId="14" xfId="0" applyNumberFormat="1" applyFont="1" applyFill="1" applyBorder="1" applyAlignment="1">
      <alignment horizontal="center"/>
    </xf>
    <xf numFmtId="0" fontId="17" fillId="5" borderId="3" xfId="0" applyFont="1" applyFill="1" applyBorder="1" applyAlignment="1">
      <alignment horizontal="center"/>
    </xf>
    <xf numFmtId="15" fontId="2" fillId="0" borderId="0" xfId="0" applyNumberFormat="1" applyFont="1" applyFill="1" applyBorder="1" applyAlignment="1">
      <alignment horizontal="center"/>
    </xf>
    <xf numFmtId="0" fontId="24" fillId="5" borderId="11" xfId="0" applyFont="1" applyFill="1" applyBorder="1" applyAlignment="1">
      <alignment horizontal="center"/>
    </xf>
    <xf numFmtId="14" fontId="24" fillId="0" borderId="2" xfId="0" applyNumberFormat="1" applyFont="1" applyFill="1" applyBorder="1" applyAlignment="1">
      <alignment horizontal="center"/>
    </xf>
    <xf numFmtId="15" fontId="23" fillId="5" borderId="8" xfId="0" applyNumberFormat="1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24" fillId="0" borderId="0" xfId="0" applyFont="1" applyFill="1" applyBorder="1" applyAlignment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3" fillId="0" borderId="0" xfId="0" applyFont="1" applyFill="1" applyBorder="1" applyAlignment="1" applyProtection="1">
      <alignment horizontal="center" vertical="center"/>
    </xf>
    <xf numFmtId="49" fontId="23" fillId="0" borderId="0" xfId="0" applyNumberFormat="1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>
      <alignment horizontal="center" vertical="center"/>
    </xf>
    <xf numFmtId="15" fontId="23" fillId="0" borderId="9" xfId="0" applyNumberFormat="1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24" fillId="0" borderId="13" xfId="0" applyFont="1" applyFill="1" applyBorder="1" applyAlignment="1">
      <alignment horizontal="center"/>
    </xf>
    <xf numFmtId="15" fontId="2" fillId="5" borderId="0" xfId="0" applyNumberFormat="1" applyFont="1" applyFill="1" applyBorder="1" applyAlignment="1">
      <alignment horizontal="center"/>
    </xf>
    <xf numFmtId="0" fontId="29" fillId="0" borderId="9" xfId="0" applyFont="1" applyFill="1" applyBorder="1" applyAlignment="1">
      <alignment horizontal="center"/>
    </xf>
    <xf numFmtId="0" fontId="3" fillId="0" borderId="0" xfId="0" applyFont="1" applyFill="1" applyBorder="1" applyAlignment="1" applyProtection="1">
      <alignment horizontal="left"/>
    </xf>
    <xf numFmtId="0" fontId="0" fillId="0" borderId="0" xfId="0" applyFill="1" applyBorder="1" applyAlignment="1">
      <alignment horizontal="center"/>
    </xf>
    <xf numFmtId="0" fontId="28" fillId="0" borderId="0" xfId="0" applyFont="1" applyBorder="1"/>
    <xf numFmtId="15" fontId="23" fillId="0" borderId="9" xfId="0" applyNumberFormat="1" applyFont="1" applyFill="1" applyBorder="1" applyAlignment="1">
      <alignment horizontal="center"/>
    </xf>
    <xf numFmtId="0" fontId="24" fillId="5" borderId="11" xfId="0" applyFont="1" applyFill="1" applyBorder="1" applyAlignment="1">
      <alignment horizontal="center"/>
    </xf>
    <xf numFmtId="0" fontId="23" fillId="0" borderId="4" xfId="0" applyFont="1" applyBorder="1" applyAlignment="1">
      <alignment horizontal="center" vertical="center"/>
    </xf>
    <xf numFmtId="0" fontId="23" fillId="5" borderId="2" xfId="0" applyFont="1" applyFill="1" applyBorder="1" applyAlignment="1" applyProtection="1">
      <alignment horizontal="center"/>
    </xf>
    <xf numFmtId="0" fontId="23" fillId="5" borderId="15" xfId="0" applyFont="1" applyFill="1" applyBorder="1" applyAlignment="1">
      <alignment horizontal="center"/>
    </xf>
    <xf numFmtId="0" fontId="23" fillId="0" borderId="15" xfId="0" applyFont="1" applyFill="1" applyBorder="1" applyAlignment="1">
      <alignment horizontal="center"/>
    </xf>
    <xf numFmtId="0" fontId="17" fillId="5" borderId="9" xfId="0" applyFont="1" applyFill="1" applyBorder="1" applyAlignment="1">
      <alignment horizontal="center"/>
    </xf>
    <xf numFmtId="0" fontId="17" fillId="0" borderId="9" xfId="0" applyFont="1" applyFill="1" applyBorder="1" applyAlignment="1">
      <alignment horizontal="center"/>
    </xf>
    <xf numFmtId="0" fontId="26" fillId="2" borderId="7" xfId="0" applyFont="1" applyFill="1" applyBorder="1" applyAlignment="1" applyProtection="1">
      <alignment horizontal="center" vertical="center"/>
    </xf>
    <xf numFmtId="0" fontId="23" fillId="5" borderId="5" xfId="0" applyFont="1" applyFill="1" applyBorder="1" applyAlignment="1">
      <alignment horizontal="center"/>
    </xf>
    <xf numFmtId="0" fontId="24" fillId="5" borderId="6" xfId="0" applyFont="1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14" fontId="24" fillId="0" borderId="1" xfId="0" applyNumberFormat="1" applyFont="1" applyFill="1" applyBorder="1" applyAlignment="1">
      <alignment horizontal="center"/>
    </xf>
    <xf numFmtId="0" fontId="23" fillId="0" borderId="7" xfId="0" applyFont="1" applyFill="1" applyBorder="1" applyAlignment="1">
      <alignment horizontal="center"/>
    </xf>
    <xf numFmtId="0" fontId="23" fillId="0" borderId="5" xfId="0" applyFont="1" applyFill="1" applyBorder="1" applyAlignment="1">
      <alignment horizontal="center"/>
    </xf>
    <xf numFmtId="15" fontId="23" fillId="0" borderId="7" xfId="0" applyNumberFormat="1" applyFont="1" applyFill="1" applyBorder="1" applyAlignment="1">
      <alignment horizontal="left"/>
    </xf>
    <xf numFmtId="0" fontId="24" fillId="0" borderId="6" xfId="0" applyFont="1" applyBorder="1" applyAlignment="1">
      <alignment horizontal="center"/>
    </xf>
    <xf numFmtId="15" fontId="17" fillId="0" borderId="5" xfId="0" applyNumberFormat="1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14" fontId="24" fillId="5" borderId="1" xfId="0" applyNumberFormat="1" applyFont="1" applyFill="1" applyBorder="1" applyAlignment="1">
      <alignment horizontal="center"/>
    </xf>
    <xf numFmtId="15" fontId="23" fillId="5" borderId="7" xfId="0" applyNumberFormat="1" applyFont="1" applyFill="1" applyBorder="1" applyAlignment="1">
      <alignment horizontal="left"/>
    </xf>
    <xf numFmtId="15" fontId="23" fillId="5" borderId="5" xfId="0" applyNumberFormat="1" applyFont="1" applyFill="1" applyBorder="1" applyAlignment="1">
      <alignment horizontal="center"/>
    </xf>
    <xf numFmtId="0" fontId="23" fillId="5" borderId="8" xfId="0" applyFont="1" applyFill="1" applyBorder="1" applyAlignment="1">
      <alignment horizontal="center" vertical="center"/>
    </xf>
    <xf numFmtId="15" fontId="5" fillId="5" borderId="4" xfId="0" applyNumberFormat="1" applyFont="1" applyFill="1" applyBorder="1" applyAlignment="1" applyProtection="1">
      <alignment horizontal="center" vertical="center"/>
    </xf>
    <xf numFmtId="0" fontId="23" fillId="5" borderId="11" xfId="0" applyFont="1" applyFill="1" applyBorder="1" applyAlignment="1">
      <alignment horizontal="center" vertical="center"/>
    </xf>
    <xf numFmtId="0" fontId="23" fillId="5" borderId="15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15" fontId="23" fillId="5" borderId="15" xfId="0" applyNumberFormat="1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14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0" fillId="0" borderId="13" xfId="0" applyFill="1" applyBorder="1" applyAlignment="1">
      <alignment horizontal="center"/>
    </xf>
    <xf numFmtId="0" fontId="23" fillId="0" borderId="5" xfId="0" applyFont="1" applyBorder="1" applyAlignment="1">
      <alignment horizontal="center"/>
    </xf>
    <xf numFmtId="15" fontId="23" fillId="0" borderId="5" xfId="0" applyNumberFormat="1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15" fontId="2" fillId="5" borderId="1" xfId="0" applyNumberFormat="1" applyFont="1" applyFill="1" applyBorder="1" applyAlignment="1" applyProtection="1">
      <alignment horizontal="center" wrapText="1"/>
    </xf>
    <xf numFmtId="0" fontId="2" fillId="0" borderId="1" xfId="0" applyFont="1" applyFill="1" applyBorder="1" applyAlignment="1">
      <alignment horizontal="center"/>
    </xf>
    <xf numFmtId="0" fontId="23" fillId="0" borderId="6" xfId="0" applyFont="1" applyFill="1" applyBorder="1" applyAlignment="1">
      <alignment horizontal="center"/>
    </xf>
    <xf numFmtId="17" fontId="2" fillId="5" borderId="1" xfId="0" applyNumberFormat="1" applyFont="1" applyFill="1" applyBorder="1" applyAlignment="1">
      <alignment horizontal="center"/>
    </xf>
    <xf numFmtId="165" fontId="24" fillId="0" borderId="5" xfId="0" applyNumberFormat="1" applyFont="1" applyFill="1" applyBorder="1" applyAlignment="1">
      <alignment horizontal="center"/>
    </xf>
    <xf numFmtId="15" fontId="23" fillId="5" borderId="7" xfId="0" applyNumberFormat="1" applyFont="1" applyFill="1" applyBorder="1" applyAlignment="1">
      <alignment horizontal="left" vertical="top"/>
    </xf>
    <xf numFmtId="165" fontId="24" fillId="0" borderId="1" xfId="0" applyNumberFormat="1" applyFont="1" applyFill="1" applyBorder="1" applyAlignment="1">
      <alignment horizontal="center"/>
    </xf>
    <xf numFmtId="15" fontId="23" fillId="0" borderId="7" xfId="0" applyNumberFormat="1" applyFont="1" applyFill="1" applyBorder="1" applyAlignment="1">
      <alignment horizontal="centerContinuous" vertical="center"/>
    </xf>
    <xf numFmtId="0" fontId="24" fillId="0" borderId="6" xfId="0" applyFont="1" applyBorder="1" applyAlignment="1">
      <alignment horizontal="centerContinuous" vertical="center"/>
    </xf>
    <xf numFmtId="15" fontId="23" fillId="5" borderId="7" xfId="0" applyNumberFormat="1" applyFont="1" applyFill="1" applyBorder="1" applyAlignment="1">
      <alignment vertical="center"/>
    </xf>
    <xf numFmtId="0" fontId="32" fillId="2" borderId="1" xfId="0" applyFont="1" applyFill="1" applyBorder="1" applyAlignment="1" applyProtection="1">
      <alignment horizontal="center"/>
    </xf>
    <xf numFmtId="0" fontId="1" fillId="2" borderId="3" xfId="0" applyFont="1" applyFill="1" applyBorder="1" applyAlignment="1" applyProtection="1">
      <alignment horizontal="center"/>
    </xf>
    <xf numFmtId="0" fontId="1" fillId="2" borderId="4" xfId="0" applyFont="1" applyFill="1" applyBorder="1" applyAlignment="1">
      <alignment horizontal="center"/>
    </xf>
    <xf numFmtId="14" fontId="31" fillId="5" borderId="0" xfId="0" applyNumberFormat="1" applyFont="1" applyFill="1" applyBorder="1" applyAlignment="1">
      <alignment horizontal="center"/>
    </xf>
    <xf numFmtId="14" fontId="31" fillId="0" borderId="4" xfId="0" applyNumberFormat="1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</xf>
    <xf numFmtId="0" fontId="23" fillId="6" borderId="1" xfId="0" applyFont="1" applyFill="1" applyBorder="1" applyAlignment="1" applyProtection="1">
      <alignment horizontal="center"/>
    </xf>
    <xf numFmtId="0" fontId="23" fillId="6" borderId="1" xfId="0" applyFont="1" applyFill="1" applyBorder="1" applyAlignment="1">
      <alignment horizontal="center"/>
    </xf>
    <xf numFmtId="0" fontId="23" fillId="6" borderId="11" xfId="0" applyFont="1" applyFill="1" applyBorder="1" applyAlignment="1">
      <alignment horizontal="center"/>
    </xf>
    <xf numFmtId="0" fontId="23" fillId="6" borderId="10" xfId="0" applyFont="1" applyFill="1" applyBorder="1" applyAlignment="1">
      <alignment horizontal="center"/>
    </xf>
    <xf numFmtId="0" fontId="23" fillId="6" borderId="13" xfId="0" applyFont="1" applyFill="1" applyBorder="1" applyAlignment="1">
      <alignment horizontal="center"/>
    </xf>
    <xf numFmtId="0" fontId="23" fillId="6" borderId="4" xfId="0" applyFont="1" applyFill="1" applyBorder="1" applyAlignment="1">
      <alignment horizontal="center"/>
    </xf>
    <xf numFmtId="0" fontId="23" fillId="6" borderId="3" xfId="0" applyFont="1" applyFill="1" applyBorder="1" applyAlignment="1">
      <alignment horizontal="center"/>
    </xf>
    <xf numFmtId="0" fontId="23" fillId="6" borderId="4" xfId="0" applyFont="1" applyFill="1" applyBorder="1" applyAlignment="1">
      <alignment horizontal="center" vertical="center"/>
    </xf>
    <xf numFmtId="0" fontId="23" fillId="6" borderId="3" xfId="0" applyFont="1" applyFill="1" applyBorder="1" applyAlignment="1">
      <alignment horizontal="center" vertical="center"/>
    </xf>
    <xf numFmtId="0" fontId="23" fillId="6" borderId="2" xfId="0" applyFont="1" applyFill="1" applyBorder="1" applyAlignment="1">
      <alignment horizontal="center"/>
    </xf>
    <xf numFmtId="0" fontId="17" fillId="6" borderId="3" xfId="0" applyFont="1" applyFill="1" applyBorder="1" applyAlignment="1">
      <alignment horizontal="center"/>
    </xf>
    <xf numFmtId="2" fontId="23" fillId="6" borderId="1" xfId="0" applyNumberFormat="1" applyFont="1" applyFill="1" applyBorder="1" applyAlignment="1" applyProtection="1">
      <alignment horizontal="center"/>
    </xf>
    <xf numFmtId="0" fontId="23" fillId="6" borderId="4" xfId="0" applyFont="1" applyFill="1" applyBorder="1" applyAlignment="1" applyProtection="1">
      <alignment horizontal="center"/>
    </xf>
    <xf numFmtId="0" fontId="26" fillId="6" borderId="7" xfId="0" applyFont="1" applyFill="1" applyBorder="1" applyAlignment="1" applyProtection="1">
      <alignment horizontal="center" vertical="center"/>
    </xf>
    <xf numFmtId="2" fontId="23" fillId="6" borderId="4" xfId="0" applyNumberFormat="1" applyFont="1" applyFill="1" applyBorder="1" applyAlignment="1">
      <alignment horizontal="center"/>
    </xf>
    <xf numFmtId="2" fontId="23" fillId="6" borderId="4" xfId="0" applyNumberFormat="1" applyFont="1" applyFill="1" applyBorder="1" applyAlignment="1" applyProtection="1">
      <alignment horizontal="center"/>
    </xf>
    <xf numFmtId="2" fontId="23" fillId="6" borderId="1" xfId="0" applyNumberFormat="1" applyFont="1" applyFill="1" applyBorder="1" applyAlignment="1">
      <alignment horizontal="center"/>
    </xf>
    <xf numFmtId="0" fontId="29" fillId="0" borderId="12" xfId="0" applyFont="1" applyFill="1" applyBorder="1" applyAlignment="1">
      <alignment horizontal="center"/>
    </xf>
    <xf numFmtId="2" fontId="23" fillId="6" borderId="2" xfId="0" applyNumberFormat="1" applyFont="1" applyFill="1" applyBorder="1" applyAlignment="1">
      <alignment horizontal="center"/>
    </xf>
    <xf numFmtId="14" fontId="2" fillId="0" borderId="2" xfId="0" applyNumberFormat="1" applyFont="1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29" fillId="5" borderId="8" xfId="0" applyFont="1" applyFill="1" applyBorder="1" applyAlignment="1">
      <alignment horizontal="center"/>
    </xf>
    <xf numFmtId="14" fontId="31" fillId="5" borderId="4" xfId="0" applyNumberFormat="1" applyFont="1" applyFill="1" applyBorder="1" applyAlignment="1">
      <alignment horizontal="center"/>
    </xf>
    <xf numFmtId="2" fontId="23" fillId="5" borderId="4" xfId="0" applyNumberFormat="1" applyFont="1" applyFill="1" applyBorder="1" applyAlignment="1">
      <alignment horizontal="center"/>
    </xf>
    <xf numFmtId="15" fontId="2" fillId="5" borderId="15" xfId="0" applyNumberFormat="1" applyFont="1" applyFill="1" applyBorder="1" applyAlignment="1">
      <alignment horizontal="center"/>
    </xf>
    <xf numFmtId="0" fontId="29" fillId="5" borderId="9" xfId="0" applyFont="1" applyFill="1" applyBorder="1" applyAlignment="1">
      <alignment horizontal="center"/>
    </xf>
    <xf numFmtId="14" fontId="31" fillId="5" borderId="3" xfId="0" applyNumberFormat="1" applyFont="1" applyFill="1" applyBorder="1" applyAlignment="1">
      <alignment horizontal="center"/>
    </xf>
    <xf numFmtId="2" fontId="23" fillId="5" borderId="3" xfId="0" applyNumberFormat="1" applyFont="1" applyFill="1" applyBorder="1" applyAlignment="1">
      <alignment horizontal="center"/>
    </xf>
    <xf numFmtId="15" fontId="23" fillId="5" borderId="9" xfId="0" applyNumberFormat="1" applyFont="1" applyFill="1" applyBorder="1" applyAlignment="1">
      <alignment horizontal="left"/>
    </xf>
    <xf numFmtId="14" fontId="2" fillId="0" borderId="14" xfId="0" quotePrefix="1" applyNumberFormat="1" applyFont="1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14" fontId="2" fillId="8" borderId="1" xfId="0" applyNumberFormat="1" applyFont="1" applyFill="1" applyBorder="1" applyAlignment="1">
      <alignment horizontal="center"/>
    </xf>
    <xf numFmtId="0" fontId="1" fillId="9" borderId="1" xfId="0" applyFont="1" applyFill="1" applyBorder="1" applyAlignment="1" applyProtection="1">
      <alignment horizontal="center"/>
    </xf>
    <xf numFmtId="2" fontId="23" fillId="9" borderId="1" xfId="0" applyNumberFormat="1" applyFont="1" applyFill="1" applyBorder="1" applyAlignment="1" applyProtection="1">
      <alignment horizontal="center"/>
    </xf>
    <xf numFmtId="0" fontId="23" fillId="9" borderId="1" xfId="0" applyFont="1" applyFill="1" applyBorder="1" applyAlignment="1" applyProtection="1">
      <alignment horizontal="center"/>
    </xf>
    <xf numFmtId="0" fontId="23" fillId="9" borderId="11" xfId="0" applyFont="1" applyFill="1" applyBorder="1" applyAlignment="1">
      <alignment horizontal="center"/>
    </xf>
    <xf numFmtId="0" fontId="23" fillId="9" borderId="10" xfId="0" applyFont="1" applyFill="1" applyBorder="1" applyAlignment="1">
      <alignment horizontal="center"/>
    </xf>
    <xf numFmtId="2" fontId="23" fillId="9" borderId="11" xfId="0" applyNumberFormat="1" applyFont="1" applyFill="1" applyBorder="1" applyAlignment="1">
      <alignment horizontal="center"/>
    </xf>
    <xf numFmtId="2" fontId="23" fillId="9" borderId="13" xfId="0" applyNumberFormat="1" applyFont="1" applyFill="1" applyBorder="1" applyAlignment="1">
      <alignment horizontal="center"/>
    </xf>
    <xf numFmtId="2" fontId="23" fillId="9" borderId="15" xfId="0" applyNumberFormat="1" applyFont="1" applyFill="1" applyBorder="1" applyAlignment="1">
      <alignment horizontal="center"/>
    </xf>
    <xf numFmtId="2" fontId="23" fillId="9" borderId="14" xfId="0" applyNumberFormat="1" applyFont="1" applyFill="1" applyBorder="1" applyAlignment="1">
      <alignment horizontal="center"/>
    </xf>
    <xf numFmtId="2" fontId="23" fillId="9" borderId="15" xfId="0" applyNumberFormat="1" applyFont="1" applyFill="1" applyBorder="1" applyAlignment="1">
      <alignment horizontal="center" vertical="center"/>
    </xf>
    <xf numFmtId="2" fontId="23" fillId="9" borderId="14" xfId="0" applyNumberFormat="1" applyFont="1" applyFill="1" applyBorder="1" applyAlignment="1">
      <alignment horizontal="center" vertical="center"/>
    </xf>
    <xf numFmtId="2" fontId="23" fillId="9" borderId="5" xfId="0" applyNumberFormat="1" applyFont="1" applyFill="1" applyBorder="1" applyAlignment="1">
      <alignment horizontal="center"/>
    </xf>
    <xf numFmtId="2" fontId="23" fillId="9" borderId="0" xfId="0" applyNumberFormat="1" applyFont="1" applyFill="1" applyBorder="1" applyAlignment="1">
      <alignment horizontal="center"/>
    </xf>
    <xf numFmtId="2" fontId="30" fillId="9" borderId="15" xfId="0" applyNumberFormat="1" applyFont="1" applyFill="1" applyBorder="1" applyAlignment="1">
      <alignment horizontal="center"/>
    </xf>
    <xf numFmtId="2" fontId="17" fillId="9" borderId="14" xfId="0" applyNumberFormat="1" applyFont="1" applyFill="1" applyBorder="1" applyAlignment="1">
      <alignment horizontal="center"/>
    </xf>
    <xf numFmtId="2" fontId="26" fillId="9" borderId="7" xfId="0" applyNumberFormat="1" applyFont="1" applyFill="1" applyBorder="1" applyAlignment="1" applyProtection="1">
      <alignment horizontal="center" vertical="center"/>
    </xf>
    <xf numFmtId="0" fontId="24" fillId="8" borderId="6" xfId="0" applyFont="1" applyFill="1" applyBorder="1" applyAlignment="1">
      <alignment horizontal="center"/>
    </xf>
    <xf numFmtId="0" fontId="23" fillId="8" borderId="1" xfId="0" applyFon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0" fontId="27" fillId="8" borderId="0" xfId="0" applyFont="1" applyFill="1" applyBorder="1" applyAlignment="1">
      <alignment horizontal="center" vertical="center"/>
    </xf>
    <xf numFmtId="0" fontId="0" fillId="8" borderId="0" xfId="0" applyFill="1" applyBorder="1" applyAlignment="1">
      <alignment horizontal="center"/>
    </xf>
    <xf numFmtId="0" fontId="0" fillId="8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28" fillId="9" borderId="0" xfId="0" applyFont="1" applyFill="1" applyBorder="1"/>
    <xf numFmtId="0" fontId="24" fillId="9" borderId="0" xfId="0" applyFont="1" applyFill="1" applyBorder="1" applyAlignment="1">
      <alignment vertical="center"/>
    </xf>
    <xf numFmtId="0" fontId="26" fillId="9" borderId="0" xfId="0" applyFont="1" applyFill="1" applyBorder="1" applyAlignment="1" applyProtection="1">
      <alignment horizontal="center" vertical="center"/>
    </xf>
    <xf numFmtId="0" fontId="23" fillId="9" borderId="0" xfId="0" applyFont="1" applyFill="1" applyBorder="1" applyAlignment="1" applyProtection="1">
      <alignment horizontal="center" vertical="center"/>
    </xf>
    <xf numFmtId="15" fontId="33" fillId="0" borderId="0" xfId="0" applyNumberFormat="1" applyFont="1" applyBorder="1" applyAlignment="1">
      <alignment horizontal="left"/>
    </xf>
    <xf numFmtId="0" fontId="33" fillId="0" borderId="0" xfId="0" applyFont="1" applyBorder="1" applyAlignment="1">
      <alignment horizontal="center"/>
    </xf>
    <xf numFmtId="0" fontId="34" fillId="0" borderId="0" xfId="0" applyFont="1" applyFill="1" applyBorder="1" applyAlignment="1">
      <alignment horizontal="center"/>
    </xf>
    <xf numFmtId="0" fontId="35" fillId="0" borderId="0" xfId="0" applyFont="1"/>
    <xf numFmtId="0" fontId="0" fillId="0" borderId="0" xfId="0" applyAlignment="1">
      <alignment wrapText="1"/>
    </xf>
    <xf numFmtId="0" fontId="35" fillId="0" borderId="0" xfId="0" applyFont="1" applyAlignment="1">
      <alignment horizontal="left"/>
    </xf>
    <xf numFmtId="0" fontId="2" fillId="8" borderId="1" xfId="0" applyFont="1" applyFill="1" applyBorder="1"/>
    <xf numFmtId="0" fontId="0" fillId="8" borderId="7" xfId="0" applyFill="1" applyBorder="1"/>
    <xf numFmtId="14" fontId="31" fillId="8" borderId="5" xfId="0" applyNumberFormat="1" applyFont="1" applyFill="1" applyBorder="1" applyAlignment="1">
      <alignment horizontal="center"/>
    </xf>
    <xf numFmtId="0" fontId="2" fillId="9" borderId="1" xfId="0" applyFont="1" applyFill="1" applyBorder="1"/>
    <xf numFmtId="14" fontId="2" fillId="9" borderId="1" xfId="0" applyNumberFormat="1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9" borderId="7" xfId="0" applyFill="1" applyBorder="1" applyAlignment="1">
      <alignment horizontal="center"/>
    </xf>
    <xf numFmtId="0" fontId="0" fillId="9" borderId="7" xfId="0" applyFill="1" applyBorder="1"/>
    <xf numFmtId="0" fontId="24" fillId="9" borderId="6" xfId="0" applyFont="1" applyFill="1" applyBorder="1" applyAlignment="1">
      <alignment horizontal="center"/>
    </xf>
    <xf numFmtId="0" fontId="24" fillId="9" borderId="5" xfId="0" applyFont="1" applyFill="1" applyBorder="1" applyAlignment="1">
      <alignment horizontal="center"/>
    </xf>
    <xf numFmtId="0" fontId="23" fillId="9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36" fillId="0" borderId="15" xfId="0" applyFont="1" applyBorder="1"/>
    <xf numFmtId="0" fontId="0" fillId="8" borderId="4" xfId="0" applyFill="1" applyBorder="1" applyAlignment="1">
      <alignment horizontal="center"/>
    </xf>
    <xf numFmtId="0" fontId="29" fillId="7" borderId="12" xfId="0" applyFont="1" applyFill="1" applyBorder="1" applyAlignment="1">
      <alignment horizontal="center"/>
    </xf>
    <xf numFmtId="14" fontId="2" fillId="7" borderId="4" xfId="0" applyNumberFormat="1" applyFont="1" applyFill="1" applyBorder="1" applyAlignment="1">
      <alignment horizontal="center"/>
    </xf>
    <xf numFmtId="0" fontId="17" fillId="7" borderId="2" xfId="0" applyFont="1" applyFill="1" applyBorder="1" applyAlignment="1">
      <alignment horizontal="center"/>
    </xf>
    <xf numFmtId="0" fontId="17" fillId="7" borderId="12" xfId="0" applyFont="1" applyFill="1" applyBorder="1" applyAlignment="1">
      <alignment horizontal="center"/>
    </xf>
    <xf numFmtId="2" fontId="17" fillId="7" borderId="4" xfId="0" applyNumberFormat="1" applyFont="1" applyFill="1" applyBorder="1" applyAlignment="1">
      <alignment horizontal="center"/>
    </xf>
    <xf numFmtId="15" fontId="23" fillId="7" borderId="12" xfId="0" applyNumberFormat="1" applyFont="1" applyFill="1" applyBorder="1" applyAlignment="1">
      <alignment horizontal="left"/>
    </xf>
    <xf numFmtId="0" fontId="24" fillId="7" borderId="13" xfId="0" applyFont="1" applyFill="1" applyBorder="1" applyAlignment="1">
      <alignment horizontal="center"/>
    </xf>
    <xf numFmtId="14" fontId="24" fillId="7" borderId="0" xfId="0" quotePrefix="1" applyNumberFormat="1" applyFont="1" applyFill="1" applyBorder="1" applyAlignment="1">
      <alignment horizontal="center"/>
    </xf>
    <xf numFmtId="0" fontId="23" fillId="7" borderId="2" xfId="0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2" fillId="7" borderId="3" xfId="0" applyFont="1" applyFill="1" applyBorder="1"/>
    <xf numFmtId="14" fontId="0" fillId="7" borderId="3" xfId="0" applyNumberFormat="1" applyFill="1" applyBorder="1" applyAlignment="1">
      <alignment horizontal="center"/>
    </xf>
    <xf numFmtId="15" fontId="23" fillId="7" borderId="0" xfId="0" applyNumberFormat="1" applyFont="1" applyFill="1" applyBorder="1" applyAlignment="1">
      <alignment horizontal="left"/>
    </xf>
    <xf numFmtId="14" fontId="2" fillId="7" borderId="0" xfId="0" quotePrefix="1" applyNumberFormat="1" applyFont="1" applyFill="1" applyBorder="1" applyAlignment="1">
      <alignment horizontal="center"/>
    </xf>
    <xf numFmtId="14" fontId="0" fillId="7" borderId="2" xfId="0" applyNumberForma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2" fillId="7" borderId="4" xfId="0" applyFont="1" applyFill="1" applyBorder="1"/>
    <xf numFmtId="0" fontId="0" fillId="7" borderId="10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15" fontId="17" fillId="0" borderId="8" xfId="0" applyNumberFormat="1" applyFont="1" applyFill="1" applyBorder="1" applyAlignment="1">
      <alignment horizontal="center"/>
    </xf>
    <xf numFmtId="15" fontId="2" fillId="5" borderId="9" xfId="0" applyNumberFormat="1" applyFont="1" applyFill="1" applyBorder="1" applyAlignment="1">
      <alignment horizontal="center"/>
    </xf>
    <xf numFmtId="0" fontId="17" fillId="5" borderId="8" xfId="0" applyFont="1" applyFill="1" applyBorder="1" applyAlignment="1">
      <alignment horizontal="center"/>
    </xf>
    <xf numFmtId="15" fontId="2" fillId="5" borderId="3" xfId="0" applyNumberFormat="1" applyFont="1" applyFill="1" applyBorder="1" applyAlignment="1">
      <alignment horizontal="center"/>
    </xf>
    <xf numFmtId="15" fontId="17" fillId="5" borderId="8" xfId="0" applyNumberFormat="1" applyFont="1" applyFill="1" applyBorder="1" applyAlignment="1">
      <alignment horizontal="center"/>
    </xf>
    <xf numFmtId="15" fontId="2" fillId="0" borderId="9" xfId="0" applyNumberFormat="1" applyFont="1" applyFill="1" applyBorder="1" applyAlignment="1">
      <alignment horizontal="center"/>
    </xf>
    <xf numFmtId="15" fontId="2" fillId="0" borderId="12" xfId="0" applyNumberFormat="1" applyFont="1" applyFill="1" applyBorder="1" applyAlignment="1">
      <alignment horizontal="center"/>
    </xf>
    <xf numFmtId="0" fontId="29" fillId="8" borderId="9" xfId="0" applyFont="1" applyFill="1" applyBorder="1" applyAlignment="1">
      <alignment horizontal="center"/>
    </xf>
    <xf numFmtId="14" fontId="2" fillId="8" borderId="3" xfId="0" applyNumberFormat="1" applyFont="1" applyFill="1" applyBorder="1" applyAlignment="1">
      <alignment horizontal="center"/>
    </xf>
    <xf numFmtId="0" fontId="17" fillId="8" borderId="3" xfId="0" applyFont="1" applyFill="1" applyBorder="1" applyAlignment="1">
      <alignment horizontal="center"/>
    </xf>
    <xf numFmtId="0" fontId="17" fillId="8" borderId="9" xfId="0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/>
    </xf>
    <xf numFmtId="2" fontId="17" fillId="9" borderId="3" xfId="0" applyNumberFormat="1" applyFont="1" applyFill="1" applyBorder="1" applyAlignment="1">
      <alignment horizontal="center"/>
    </xf>
    <xf numFmtId="15" fontId="23" fillId="8" borderId="14" xfId="0" applyNumberFormat="1" applyFont="1" applyFill="1" applyBorder="1" applyAlignment="1">
      <alignment horizontal="left"/>
    </xf>
    <xf numFmtId="0" fontId="24" fillId="8" borderId="10" xfId="0" applyFont="1" applyFill="1" applyBorder="1" applyAlignment="1">
      <alignment horizontal="center"/>
    </xf>
    <xf numFmtId="14" fontId="24" fillId="8" borderId="14" xfId="0" quotePrefix="1" applyNumberFormat="1" applyFont="1" applyFill="1" applyBorder="1" applyAlignment="1">
      <alignment horizontal="center"/>
    </xf>
    <xf numFmtId="0" fontId="23" fillId="8" borderId="3" xfId="0" applyFont="1" applyFill="1" applyBorder="1" applyAlignment="1">
      <alignment horizontal="center"/>
    </xf>
    <xf numFmtId="0" fontId="29" fillId="8" borderId="8" xfId="0" applyFont="1" applyFill="1" applyBorder="1" applyAlignment="1">
      <alignment horizontal="center"/>
    </xf>
    <xf numFmtId="14" fontId="2" fillId="8" borderId="4" xfId="0" applyNumberFormat="1" applyFont="1" applyFill="1" applyBorder="1" applyAlignment="1">
      <alignment horizontal="center"/>
    </xf>
    <xf numFmtId="0" fontId="17" fillId="8" borderId="4" xfId="0" applyFont="1" applyFill="1" applyBorder="1" applyAlignment="1">
      <alignment horizontal="center"/>
    </xf>
    <xf numFmtId="0" fontId="17" fillId="8" borderId="8" xfId="0" applyFont="1" applyFill="1" applyBorder="1" applyAlignment="1">
      <alignment horizontal="center"/>
    </xf>
    <xf numFmtId="0" fontId="17" fillId="6" borderId="8" xfId="0" applyFont="1" applyFill="1" applyBorder="1" applyAlignment="1">
      <alignment horizontal="center"/>
    </xf>
    <xf numFmtId="2" fontId="17" fillId="9" borderId="4" xfId="0" applyNumberFormat="1" applyFont="1" applyFill="1" applyBorder="1" applyAlignment="1">
      <alignment horizontal="center"/>
    </xf>
    <xf numFmtId="15" fontId="23" fillId="0" borderId="8" xfId="0" applyNumberFormat="1" applyFont="1" applyFill="1" applyBorder="1" applyAlignment="1">
      <alignment horizontal="left"/>
    </xf>
    <xf numFmtId="0" fontId="24" fillId="8" borderId="11" xfId="0" applyFont="1" applyFill="1" applyBorder="1" applyAlignment="1">
      <alignment horizontal="center"/>
    </xf>
    <xf numFmtId="14" fontId="24" fillId="8" borderId="8" xfId="0" quotePrefix="1" applyNumberFormat="1" applyFont="1" applyFill="1" applyBorder="1" applyAlignment="1">
      <alignment horizontal="center"/>
    </xf>
    <xf numFmtId="0" fontId="23" fillId="8" borderId="4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4" fontId="2" fillId="9" borderId="5" xfId="0" applyNumberFormat="1" applyFont="1" applyFill="1" applyBorder="1" applyAlignment="1">
      <alignment horizontal="center"/>
    </xf>
    <xf numFmtId="0" fontId="0" fillId="9" borderId="0" xfId="0" applyFill="1"/>
    <xf numFmtId="49" fontId="23" fillId="9" borderId="0" xfId="0" applyNumberFormat="1" applyFont="1" applyFill="1" applyBorder="1" applyAlignment="1" applyProtection="1">
      <alignment horizontal="center" vertical="center"/>
    </xf>
    <xf numFmtId="0" fontId="27" fillId="9" borderId="0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textRotation="90" wrapText="1"/>
    </xf>
    <xf numFmtId="0" fontId="0" fillId="0" borderId="3" xfId="0" applyBorder="1" applyAlignment="1">
      <alignment horizontal="center" wrapText="1"/>
    </xf>
    <xf numFmtId="0" fontId="1" fillId="2" borderId="8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15" fontId="23" fillId="5" borderId="8" xfId="0" applyNumberFormat="1" applyFont="1" applyFill="1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15" fontId="23" fillId="0" borderId="8" xfId="0" applyNumberFormat="1" applyFont="1" applyFill="1" applyBorder="1" applyAlignment="1">
      <alignment horizontal="center" wrapText="1"/>
    </xf>
    <xf numFmtId="0" fontId="23" fillId="0" borderId="4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5" fontId="23" fillId="0" borderId="4" xfId="0" applyNumberFormat="1" applyFont="1" applyFill="1" applyBorder="1" applyAlignment="1" applyProtection="1">
      <alignment horizontal="center" vertical="center"/>
    </xf>
    <xf numFmtId="15" fontId="23" fillId="0" borderId="7" xfId="0" applyNumberFormat="1" applyFont="1" applyBorder="1" applyAlignment="1">
      <alignment horizontal="center"/>
    </xf>
    <xf numFmtId="0" fontId="24" fillId="0" borderId="6" xfId="0" applyFont="1" applyBorder="1" applyAlignment="1">
      <alignment horizontal="center"/>
    </xf>
    <xf numFmtId="15" fontId="23" fillId="5" borderId="7" xfId="0" applyNumberFormat="1" applyFont="1" applyFill="1" applyBorder="1" applyAlignment="1">
      <alignment horizontal="center"/>
    </xf>
    <xf numFmtId="0" fontId="24" fillId="5" borderId="6" xfId="0" applyFont="1" applyFill="1" applyBorder="1" applyAlignment="1">
      <alignment horizontal="center"/>
    </xf>
    <xf numFmtId="15" fontId="17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5" fontId="23" fillId="0" borderId="7" xfId="0" applyNumberFormat="1" applyFont="1" applyFill="1" applyBorder="1" applyAlignment="1">
      <alignment horizontal="center"/>
    </xf>
    <xf numFmtId="15" fontId="23" fillId="0" borderId="8" xfId="0" applyNumberFormat="1" applyFont="1" applyFill="1" applyBorder="1" applyAlignment="1">
      <alignment horizontal="center"/>
    </xf>
    <xf numFmtId="15" fontId="23" fillId="0" borderId="11" xfId="0" applyNumberFormat="1" applyFont="1" applyFill="1" applyBorder="1" applyAlignment="1">
      <alignment horizontal="center"/>
    </xf>
    <xf numFmtId="0" fontId="22" fillId="2" borderId="8" xfId="0" applyFont="1" applyFill="1" applyBorder="1" applyAlignment="1">
      <alignment horizontal="center" wrapText="1"/>
    </xf>
    <xf numFmtId="0" fontId="0" fillId="0" borderId="9" xfId="0" applyBorder="1"/>
    <xf numFmtId="15" fontId="25" fillId="5" borderId="4" xfId="0" applyNumberFormat="1" applyFont="1" applyFill="1" applyBorder="1" applyAlignment="1">
      <alignment vertical="justify" wrapText="1"/>
    </xf>
    <xf numFmtId="0" fontId="25" fillId="5" borderId="3" xfId="0" applyFont="1" applyFill="1" applyBorder="1" applyAlignment="1">
      <alignment vertical="justify" wrapText="1"/>
    </xf>
    <xf numFmtId="15" fontId="23" fillId="0" borderId="4" xfId="0" applyNumberFormat="1" applyFont="1" applyBorder="1" applyAlignment="1">
      <alignment horizontal="center" wrapText="1"/>
    </xf>
    <xf numFmtId="0" fontId="24" fillId="0" borderId="3" xfId="0" applyFont="1" applyBorder="1" applyAlignment="1">
      <alignment horizontal="center" wrapText="1"/>
    </xf>
    <xf numFmtId="0" fontId="24" fillId="0" borderId="3" xfId="0" applyFont="1" applyFill="1" applyBorder="1" applyAlignment="1">
      <alignment horizontal="center" vertical="center"/>
    </xf>
    <xf numFmtId="15" fontId="23" fillId="5" borderId="4" xfId="0" applyNumberFormat="1" applyFont="1" applyFill="1" applyBorder="1" applyAlignment="1" applyProtection="1">
      <alignment horizontal="center" vertical="center"/>
    </xf>
    <xf numFmtId="0" fontId="24" fillId="5" borderId="3" xfId="0" applyFont="1" applyFill="1" applyBorder="1" applyAlignment="1">
      <alignment horizontal="center" vertical="center"/>
    </xf>
    <xf numFmtId="15" fontId="21" fillId="0" borderId="4" xfId="0" applyNumberFormat="1" applyFont="1" applyBorder="1" applyAlignment="1">
      <alignment horizontal="center" vertical="justify" wrapText="1"/>
    </xf>
    <xf numFmtId="0" fontId="21" fillId="0" borderId="3" xfId="0" applyFont="1" applyBorder="1" applyAlignment="1">
      <alignment horizontal="center" vertical="justify" wrapText="1"/>
    </xf>
    <xf numFmtId="0" fontId="16" fillId="2" borderId="4" xfId="0" applyFont="1" applyFill="1" applyBorder="1" applyAlignment="1">
      <alignment horizontal="center" vertical="center"/>
    </xf>
    <xf numFmtId="15" fontId="23" fillId="0" borderId="8" xfId="0" applyNumberFormat="1" applyFont="1" applyBorder="1" applyAlignment="1">
      <alignment horizontal="center" wrapText="1"/>
    </xf>
    <xf numFmtId="0" fontId="24" fillId="0" borderId="11" xfId="0" applyFont="1" applyBorder="1" applyAlignment="1">
      <alignment horizontal="center" wrapText="1"/>
    </xf>
    <xf numFmtId="0" fontId="24" fillId="0" borderId="9" xfId="0" applyFont="1" applyBorder="1" applyAlignment="1">
      <alignment horizontal="center" wrapText="1"/>
    </xf>
    <xf numFmtId="0" fontId="24" fillId="0" borderId="10" xfId="0" applyFont="1" applyBorder="1" applyAlignment="1">
      <alignment horizontal="center" wrapText="1"/>
    </xf>
    <xf numFmtId="15" fontId="23" fillId="5" borderId="4" xfId="0" applyNumberFormat="1" applyFont="1" applyFill="1" applyBorder="1" applyAlignment="1" applyProtection="1">
      <alignment horizontal="center" vertical="center" wrapText="1"/>
    </xf>
    <xf numFmtId="0" fontId="24" fillId="5" borderId="3" xfId="0" applyFont="1" applyFill="1" applyBorder="1" applyAlignment="1">
      <alignment horizontal="center" vertical="center" wrapText="1"/>
    </xf>
    <xf numFmtId="15" fontId="23" fillId="5" borderId="4" xfId="0" applyNumberFormat="1" applyFont="1" applyFill="1" applyBorder="1" applyAlignment="1">
      <alignment horizontal="center" wrapText="1"/>
    </xf>
    <xf numFmtId="15" fontId="24" fillId="5" borderId="3" xfId="0" applyNumberFormat="1" applyFont="1" applyFill="1" applyBorder="1" applyAlignment="1">
      <alignment horizontal="center" wrapText="1"/>
    </xf>
    <xf numFmtId="15" fontId="23" fillId="0" borderId="4" xfId="0" applyNumberFormat="1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15" fontId="25" fillId="5" borderId="4" xfId="0" applyNumberFormat="1" applyFont="1" applyFill="1" applyBorder="1" applyAlignment="1">
      <alignment vertical="justify"/>
    </xf>
    <xf numFmtId="0" fontId="25" fillId="5" borderId="3" xfId="0" applyFont="1" applyFill="1" applyBorder="1" applyAlignment="1">
      <alignment vertical="justify"/>
    </xf>
    <xf numFmtId="15" fontId="23" fillId="5" borderId="4" xfId="0" applyNumberFormat="1" applyFont="1" applyFill="1" applyBorder="1" applyAlignment="1">
      <alignment horizontal="center" vertical="center" wrapText="1"/>
    </xf>
    <xf numFmtId="164" fontId="23" fillId="0" borderId="4" xfId="0" applyNumberFormat="1" applyFont="1" applyFill="1" applyBorder="1" applyAlignment="1" applyProtection="1">
      <alignment horizontal="center" vertical="center"/>
    </xf>
    <xf numFmtId="164" fontId="24" fillId="0" borderId="3" xfId="0" applyNumberFormat="1" applyFont="1" applyFill="1" applyBorder="1" applyAlignment="1">
      <alignment horizontal="center" vertical="center"/>
    </xf>
    <xf numFmtId="15" fontId="23" fillId="5" borderId="8" xfId="0" applyNumberFormat="1" applyFont="1" applyFill="1" applyBorder="1" applyAlignment="1">
      <alignment horizontal="justify" vertical="center"/>
    </xf>
    <xf numFmtId="0" fontId="0" fillId="5" borderId="11" xfId="0" applyFill="1" applyBorder="1"/>
    <xf numFmtId="0" fontId="0" fillId="5" borderId="9" xfId="0" applyFill="1" applyBorder="1"/>
    <xf numFmtId="0" fontId="0" fillId="5" borderId="10" xfId="0" applyFill="1" applyBorder="1"/>
    <xf numFmtId="15" fontId="23" fillId="0" borderId="4" xfId="0" applyNumberFormat="1" applyFont="1" applyBorder="1" applyAlignment="1">
      <alignment horizontal="left" vertical="center" wrapText="1"/>
    </xf>
    <xf numFmtId="0" fontId="24" fillId="0" borderId="3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33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123825</xdr:colOff>
      <xdr:row>6</xdr:row>
      <xdr:rowOff>19051</xdr:rowOff>
    </xdr:from>
    <xdr:to>
      <xdr:col>7</xdr:col>
      <xdr:colOff>723900</xdr:colOff>
      <xdr:row>29</xdr:row>
      <xdr:rowOff>76201</xdr:rowOff>
    </xdr:to>
    <xdr:sp macro="" textlink="">
      <xdr:nvSpPr>
        <xdr:cNvPr id="1025" name="WordArt 1"/>
        <xdr:cNvSpPr>
          <a:spLocks noChangeArrowheads="1" noChangeShapeType="1" noTextEdit="1"/>
        </xdr:cNvSpPr>
      </xdr:nvSpPr>
      <xdr:spPr bwMode="auto">
        <a:xfrm rot="5400000">
          <a:off x="176213" y="3424238"/>
          <a:ext cx="4438650" cy="600075"/>
        </a:xfrm>
        <a:prstGeom prst="rect">
          <a:avLst/>
        </a:prstGeom>
        <a:ln>
          <a:noFill/>
        </a:ln>
        <a:effectLst>
          <a:outerShdw blurRad="57785" dist="33020" dir="318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brightRoom" dir="t">
            <a:rot lat="0" lon="0" rev="600000"/>
          </a:lightRig>
        </a:scene3d>
        <a:sp3d prstMaterial="metal">
          <a:bevelT w="38100" h="57150" prst="angle"/>
        </a:sp3d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="vert270" wrap="none" fromWordArt="1">
          <a:prstTxWarp prst="textPlain">
            <a:avLst>
              <a:gd name="adj" fmla="val 50646"/>
            </a:avLst>
          </a:prstTxWarp>
        </a:bodyPr>
        <a:lstStyle/>
        <a:p>
          <a:pPr algn="ctr" rtl="0" fontAlgn="auto"/>
          <a:r>
            <a:rPr lang="es-SV" sz="2000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FFFFFF"/>
              </a:solidFill>
              <a:effectLst/>
              <a:latin typeface="Garamond"/>
            </a:rPr>
            <a:t>N o    r e a l i z a r o n    p r a c t i c a s</a:t>
          </a:r>
        </a:p>
      </xdr:txBody>
    </xdr:sp>
    <xdr:clientData/>
  </xdr:twoCellAnchor>
  <xdr:twoCellAnchor>
    <xdr:from>
      <xdr:col>0</xdr:col>
      <xdr:colOff>161926</xdr:colOff>
      <xdr:row>135</xdr:row>
      <xdr:rowOff>142875</xdr:rowOff>
    </xdr:from>
    <xdr:to>
      <xdr:col>0</xdr:col>
      <xdr:colOff>409576</xdr:colOff>
      <xdr:row>136</xdr:row>
      <xdr:rowOff>161924</xdr:rowOff>
    </xdr:to>
    <xdr:sp macro="" textlink="">
      <xdr:nvSpPr>
        <xdr:cNvPr id="3" name="2 Sol"/>
        <xdr:cNvSpPr/>
      </xdr:nvSpPr>
      <xdr:spPr bwMode="auto">
        <a:xfrm>
          <a:off x="161926" y="31070550"/>
          <a:ext cx="247650" cy="209549"/>
        </a:xfrm>
        <a:prstGeom prst="sun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s-ES" sz="1100"/>
        </a:p>
      </xdr:txBody>
    </xdr:sp>
    <xdr:clientData/>
  </xdr:twoCellAnchor>
  <xdr:twoCellAnchor>
    <xdr:from>
      <xdr:col>0</xdr:col>
      <xdr:colOff>152400</xdr:colOff>
      <xdr:row>170</xdr:row>
      <xdr:rowOff>161925</xdr:rowOff>
    </xdr:from>
    <xdr:to>
      <xdr:col>0</xdr:col>
      <xdr:colOff>400050</xdr:colOff>
      <xdr:row>171</xdr:row>
      <xdr:rowOff>152400</xdr:rowOff>
    </xdr:to>
    <xdr:sp macro="" textlink="">
      <xdr:nvSpPr>
        <xdr:cNvPr id="4" name="3 Sol"/>
        <xdr:cNvSpPr/>
      </xdr:nvSpPr>
      <xdr:spPr bwMode="auto">
        <a:xfrm>
          <a:off x="152400" y="37442775"/>
          <a:ext cx="247650" cy="180975"/>
        </a:xfrm>
        <a:prstGeom prst="sun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endParaRPr lang="es-ES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88"/>
  <sheetViews>
    <sheetView showGridLines="0" tabSelected="1" topLeftCell="A108" workbookViewId="0">
      <selection activeCell="H111" sqref="H111:I111"/>
    </sheetView>
  </sheetViews>
  <sheetFormatPr baseColWidth="10" defaultColWidth="8.88671875" defaultRowHeight="13.2" x14ac:dyDescent="0.25"/>
  <cols>
    <col min="1" max="1" width="6.5546875" customWidth="1"/>
    <col min="2" max="2" width="12.5546875" customWidth="1"/>
    <col min="3" max="3" width="9.44140625" bestFit="1" customWidth="1"/>
    <col min="4" max="4" width="9.33203125" bestFit="1" customWidth="1"/>
    <col min="5" max="5" width="7.109375" customWidth="1"/>
    <col min="6" max="6" width="8.88671875" bestFit="1" customWidth="1"/>
    <col min="7" max="7" width="6.44140625" customWidth="1"/>
    <col min="8" max="8" width="12.44140625" customWidth="1"/>
    <col min="9" max="9" width="17" customWidth="1"/>
    <col min="10" max="10" width="11.88671875" style="39" customWidth="1"/>
    <col min="11" max="11" width="10.33203125" customWidth="1"/>
    <col min="12" max="12" width="9.88671875" customWidth="1"/>
    <col min="13" max="13" width="7.88671875" customWidth="1"/>
    <col min="14" max="14" width="4.109375" hidden="1" customWidth="1"/>
    <col min="15" max="15" width="3.88671875" hidden="1" customWidth="1"/>
    <col min="16" max="16" width="6" hidden="1" customWidth="1"/>
    <col min="17" max="17" width="9.6640625" style="35" customWidth="1"/>
    <col min="18" max="18" width="6.5546875" style="35" customWidth="1"/>
  </cols>
  <sheetData>
    <row r="1" spans="1:22" ht="15.75" customHeight="1" x14ac:dyDescent="0.35">
      <c r="A1" s="14" t="s">
        <v>37</v>
      </c>
      <c r="B1" s="14"/>
      <c r="C1" s="14"/>
      <c r="D1" s="14"/>
      <c r="E1" s="14"/>
      <c r="F1" s="14"/>
      <c r="G1" s="14"/>
      <c r="H1" s="14"/>
      <c r="I1" s="14"/>
      <c r="J1" s="103"/>
      <c r="K1" s="14"/>
      <c r="L1" s="14"/>
      <c r="M1" s="7"/>
      <c r="N1" s="8"/>
      <c r="O1" s="9"/>
    </row>
    <row r="2" spans="1:22" ht="15" customHeight="1" x14ac:dyDescent="0.35">
      <c r="A2" s="14" t="s">
        <v>38</v>
      </c>
      <c r="B2" s="15"/>
      <c r="C2" s="14"/>
      <c r="D2" s="14"/>
      <c r="E2" s="14"/>
      <c r="F2" s="14"/>
      <c r="G2" s="14"/>
      <c r="H2" s="14"/>
      <c r="I2" s="14"/>
      <c r="J2" s="103"/>
      <c r="K2" s="14"/>
      <c r="L2" s="14"/>
      <c r="M2" s="7"/>
      <c r="N2" s="8"/>
      <c r="O2" s="9"/>
    </row>
    <row r="3" spans="1:22" ht="16.5" customHeight="1" x14ac:dyDescent="0.35">
      <c r="A3" s="17" t="s">
        <v>109</v>
      </c>
      <c r="B3" s="16"/>
      <c r="C3" s="16"/>
      <c r="D3" s="16"/>
      <c r="E3" s="16"/>
      <c r="F3" s="16"/>
      <c r="G3" s="16"/>
      <c r="H3" s="16"/>
      <c r="I3" s="16"/>
      <c r="J3" s="104"/>
      <c r="K3" s="16"/>
      <c r="L3" s="16"/>
      <c r="M3" s="10"/>
      <c r="N3" s="11"/>
      <c r="O3" s="9"/>
    </row>
    <row r="4" spans="1:22" ht="18.75" customHeight="1" x14ac:dyDescent="0.3">
      <c r="A4" s="412" t="s">
        <v>94</v>
      </c>
      <c r="B4" s="22" t="s">
        <v>71</v>
      </c>
      <c r="C4" s="245" t="s">
        <v>82</v>
      </c>
      <c r="D4" s="382" t="s">
        <v>216</v>
      </c>
      <c r="E4" s="383"/>
      <c r="F4" s="383"/>
      <c r="G4" s="384"/>
      <c r="H4" s="23" t="s">
        <v>86</v>
      </c>
      <c r="I4" s="23" t="s">
        <v>86</v>
      </c>
      <c r="J4" s="108" t="s">
        <v>71</v>
      </c>
      <c r="K4" s="24" t="s">
        <v>83</v>
      </c>
      <c r="L4" s="24"/>
      <c r="M4" s="25"/>
      <c r="N4" s="26" t="s">
        <v>96</v>
      </c>
      <c r="O4" s="27"/>
      <c r="P4" s="28"/>
      <c r="Q4" s="401" t="s">
        <v>151</v>
      </c>
      <c r="R4" s="380" t="s">
        <v>149</v>
      </c>
    </row>
    <row r="5" spans="1:22" ht="27" customHeight="1" x14ac:dyDescent="0.3">
      <c r="A5" s="390"/>
      <c r="B5" s="29" t="s">
        <v>95</v>
      </c>
      <c r="C5" s="244" t="s">
        <v>95</v>
      </c>
      <c r="D5" s="243" t="s">
        <v>0</v>
      </c>
      <c r="E5" s="248" t="s">
        <v>217</v>
      </c>
      <c r="F5" s="243" t="s">
        <v>1</v>
      </c>
      <c r="G5" s="281" t="s">
        <v>217</v>
      </c>
      <c r="H5" s="30" t="s">
        <v>87</v>
      </c>
      <c r="I5" s="30" t="s">
        <v>88</v>
      </c>
      <c r="J5" s="109" t="s">
        <v>72</v>
      </c>
      <c r="K5" s="31" t="s">
        <v>0</v>
      </c>
      <c r="L5" s="31" t="s">
        <v>1</v>
      </c>
      <c r="M5" s="32" t="s">
        <v>82</v>
      </c>
      <c r="N5" s="33" t="s">
        <v>80</v>
      </c>
      <c r="O5" s="33" t="s">
        <v>81</v>
      </c>
      <c r="P5" s="34" t="s">
        <v>82</v>
      </c>
      <c r="Q5" s="402"/>
      <c r="R5" s="381"/>
    </row>
    <row r="6" spans="1:22" ht="18" customHeight="1" x14ac:dyDescent="0.3">
      <c r="A6" s="122" t="s">
        <v>2</v>
      </c>
      <c r="B6" s="123">
        <v>33848</v>
      </c>
      <c r="C6" s="122">
        <v>346</v>
      </c>
      <c r="D6" s="122">
        <v>325</v>
      </c>
      <c r="E6" s="249">
        <f>(D6)*100/C6</f>
        <v>93.930635838150295</v>
      </c>
      <c r="F6" s="122">
        <v>21</v>
      </c>
      <c r="G6" s="282">
        <f>(F6)*100/C6</f>
        <v>6.0693641618497107</v>
      </c>
      <c r="H6" s="124"/>
      <c r="I6" s="124"/>
      <c r="J6" s="123">
        <v>34005</v>
      </c>
      <c r="K6" s="125">
        <v>260</v>
      </c>
      <c r="L6" s="125">
        <v>11</v>
      </c>
      <c r="M6" s="125">
        <v>271</v>
      </c>
      <c r="N6" s="126"/>
      <c r="O6" s="126"/>
      <c r="P6" s="126"/>
      <c r="Q6" s="127"/>
      <c r="R6" s="154">
        <f>C6-M6</f>
        <v>75</v>
      </c>
    </row>
    <row r="7" spans="1:22" ht="18" customHeight="1" x14ac:dyDescent="0.3">
      <c r="A7" s="46" t="s">
        <v>3</v>
      </c>
      <c r="B7" s="47">
        <v>33848</v>
      </c>
      <c r="C7" s="46">
        <v>342</v>
      </c>
      <c r="D7" s="46">
        <v>314</v>
      </c>
      <c r="E7" s="249">
        <f>(D7)*100/C7</f>
        <v>91.812865497076018</v>
      </c>
      <c r="F7" s="46">
        <v>28</v>
      </c>
      <c r="G7" s="282">
        <f>(F7)*100/C7</f>
        <v>8.1871345029239766</v>
      </c>
      <c r="H7" s="18"/>
      <c r="I7" s="18"/>
      <c r="J7" s="47">
        <v>34005</v>
      </c>
      <c r="K7" s="92">
        <v>270</v>
      </c>
      <c r="L7" s="92">
        <v>8</v>
      </c>
      <c r="M7" s="92">
        <v>278</v>
      </c>
      <c r="N7" s="12"/>
      <c r="O7" s="12"/>
      <c r="P7" s="12"/>
      <c r="Q7" s="13">
        <f>M6+M7</f>
        <v>549</v>
      </c>
      <c r="R7" s="13">
        <f t="shared" ref="R7:R70" si="0">C7-M7</f>
        <v>64</v>
      </c>
    </row>
    <row r="8" spans="1:22" ht="18" customHeight="1" x14ac:dyDescent="0.3">
      <c r="A8" s="122" t="s">
        <v>4</v>
      </c>
      <c r="B8" s="123">
        <v>33893</v>
      </c>
      <c r="C8" s="122">
        <v>348</v>
      </c>
      <c r="D8" s="122">
        <v>312</v>
      </c>
      <c r="E8" s="249">
        <f>312*100/348</f>
        <v>89.65517241379311</v>
      </c>
      <c r="F8" s="122">
        <v>36</v>
      </c>
      <c r="G8" s="283">
        <f>36*100/348</f>
        <v>10.344827586206897</v>
      </c>
      <c r="H8" s="128"/>
      <c r="I8" s="128"/>
      <c r="J8" s="123">
        <v>34106</v>
      </c>
      <c r="K8" s="125">
        <v>278</v>
      </c>
      <c r="L8" s="125">
        <v>31</v>
      </c>
      <c r="M8" s="125">
        <v>309</v>
      </c>
      <c r="N8" s="126"/>
      <c r="O8" s="126"/>
      <c r="P8" s="126"/>
      <c r="Q8" s="127">
        <f>SUM((M6:M8))</f>
        <v>858</v>
      </c>
      <c r="R8" s="127">
        <f t="shared" si="0"/>
        <v>39</v>
      </c>
    </row>
    <row r="9" spans="1:22" ht="18" customHeight="1" x14ac:dyDescent="0.3">
      <c r="A9" s="46" t="s">
        <v>5</v>
      </c>
      <c r="B9" s="47">
        <v>33924</v>
      </c>
      <c r="C9" s="46">
        <v>325</v>
      </c>
      <c r="D9" s="46">
        <v>288</v>
      </c>
      <c r="E9" s="249">
        <f>288*100/325</f>
        <v>88.615384615384613</v>
      </c>
      <c r="F9" s="46">
        <v>37</v>
      </c>
      <c r="G9" s="283">
        <f>37*100/325</f>
        <v>11.384615384615385</v>
      </c>
      <c r="H9" s="18"/>
      <c r="I9" s="18" t="s">
        <v>63</v>
      </c>
      <c r="J9" s="47">
        <v>34162</v>
      </c>
      <c r="K9" s="92">
        <v>250</v>
      </c>
      <c r="L9" s="92">
        <v>2</v>
      </c>
      <c r="M9" s="92">
        <v>252</v>
      </c>
      <c r="N9" s="12"/>
      <c r="O9" s="12"/>
      <c r="P9" s="12"/>
      <c r="Q9" s="13">
        <f>SUM((M6:M9))</f>
        <v>1110</v>
      </c>
      <c r="R9" s="13">
        <f t="shared" si="0"/>
        <v>73</v>
      </c>
    </row>
    <row r="10" spans="1:22" ht="18" customHeight="1" x14ac:dyDescent="0.3">
      <c r="A10" s="122" t="s">
        <v>6</v>
      </c>
      <c r="B10" s="123">
        <v>33955</v>
      </c>
      <c r="C10" s="122">
        <v>354</v>
      </c>
      <c r="D10" s="122">
        <v>321</v>
      </c>
      <c r="E10" s="249">
        <f>(D10)*100/C10</f>
        <v>90.677966101694921</v>
      </c>
      <c r="F10" s="122">
        <v>33</v>
      </c>
      <c r="G10" s="282">
        <f>(F10)*100/C10</f>
        <v>9.3220338983050848</v>
      </c>
      <c r="H10" s="128"/>
      <c r="I10" s="128"/>
      <c r="J10" s="123">
        <v>34197</v>
      </c>
      <c r="K10" s="125">
        <v>259</v>
      </c>
      <c r="L10" s="125">
        <v>27</v>
      </c>
      <c r="M10" s="125">
        <v>286</v>
      </c>
      <c r="N10" s="126"/>
      <c r="O10" s="126"/>
      <c r="P10" s="126"/>
      <c r="Q10" s="127">
        <f>SUM((M6:M10))</f>
        <v>1396</v>
      </c>
      <c r="R10" s="127">
        <f t="shared" si="0"/>
        <v>68</v>
      </c>
      <c r="S10" s="39" t="s">
        <v>63</v>
      </c>
      <c r="T10" s="39"/>
    </row>
    <row r="11" spans="1:22" ht="18" customHeight="1" x14ac:dyDescent="0.3">
      <c r="A11" s="46" t="s">
        <v>7</v>
      </c>
      <c r="B11" s="47">
        <v>34009</v>
      </c>
      <c r="C11" s="46">
        <v>298</v>
      </c>
      <c r="D11" s="46">
        <v>279</v>
      </c>
      <c r="E11" s="249">
        <f>(D11)*100/C11</f>
        <v>93.624161073825505</v>
      </c>
      <c r="F11" s="46">
        <v>19</v>
      </c>
      <c r="G11" s="282">
        <f t="shared" ref="G11:G74" si="1">(F11)*100/C11</f>
        <v>6.375838926174497</v>
      </c>
      <c r="H11" s="18"/>
      <c r="I11" s="18"/>
      <c r="J11" s="47">
        <v>34228</v>
      </c>
      <c r="K11" s="92">
        <v>227</v>
      </c>
      <c r="L11" s="92">
        <v>0</v>
      </c>
      <c r="M11" s="92">
        <v>227</v>
      </c>
      <c r="N11" s="12"/>
      <c r="O11" s="12"/>
      <c r="P11" s="12"/>
      <c r="Q11" s="13">
        <f>SUM(M6:M11)</f>
        <v>1623</v>
      </c>
      <c r="R11" s="13">
        <f t="shared" si="0"/>
        <v>71</v>
      </c>
    </row>
    <row r="12" spans="1:22" ht="18" customHeight="1" x14ac:dyDescent="0.3">
      <c r="A12" s="122" t="s">
        <v>8</v>
      </c>
      <c r="B12" s="123">
        <v>34046</v>
      </c>
      <c r="C12" s="122">
        <v>356</v>
      </c>
      <c r="D12" s="122">
        <v>328</v>
      </c>
      <c r="E12" s="249">
        <f t="shared" ref="E12:E93" si="2">(D12)*100/C12</f>
        <v>92.134831460674164</v>
      </c>
      <c r="F12" s="122">
        <v>28</v>
      </c>
      <c r="G12" s="282">
        <f t="shared" si="1"/>
        <v>7.8651685393258424</v>
      </c>
      <c r="H12" s="128"/>
      <c r="I12" s="128" t="s">
        <v>63</v>
      </c>
      <c r="J12" s="123">
        <v>34288</v>
      </c>
      <c r="K12" s="125">
        <v>240</v>
      </c>
      <c r="L12" s="125">
        <v>19</v>
      </c>
      <c r="M12" s="125">
        <v>259</v>
      </c>
      <c r="N12" s="126"/>
      <c r="O12" s="126"/>
      <c r="P12" s="126"/>
      <c r="Q12" s="127">
        <f>SUM(M6:M12)</f>
        <v>1882</v>
      </c>
      <c r="R12" s="127">
        <f t="shared" si="0"/>
        <v>97</v>
      </c>
    </row>
    <row r="13" spans="1:22" ht="18" customHeight="1" x14ac:dyDescent="0.3">
      <c r="A13" s="46" t="s">
        <v>9</v>
      </c>
      <c r="B13" s="47">
        <v>34078</v>
      </c>
      <c r="C13" s="46">
        <v>350</v>
      </c>
      <c r="D13" s="46">
        <v>330</v>
      </c>
      <c r="E13" s="249">
        <f t="shared" si="2"/>
        <v>94.285714285714292</v>
      </c>
      <c r="F13" s="46">
        <v>20</v>
      </c>
      <c r="G13" s="282">
        <f t="shared" si="1"/>
        <v>5.7142857142857144</v>
      </c>
      <c r="H13" s="18"/>
      <c r="I13" s="18"/>
      <c r="J13" s="47">
        <v>34288</v>
      </c>
      <c r="K13" s="92">
        <v>277</v>
      </c>
      <c r="L13" s="92">
        <v>20</v>
      </c>
      <c r="M13" s="92">
        <v>297</v>
      </c>
      <c r="N13" s="12"/>
      <c r="O13" s="12"/>
      <c r="P13" s="12"/>
      <c r="Q13" s="13">
        <f>SUM(M6:M13)</f>
        <v>2179</v>
      </c>
      <c r="R13" s="13">
        <f t="shared" si="0"/>
        <v>53</v>
      </c>
    </row>
    <row r="14" spans="1:22" ht="18" customHeight="1" x14ac:dyDescent="0.3">
      <c r="A14" s="122" t="s">
        <v>10</v>
      </c>
      <c r="B14" s="123">
        <v>34109</v>
      </c>
      <c r="C14" s="122">
        <v>420</v>
      </c>
      <c r="D14" s="122">
        <v>403</v>
      </c>
      <c r="E14" s="249">
        <f t="shared" si="2"/>
        <v>95.952380952380949</v>
      </c>
      <c r="F14" s="122">
        <v>17</v>
      </c>
      <c r="G14" s="282">
        <f t="shared" si="1"/>
        <v>4.0476190476190474</v>
      </c>
      <c r="H14" s="128"/>
      <c r="I14" s="128"/>
      <c r="J14" s="123">
        <v>34316</v>
      </c>
      <c r="K14" s="125">
        <v>343</v>
      </c>
      <c r="L14" s="125">
        <v>8</v>
      </c>
      <c r="M14" s="125">
        <v>351</v>
      </c>
      <c r="N14" s="126"/>
      <c r="O14" s="126"/>
      <c r="P14" s="126"/>
      <c r="Q14" s="127">
        <f>SUM(M6:M14)</f>
        <v>2530</v>
      </c>
      <c r="R14" s="127">
        <f t="shared" si="0"/>
        <v>69</v>
      </c>
      <c r="S14" s="39" t="s">
        <v>63</v>
      </c>
      <c r="T14" s="39"/>
      <c r="U14" s="39"/>
      <c r="V14" s="39"/>
    </row>
    <row r="15" spans="1:22" ht="18" customHeight="1" x14ac:dyDescent="0.3">
      <c r="A15" s="46" t="s">
        <v>11</v>
      </c>
      <c r="B15" s="47">
        <v>34171</v>
      </c>
      <c r="C15" s="46">
        <v>460</v>
      </c>
      <c r="D15" s="46">
        <v>436</v>
      </c>
      <c r="E15" s="249">
        <f t="shared" si="2"/>
        <v>94.782608695652172</v>
      </c>
      <c r="F15" s="46">
        <v>24</v>
      </c>
      <c r="G15" s="282">
        <f t="shared" si="1"/>
        <v>5.2173913043478262</v>
      </c>
      <c r="H15" s="18"/>
      <c r="I15" s="18" t="s">
        <v>63</v>
      </c>
      <c r="J15" s="47">
        <v>34351</v>
      </c>
      <c r="K15" s="92">
        <v>374</v>
      </c>
      <c r="L15" s="92">
        <v>15</v>
      </c>
      <c r="M15" s="92">
        <v>389</v>
      </c>
      <c r="N15" s="12"/>
      <c r="O15" s="12"/>
      <c r="P15" s="12"/>
      <c r="Q15" s="13">
        <f>SUM(M6:M15)</f>
        <v>2919</v>
      </c>
      <c r="R15" s="13">
        <f t="shared" si="0"/>
        <v>71</v>
      </c>
    </row>
    <row r="16" spans="1:22" ht="18" customHeight="1" x14ac:dyDescent="0.3">
      <c r="A16" s="122" t="s">
        <v>12</v>
      </c>
      <c r="B16" s="123">
        <v>34207</v>
      </c>
      <c r="C16" s="122">
        <v>442</v>
      </c>
      <c r="D16" s="122">
        <v>425</v>
      </c>
      <c r="E16" s="249">
        <f t="shared" si="2"/>
        <v>96.15384615384616</v>
      </c>
      <c r="F16" s="122">
        <v>17</v>
      </c>
      <c r="G16" s="282">
        <f t="shared" si="1"/>
        <v>3.8461538461538463</v>
      </c>
      <c r="H16" s="128"/>
      <c r="I16" s="128"/>
      <c r="J16" s="123">
        <v>34386</v>
      </c>
      <c r="K16" s="125">
        <v>356</v>
      </c>
      <c r="L16" s="125">
        <v>12</v>
      </c>
      <c r="M16" s="125">
        <v>368</v>
      </c>
      <c r="N16" s="126"/>
      <c r="O16" s="126"/>
      <c r="P16" s="126"/>
      <c r="Q16" s="127">
        <f>SUM(M6:M16)</f>
        <v>3287</v>
      </c>
      <c r="R16" s="127">
        <f t="shared" si="0"/>
        <v>74</v>
      </c>
    </row>
    <row r="17" spans="1:20" ht="18" customHeight="1" x14ac:dyDescent="0.3">
      <c r="A17" s="46" t="s">
        <v>13</v>
      </c>
      <c r="B17" s="47">
        <v>34242</v>
      </c>
      <c r="C17" s="46">
        <v>442</v>
      </c>
      <c r="D17" s="46">
        <v>431</v>
      </c>
      <c r="E17" s="249">
        <f t="shared" si="2"/>
        <v>97.511312217194572</v>
      </c>
      <c r="F17" s="46">
        <v>11</v>
      </c>
      <c r="G17" s="282">
        <f t="shared" si="1"/>
        <v>2.4886877828054299</v>
      </c>
      <c r="H17" s="18"/>
      <c r="I17" s="18"/>
      <c r="J17" s="47">
        <v>34407</v>
      </c>
      <c r="K17" s="92">
        <v>300</v>
      </c>
      <c r="L17" s="92">
        <v>10</v>
      </c>
      <c r="M17" s="92">
        <v>310</v>
      </c>
      <c r="N17" s="12"/>
      <c r="O17" s="12"/>
      <c r="P17" s="12"/>
      <c r="Q17" s="13">
        <f>SUM(M6:M17)</f>
        <v>3597</v>
      </c>
      <c r="R17" s="13">
        <f t="shared" si="0"/>
        <v>132</v>
      </c>
    </row>
    <row r="18" spans="1:20" ht="18" customHeight="1" x14ac:dyDescent="0.3">
      <c r="A18" s="122" t="s">
        <v>14</v>
      </c>
      <c r="B18" s="123">
        <v>34283</v>
      </c>
      <c r="C18" s="122">
        <v>389</v>
      </c>
      <c r="D18" s="122">
        <v>382</v>
      </c>
      <c r="E18" s="260">
        <f t="shared" si="2"/>
        <v>98.200514138817482</v>
      </c>
      <c r="F18" s="122">
        <v>7</v>
      </c>
      <c r="G18" s="282">
        <f t="shared" si="1"/>
        <v>1.7994858611825193</v>
      </c>
      <c r="H18" s="128"/>
      <c r="I18" s="128" t="s">
        <v>63</v>
      </c>
      <c r="J18" s="123">
        <v>34456</v>
      </c>
      <c r="K18" s="125">
        <v>315</v>
      </c>
      <c r="L18" s="125">
        <v>2</v>
      </c>
      <c r="M18" s="125">
        <v>317</v>
      </c>
      <c r="N18" s="126"/>
      <c r="O18" s="126"/>
      <c r="P18" s="126"/>
      <c r="Q18" s="127">
        <f>SUM(M6:M18)</f>
        <v>3914</v>
      </c>
      <c r="R18" s="127">
        <f t="shared" si="0"/>
        <v>72</v>
      </c>
    </row>
    <row r="19" spans="1:20" ht="18" customHeight="1" x14ac:dyDescent="0.3">
      <c r="A19" s="46" t="s">
        <v>15</v>
      </c>
      <c r="B19" s="47">
        <v>34316</v>
      </c>
      <c r="C19" s="46">
        <v>374</v>
      </c>
      <c r="D19" s="46">
        <v>358</v>
      </c>
      <c r="E19" s="249">
        <f t="shared" si="2"/>
        <v>95.721925133689837</v>
      </c>
      <c r="F19" s="46">
        <v>16</v>
      </c>
      <c r="G19" s="282">
        <f t="shared" si="1"/>
        <v>4.2780748663101607</v>
      </c>
      <c r="H19" s="18"/>
      <c r="I19" s="18"/>
      <c r="J19" s="47">
        <v>34481</v>
      </c>
      <c r="K19" s="93">
        <v>234</v>
      </c>
      <c r="L19" s="93">
        <v>12</v>
      </c>
      <c r="M19" s="93">
        <v>246</v>
      </c>
      <c r="N19" s="41"/>
      <c r="O19" s="41"/>
      <c r="P19" s="41"/>
      <c r="Q19" s="42">
        <f>SUM(M6:M19)</f>
        <v>4160</v>
      </c>
      <c r="R19" s="42">
        <f t="shared" si="0"/>
        <v>128</v>
      </c>
      <c r="S19" s="39" t="s">
        <v>63</v>
      </c>
      <c r="T19" s="39"/>
    </row>
    <row r="20" spans="1:20" ht="18" customHeight="1" x14ac:dyDescent="0.3">
      <c r="A20" s="122" t="s">
        <v>16</v>
      </c>
      <c r="B20" s="123">
        <v>34348</v>
      </c>
      <c r="C20" s="122">
        <v>344</v>
      </c>
      <c r="D20" s="122">
        <v>327</v>
      </c>
      <c r="E20" s="249">
        <f t="shared" si="2"/>
        <v>95.058139534883722</v>
      </c>
      <c r="F20" s="122">
        <v>17</v>
      </c>
      <c r="G20" s="282">
        <f t="shared" si="1"/>
        <v>4.941860465116279</v>
      </c>
      <c r="H20" s="128"/>
      <c r="I20" s="128"/>
      <c r="J20" s="123">
        <v>34512</v>
      </c>
      <c r="K20" s="125">
        <v>234</v>
      </c>
      <c r="L20" s="125">
        <v>14</v>
      </c>
      <c r="M20" s="125">
        <v>248</v>
      </c>
      <c r="N20" s="126"/>
      <c r="O20" s="126"/>
      <c r="P20" s="126"/>
      <c r="Q20" s="127">
        <f>SUM(M6:M20)</f>
        <v>4408</v>
      </c>
      <c r="R20" s="127">
        <f t="shared" si="0"/>
        <v>96</v>
      </c>
    </row>
    <row r="21" spans="1:20" ht="18" customHeight="1" x14ac:dyDescent="0.3">
      <c r="A21" s="46" t="s">
        <v>17</v>
      </c>
      <c r="B21" s="47">
        <v>34376</v>
      </c>
      <c r="C21" s="46">
        <v>706</v>
      </c>
      <c r="D21" s="46">
        <v>650</v>
      </c>
      <c r="E21" s="249">
        <f t="shared" si="2"/>
        <v>92.067988668555245</v>
      </c>
      <c r="F21" s="46">
        <v>56</v>
      </c>
      <c r="G21" s="282">
        <f t="shared" si="1"/>
        <v>7.9320113314447589</v>
      </c>
      <c r="H21" s="18"/>
      <c r="I21" s="18" t="s">
        <v>63</v>
      </c>
      <c r="J21" s="47">
        <v>34544</v>
      </c>
      <c r="K21" s="92">
        <v>497</v>
      </c>
      <c r="L21" s="92">
        <v>43</v>
      </c>
      <c r="M21" s="92">
        <v>540</v>
      </c>
      <c r="N21" s="12"/>
      <c r="O21" s="12"/>
      <c r="P21" s="12"/>
      <c r="Q21" s="13">
        <f>SUM(M6:M21)</f>
        <v>4948</v>
      </c>
      <c r="R21" s="13">
        <f t="shared" si="0"/>
        <v>166</v>
      </c>
    </row>
    <row r="22" spans="1:20" ht="18" customHeight="1" x14ac:dyDescent="0.3">
      <c r="A22" s="122" t="s">
        <v>18</v>
      </c>
      <c r="B22" s="123">
        <v>34404</v>
      </c>
      <c r="C22" s="122">
        <v>400</v>
      </c>
      <c r="D22" s="122">
        <v>361</v>
      </c>
      <c r="E22" s="249">
        <f t="shared" si="2"/>
        <v>90.25</v>
      </c>
      <c r="F22" s="122">
        <v>39</v>
      </c>
      <c r="G22" s="282">
        <f t="shared" si="1"/>
        <v>9.75</v>
      </c>
      <c r="H22" s="128"/>
      <c r="I22" s="128"/>
      <c r="J22" s="123">
        <v>34583</v>
      </c>
      <c r="K22" s="125">
        <v>254</v>
      </c>
      <c r="L22" s="125">
        <v>26</v>
      </c>
      <c r="M22" s="125">
        <v>280</v>
      </c>
      <c r="N22" s="126"/>
      <c r="O22" s="126"/>
      <c r="P22" s="126"/>
      <c r="Q22" s="127">
        <f>SUM(M6:M22)</f>
        <v>5228</v>
      </c>
      <c r="R22" s="127">
        <f t="shared" si="0"/>
        <v>120</v>
      </c>
    </row>
    <row r="23" spans="1:20" ht="18" customHeight="1" x14ac:dyDescent="0.3">
      <c r="A23" s="46" t="s">
        <v>19</v>
      </c>
      <c r="B23" s="47">
        <v>34439</v>
      </c>
      <c r="C23" s="46">
        <v>375</v>
      </c>
      <c r="D23" s="46">
        <v>322</v>
      </c>
      <c r="E23" s="249">
        <f t="shared" si="2"/>
        <v>85.86666666666666</v>
      </c>
      <c r="F23" s="46">
        <v>53</v>
      </c>
      <c r="G23" s="282">
        <f t="shared" si="1"/>
        <v>14.133333333333333</v>
      </c>
      <c r="H23" s="18"/>
      <c r="I23" s="18"/>
      <c r="J23" s="47">
        <v>34610</v>
      </c>
      <c r="K23" s="92">
        <v>259</v>
      </c>
      <c r="L23" s="92">
        <v>28</v>
      </c>
      <c r="M23" s="92">
        <v>287</v>
      </c>
      <c r="N23" s="12"/>
      <c r="O23" s="12"/>
      <c r="P23" s="12"/>
      <c r="Q23" s="13">
        <f>SUM(M6:M23)</f>
        <v>5515</v>
      </c>
      <c r="R23" s="13">
        <f t="shared" si="0"/>
        <v>88</v>
      </c>
    </row>
    <row r="24" spans="1:20" ht="18" customHeight="1" x14ac:dyDescent="0.3">
      <c r="A24" s="122" t="s">
        <v>20</v>
      </c>
      <c r="B24" s="123">
        <v>34467</v>
      </c>
      <c r="C24" s="122">
        <v>451</v>
      </c>
      <c r="D24" s="122">
        <v>403</v>
      </c>
      <c r="E24" s="249">
        <f t="shared" si="2"/>
        <v>89.356984478935701</v>
      </c>
      <c r="F24" s="122">
        <v>48</v>
      </c>
      <c r="G24" s="282">
        <f t="shared" si="1"/>
        <v>10.643015521064301</v>
      </c>
      <c r="H24" s="128"/>
      <c r="I24" s="128" t="s">
        <v>63</v>
      </c>
      <c r="J24" s="123">
        <v>34628</v>
      </c>
      <c r="K24" s="125">
        <v>300</v>
      </c>
      <c r="L24" s="125">
        <v>30</v>
      </c>
      <c r="M24" s="125">
        <v>330</v>
      </c>
      <c r="N24" s="126"/>
      <c r="O24" s="126"/>
      <c r="P24" s="126"/>
      <c r="Q24" s="127">
        <f>SUM(M6:M24)</f>
        <v>5845</v>
      </c>
      <c r="R24" s="127">
        <f t="shared" si="0"/>
        <v>121</v>
      </c>
    </row>
    <row r="25" spans="1:20" ht="18" customHeight="1" x14ac:dyDescent="0.3">
      <c r="A25" s="46" t="s">
        <v>21</v>
      </c>
      <c r="B25" s="47">
        <v>34498</v>
      </c>
      <c r="C25" s="46">
        <v>452</v>
      </c>
      <c r="D25" s="46">
        <v>446</v>
      </c>
      <c r="E25" s="249">
        <f t="shared" si="2"/>
        <v>98.672566371681413</v>
      </c>
      <c r="F25" s="46">
        <v>6</v>
      </c>
      <c r="G25" s="282">
        <f t="shared" si="1"/>
        <v>1.3274336283185841</v>
      </c>
      <c r="H25" s="18"/>
      <c r="I25" s="18"/>
      <c r="J25" s="47">
        <v>34666</v>
      </c>
      <c r="K25" s="93">
        <v>363</v>
      </c>
      <c r="L25" s="93">
        <v>1</v>
      </c>
      <c r="M25" s="93">
        <v>364</v>
      </c>
      <c r="N25" s="41"/>
      <c r="O25" s="41"/>
      <c r="P25" s="41"/>
      <c r="Q25" s="42">
        <f>SUM(M6:M25)</f>
        <v>6209</v>
      </c>
      <c r="R25" s="42">
        <f t="shared" si="0"/>
        <v>88</v>
      </c>
      <c r="S25" s="39" t="s">
        <v>63</v>
      </c>
      <c r="T25" s="39"/>
    </row>
    <row r="26" spans="1:20" ht="18" customHeight="1" x14ac:dyDescent="0.3">
      <c r="A26" s="122" t="s">
        <v>22</v>
      </c>
      <c r="B26" s="123">
        <v>34527</v>
      </c>
      <c r="C26" s="122">
        <v>351</v>
      </c>
      <c r="D26" s="122">
        <v>342</v>
      </c>
      <c r="E26" s="249">
        <f t="shared" si="2"/>
        <v>97.435897435897431</v>
      </c>
      <c r="F26" s="122">
        <v>9</v>
      </c>
      <c r="G26" s="282">
        <f t="shared" si="1"/>
        <v>2.5641025641025643</v>
      </c>
      <c r="H26" s="128"/>
      <c r="I26" s="128"/>
      <c r="J26" s="123">
        <v>34715</v>
      </c>
      <c r="K26" s="125">
        <v>248</v>
      </c>
      <c r="L26" s="125">
        <v>6</v>
      </c>
      <c r="M26" s="125">
        <v>254</v>
      </c>
      <c r="N26" s="126"/>
      <c r="O26" s="126"/>
      <c r="P26" s="126"/>
      <c r="Q26" s="127">
        <f>SUM(M6:M26)</f>
        <v>6463</v>
      </c>
      <c r="R26" s="127">
        <f t="shared" si="0"/>
        <v>97</v>
      </c>
    </row>
    <row r="27" spans="1:20" ht="18" customHeight="1" x14ac:dyDescent="0.3">
      <c r="A27" s="46" t="s">
        <v>23</v>
      </c>
      <c r="B27" s="47">
        <v>34565</v>
      </c>
      <c r="C27" s="46">
        <v>600</v>
      </c>
      <c r="D27" s="46">
        <v>555</v>
      </c>
      <c r="E27" s="260">
        <f t="shared" si="2"/>
        <v>92.5</v>
      </c>
      <c r="F27" s="46">
        <v>45</v>
      </c>
      <c r="G27" s="282">
        <f t="shared" si="1"/>
        <v>7.5</v>
      </c>
      <c r="H27" s="18"/>
      <c r="I27" s="18" t="s">
        <v>97</v>
      </c>
      <c r="J27" s="47">
        <v>34750</v>
      </c>
      <c r="K27" s="92">
        <v>472</v>
      </c>
      <c r="L27" s="92">
        <v>28</v>
      </c>
      <c r="M27" s="92">
        <v>500</v>
      </c>
      <c r="N27" s="12"/>
      <c r="O27" s="12"/>
      <c r="P27" s="12"/>
      <c r="Q27" s="13">
        <f>SUM(M6:M27)</f>
        <v>6963</v>
      </c>
      <c r="R27" s="13">
        <f t="shared" si="0"/>
        <v>100</v>
      </c>
    </row>
    <row r="28" spans="1:20" ht="18" customHeight="1" x14ac:dyDescent="0.3">
      <c r="A28" s="122" t="s">
        <v>24</v>
      </c>
      <c r="B28" s="123">
        <v>34593</v>
      </c>
      <c r="C28" s="122">
        <v>358</v>
      </c>
      <c r="D28" s="122">
        <v>332</v>
      </c>
      <c r="E28" s="249">
        <f t="shared" si="2"/>
        <v>92.737430167597765</v>
      </c>
      <c r="F28" s="122">
        <v>26</v>
      </c>
      <c r="G28" s="282">
        <f t="shared" si="1"/>
        <v>7.2625698324022343</v>
      </c>
      <c r="H28" s="128"/>
      <c r="I28" s="128"/>
      <c r="J28" s="123">
        <v>34789</v>
      </c>
      <c r="K28" s="125">
        <v>247</v>
      </c>
      <c r="L28" s="125">
        <v>14</v>
      </c>
      <c r="M28" s="125">
        <v>261</v>
      </c>
      <c r="N28" s="126"/>
      <c r="O28" s="126"/>
      <c r="P28" s="126"/>
      <c r="Q28" s="127">
        <f>SUM(M6:M28)</f>
        <v>7224</v>
      </c>
      <c r="R28" s="127">
        <f t="shared" si="0"/>
        <v>97</v>
      </c>
    </row>
    <row r="29" spans="1:20" ht="18" customHeight="1" x14ac:dyDescent="0.3">
      <c r="A29" s="46" t="s">
        <v>25</v>
      </c>
      <c r="B29" s="47">
        <v>34624</v>
      </c>
      <c r="C29" s="46">
        <v>457</v>
      </c>
      <c r="D29" s="46">
        <v>421</v>
      </c>
      <c r="E29" s="249">
        <f t="shared" si="2"/>
        <v>92.122538293216635</v>
      </c>
      <c r="F29" s="46">
        <v>36</v>
      </c>
      <c r="G29" s="282">
        <f t="shared" si="1"/>
        <v>7.8774617067833699</v>
      </c>
      <c r="H29" s="18"/>
      <c r="I29" s="18"/>
      <c r="J29" s="47">
        <v>34789</v>
      </c>
      <c r="K29" s="92">
        <v>304</v>
      </c>
      <c r="L29" s="92">
        <v>26</v>
      </c>
      <c r="M29" s="92">
        <v>330</v>
      </c>
      <c r="N29" s="12"/>
      <c r="O29" s="12"/>
      <c r="P29" s="12"/>
      <c r="Q29" s="13">
        <f>SUM(M6:M29)</f>
        <v>7554</v>
      </c>
      <c r="R29" s="13">
        <f t="shared" si="0"/>
        <v>127</v>
      </c>
    </row>
    <row r="30" spans="1:20" ht="18" customHeight="1" x14ac:dyDescent="0.3">
      <c r="A30" s="122" t="s">
        <v>26</v>
      </c>
      <c r="B30" s="123">
        <v>34653</v>
      </c>
      <c r="C30" s="122">
        <v>426</v>
      </c>
      <c r="D30" s="197">
        <v>391</v>
      </c>
      <c r="E30" s="249">
        <f t="shared" si="2"/>
        <v>91.784037558685441</v>
      </c>
      <c r="F30" s="197">
        <v>35</v>
      </c>
      <c r="G30" s="282">
        <f t="shared" si="1"/>
        <v>8.215962441314554</v>
      </c>
      <c r="H30" s="128"/>
      <c r="I30" s="128" t="s">
        <v>98</v>
      </c>
      <c r="J30" s="123">
        <v>34858</v>
      </c>
      <c r="K30" s="125">
        <v>283</v>
      </c>
      <c r="L30" s="125">
        <v>28</v>
      </c>
      <c r="M30" s="125">
        <v>311</v>
      </c>
      <c r="N30" s="126"/>
      <c r="O30" s="126"/>
      <c r="P30" s="126"/>
      <c r="Q30" s="127">
        <f>SUM(M6:M30)</f>
        <v>7865</v>
      </c>
      <c r="R30" s="127">
        <f t="shared" si="0"/>
        <v>115</v>
      </c>
      <c r="S30" s="39" t="s">
        <v>63</v>
      </c>
      <c r="T30" s="39"/>
    </row>
    <row r="31" spans="1:20" ht="18" customHeight="1" x14ac:dyDescent="0.3">
      <c r="A31" s="46" t="s">
        <v>27</v>
      </c>
      <c r="B31" s="47">
        <v>34703</v>
      </c>
      <c r="C31" s="46">
        <v>395</v>
      </c>
      <c r="D31" s="46">
        <v>364</v>
      </c>
      <c r="E31" s="249">
        <f t="shared" si="2"/>
        <v>92.151898734177209</v>
      </c>
      <c r="F31" s="46">
        <v>31</v>
      </c>
      <c r="G31" s="282">
        <f t="shared" si="1"/>
        <v>7.8481012658227849</v>
      </c>
      <c r="H31" s="47">
        <v>34904</v>
      </c>
      <c r="I31" s="67"/>
      <c r="J31" s="47">
        <v>34996</v>
      </c>
      <c r="K31" s="92">
        <v>257</v>
      </c>
      <c r="L31" s="92">
        <v>19</v>
      </c>
      <c r="M31" s="92">
        <v>276</v>
      </c>
      <c r="N31" s="12"/>
      <c r="O31" s="12"/>
      <c r="P31" s="12"/>
      <c r="Q31" s="13">
        <f>SUM(M6:M31)</f>
        <v>8141</v>
      </c>
      <c r="R31" s="13">
        <f t="shared" si="0"/>
        <v>119</v>
      </c>
    </row>
    <row r="32" spans="1:20" ht="18" customHeight="1" x14ac:dyDescent="0.3">
      <c r="A32" s="122" t="s">
        <v>28</v>
      </c>
      <c r="B32" s="123">
        <v>34739</v>
      </c>
      <c r="C32" s="122">
        <v>408</v>
      </c>
      <c r="D32" s="122">
        <v>369</v>
      </c>
      <c r="E32" s="249">
        <f t="shared" si="2"/>
        <v>90.441176470588232</v>
      </c>
      <c r="F32" s="122">
        <v>39</v>
      </c>
      <c r="G32" s="282">
        <f t="shared" si="1"/>
        <v>9.5588235294117645</v>
      </c>
      <c r="H32" s="123">
        <v>34904</v>
      </c>
      <c r="I32" s="129"/>
      <c r="J32" s="123">
        <v>34996</v>
      </c>
      <c r="K32" s="125">
        <v>250</v>
      </c>
      <c r="L32" s="125">
        <v>31</v>
      </c>
      <c r="M32" s="125">
        <v>281</v>
      </c>
      <c r="N32" s="126"/>
      <c r="O32" s="126"/>
      <c r="P32" s="126"/>
      <c r="Q32" s="127">
        <f>SUM(M6:M32)</f>
        <v>8422</v>
      </c>
      <c r="R32" s="127">
        <f t="shared" si="0"/>
        <v>127</v>
      </c>
    </row>
    <row r="33" spans="1:20" ht="18" customHeight="1" x14ac:dyDescent="0.3">
      <c r="A33" s="46" t="s">
        <v>29</v>
      </c>
      <c r="B33" s="47">
        <v>34775</v>
      </c>
      <c r="C33" s="46">
        <v>630</v>
      </c>
      <c r="D33" s="46">
        <v>580</v>
      </c>
      <c r="E33" s="249">
        <f t="shared" si="2"/>
        <v>92.063492063492063</v>
      </c>
      <c r="F33" s="46">
        <v>50</v>
      </c>
      <c r="G33" s="282">
        <f t="shared" si="1"/>
        <v>7.9365079365079367</v>
      </c>
      <c r="H33" s="47">
        <v>34941</v>
      </c>
      <c r="I33" s="67" t="s">
        <v>99</v>
      </c>
      <c r="J33" s="47">
        <v>35033</v>
      </c>
      <c r="K33" s="92">
        <v>412</v>
      </c>
      <c r="L33" s="92">
        <v>29</v>
      </c>
      <c r="M33" s="92">
        <v>441</v>
      </c>
      <c r="N33" s="12"/>
      <c r="O33" s="12"/>
      <c r="P33" s="12"/>
      <c r="Q33" s="13">
        <f>SUM(M6:M33)</f>
        <v>8863</v>
      </c>
      <c r="R33" s="13">
        <f t="shared" si="0"/>
        <v>189</v>
      </c>
    </row>
    <row r="34" spans="1:20" ht="18" customHeight="1" x14ac:dyDescent="0.3">
      <c r="A34" s="122" t="s">
        <v>30</v>
      </c>
      <c r="B34" s="123">
        <v>34814</v>
      </c>
      <c r="C34" s="122">
        <v>737</v>
      </c>
      <c r="D34" s="122">
        <v>689</v>
      </c>
      <c r="E34" s="249">
        <f t="shared" si="2"/>
        <v>93.487109905020347</v>
      </c>
      <c r="F34" s="122">
        <v>48</v>
      </c>
      <c r="G34" s="282">
        <f t="shared" si="1"/>
        <v>6.5128900949796469</v>
      </c>
      <c r="H34" s="123">
        <v>34964</v>
      </c>
      <c r="I34" s="129"/>
      <c r="J34" s="123">
        <v>35055</v>
      </c>
      <c r="K34" s="125">
        <v>478</v>
      </c>
      <c r="L34" s="125">
        <v>33</v>
      </c>
      <c r="M34" s="125">
        <v>511</v>
      </c>
      <c r="N34" s="126"/>
      <c r="O34" s="126"/>
      <c r="P34" s="126"/>
      <c r="Q34" s="127">
        <f>SUM(M6:M34)</f>
        <v>9374</v>
      </c>
      <c r="R34" s="127">
        <f t="shared" si="0"/>
        <v>226</v>
      </c>
      <c r="S34" s="39" t="s">
        <v>63</v>
      </c>
      <c r="T34" s="39"/>
    </row>
    <row r="35" spans="1:20" ht="18" customHeight="1" x14ac:dyDescent="0.3">
      <c r="A35" s="46" t="s">
        <v>31</v>
      </c>
      <c r="B35" s="47">
        <v>34856</v>
      </c>
      <c r="C35" s="46">
        <v>540</v>
      </c>
      <c r="D35" s="46">
        <v>506</v>
      </c>
      <c r="E35" s="260">
        <f t="shared" si="2"/>
        <v>93.703703703703709</v>
      </c>
      <c r="F35" s="46">
        <v>34</v>
      </c>
      <c r="G35" s="282">
        <f t="shared" si="1"/>
        <v>6.2962962962962967</v>
      </c>
      <c r="H35" s="47">
        <v>35022</v>
      </c>
      <c r="I35" s="67"/>
      <c r="J35" s="47">
        <v>35114</v>
      </c>
      <c r="K35" s="92">
        <v>371</v>
      </c>
      <c r="L35" s="92">
        <v>15</v>
      </c>
      <c r="M35" s="92">
        <v>386</v>
      </c>
      <c r="N35" s="12"/>
      <c r="O35" s="12"/>
      <c r="P35" s="12"/>
      <c r="Q35" s="13">
        <f>SUM(M6:M35)</f>
        <v>9760</v>
      </c>
      <c r="R35" s="13">
        <f t="shared" si="0"/>
        <v>154</v>
      </c>
    </row>
    <row r="36" spans="1:20" ht="18" customHeight="1" x14ac:dyDescent="0.3">
      <c r="A36" s="122" t="s">
        <v>32</v>
      </c>
      <c r="B36" s="123">
        <v>34890</v>
      </c>
      <c r="C36" s="122">
        <v>647</v>
      </c>
      <c r="D36" s="122">
        <v>612</v>
      </c>
      <c r="E36" s="249">
        <f t="shared" si="2"/>
        <v>94.590417310664606</v>
      </c>
      <c r="F36" s="122">
        <v>35</v>
      </c>
      <c r="G36" s="282">
        <f t="shared" si="1"/>
        <v>5.4095826893353944</v>
      </c>
      <c r="H36" s="123">
        <v>35045</v>
      </c>
      <c r="I36" s="129" t="s">
        <v>100</v>
      </c>
      <c r="J36" s="123">
        <v>35136</v>
      </c>
      <c r="K36" s="125">
        <v>431</v>
      </c>
      <c r="L36" s="125">
        <v>19</v>
      </c>
      <c r="M36" s="125">
        <v>450</v>
      </c>
      <c r="N36" s="126"/>
      <c r="O36" s="126"/>
      <c r="P36" s="126"/>
      <c r="Q36" s="127">
        <f>SUM(M6:M36)</f>
        <v>10210</v>
      </c>
      <c r="R36" s="127">
        <f t="shared" si="0"/>
        <v>197</v>
      </c>
    </row>
    <row r="37" spans="1:20" ht="18" customHeight="1" x14ac:dyDescent="0.3">
      <c r="A37" s="46" t="s">
        <v>33</v>
      </c>
      <c r="B37" s="47">
        <v>34927</v>
      </c>
      <c r="C37" s="46">
        <v>600</v>
      </c>
      <c r="D37" s="46">
        <v>566</v>
      </c>
      <c r="E37" s="249">
        <f t="shared" si="2"/>
        <v>94.333333333333329</v>
      </c>
      <c r="F37" s="46">
        <v>34</v>
      </c>
      <c r="G37" s="282">
        <f t="shared" si="1"/>
        <v>5.666666666666667</v>
      </c>
      <c r="H37" s="47">
        <v>35095</v>
      </c>
      <c r="I37" s="67"/>
      <c r="J37" s="47">
        <v>35184</v>
      </c>
      <c r="K37" s="92">
        <v>378</v>
      </c>
      <c r="L37" s="92">
        <v>12</v>
      </c>
      <c r="M37" s="92">
        <v>390</v>
      </c>
      <c r="N37" s="12"/>
      <c r="O37" s="12"/>
      <c r="P37" s="12"/>
      <c r="Q37" s="13">
        <f>SUM(M6:M37)</f>
        <v>10600</v>
      </c>
      <c r="R37" s="13">
        <f t="shared" si="0"/>
        <v>210</v>
      </c>
    </row>
    <row r="38" spans="1:20" ht="18" customHeight="1" x14ac:dyDescent="0.3">
      <c r="A38" s="122" t="s">
        <v>34</v>
      </c>
      <c r="B38" s="123">
        <v>34965</v>
      </c>
      <c r="C38" s="122">
        <v>616</v>
      </c>
      <c r="D38" s="122">
        <v>559</v>
      </c>
      <c r="E38" s="260">
        <f t="shared" si="2"/>
        <v>90.746753246753244</v>
      </c>
      <c r="F38" s="122">
        <v>57</v>
      </c>
      <c r="G38" s="282">
        <f t="shared" si="1"/>
        <v>9.2532467532467528</v>
      </c>
      <c r="H38" s="123">
        <v>35142</v>
      </c>
      <c r="I38" s="129"/>
      <c r="J38" s="123">
        <v>35219</v>
      </c>
      <c r="K38" s="125">
        <v>487</v>
      </c>
      <c r="L38" s="125">
        <v>27</v>
      </c>
      <c r="M38" s="125">
        <v>514</v>
      </c>
      <c r="N38" s="126"/>
      <c r="O38" s="126"/>
      <c r="P38" s="126"/>
      <c r="Q38" s="127">
        <f>SUM(M6:M38)</f>
        <v>11114</v>
      </c>
      <c r="R38" s="127">
        <f t="shared" si="0"/>
        <v>102</v>
      </c>
    </row>
    <row r="39" spans="1:20" ht="18" customHeight="1" x14ac:dyDescent="0.3">
      <c r="A39" s="46" t="s">
        <v>35</v>
      </c>
      <c r="B39" s="47">
        <v>34997</v>
      </c>
      <c r="C39" s="46">
        <v>550</v>
      </c>
      <c r="D39" s="46">
        <v>500</v>
      </c>
      <c r="E39" s="249">
        <f t="shared" si="2"/>
        <v>90.909090909090907</v>
      </c>
      <c r="F39" s="46">
        <v>50</v>
      </c>
      <c r="G39" s="282">
        <f t="shared" si="1"/>
        <v>9.0909090909090917</v>
      </c>
      <c r="H39" s="47">
        <v>35172</v>
      </c>
      <c r="I39" s="67" t="s">
        <v>101</v>
      </c>
      <c r="J39" s="47">
        <v>35277</v>
      </c>
      <c r="K39" s="92">
        <v>296</v>
      </c>
      <c r="L39" s="92">
        <v>19</v>
      </c>
      <c r="M39" s="92">
        <v>315</v>
      </c>
      <c r="N39" s="12"/>
      <c r="O39" s="12"/>
      <c r="P39" s="12"/>
      <c r="Q39" s="13">
        <f>SUM(M6:M39)</f>
        <v>11429</v>
      </c>
      <c r="R39" s="13">
        <f t="shared" si="0"/>
        <v>235</v>
      </c>
    </row>
    <row r="40" spans="1:20" ht="18" customHeight="1" x14ac:dyDescent="0.3">
      <c r="A40" s="122" t="s">
        <v>36</v>
      </c>
      <c r="B40" s="123">
        <v>35037</v>
      </c>
      <c r="C40" s="122">
        <v>755</v>
      </c>
      <c r="D40" s="122">
        <v>688</v>
      </c>
      <c r="E40" s="249">
        <f t="shared" si="2"/>
        <v>91.125827814569533</v>
      </c>
      <c r="F40" s="122">
        <v>67</v>
      </c>
      <c r="G40" s="282">
        <f t="shared" si="1"/>
        <v>8.8741721854304636</v>
      </c>
      <c r="H40" s="123">
        <v>35205</v>
      </c>
      <c r="I40" s="129"/>
      <c r="J40" s="123">
        <v>35307</v>
      </c>
      <c r="K40" s="125">
        <v>372</v>
      </c>
      <c r="L40" s="125">
        <v>27</v>
      </c>
      <c r="M40" s="125">
        <v>399</v>
      </c>
      <c r="N40" s="126"/>
      <c r="O40" s="126"/>
      <c r="P40" s="126"/>
      <c r="Q40" s="127">
        <f>SUM(M6:M40)</f>
        <v>11828</v>
      </c>
      <c r="R40" s="127">
        <f t="shared" si="0"/>
        <v>356</v>
      </c>
      <c r="S40" s="39" t="s">
        <v>63</v>
      </c>
      <c r="T40" s="39"/>
    </row>
    <row r="41" spans="1:20" ht="18" customHeight="1" x14ac:dyDescent="0.3">
      <c r="A41" s="46" t="s">
        <v>41</v>
      </c>
      <c r="B41" s="47">
        <v>35087</v>
      </c>
      <c r="C41" s="46">
        <v>614</v>
      </c>
      <c r="D41" s="46">
        <v>566</v>
      </c>
      <c r="E41" s="249">
        <f t="shared" si="2"/>
        <v>92.182410423452765</v>
      </c>
      <c r="F41" s="46">
        <v>48</v>
      </c>
      <c r="G41" s="282">
        <f t="shared" si="1"/>
        <v>7.8175895765472312</v>
      </c>
      <c r="H41" s="47">
        <v>35248</v>
      </c>
      <c r="I41" s="67"/>
      <c r="J41" s="47">
        <v>35340</v>
      </c>
      <c r="K41" s="92">
        <v>408</v>
      </c>
      <c r="L41" s="92">
        <v>24</v>
      </c>
      <c r="M41" s="92">
        <v>432</v>
      </c>
      <c r="N41" s="12"/>
      <c r="O41" s="12"/>
      <c r="P41" s="12"/>
      <c r="Q41" s="13">
        <f>SUM(M6:M41)</f>
        <v>12260</v>
      </c>
      <c r="R41" s="13">
        <f t="shared" si="0"/>
        <v>182</v>
      </c>
    </row>
    <row r="42" spans="1:20" ht="18" customHeight="1" x14ac:dyDescent="0.3">
      <c r="A42" s="122" t="s">
        <v>42</v>
      </c>
      <c r="B42" s="123">
        <v>35127</v>
      </c>
      <c r="C42" s="122">
        <v>700</v>
      </c>
      <c r="D42" s="122">
        <v>624</v>
      </c>
      <c r="E42" s="249">
        <f t="shared" si="2"/>
        <v>89.142857142857139</v>
      </c>
      <c r="F42" s="122">
        <v>76</v>
      </c>
      <c r="G42" s="282">
        <f t="shared" si="1"/>
        <v>10.857142857142858</v>
      </c>
      <c r="H42" s="123">
        <v>35282</v>
      </c>
      <c r="I42" s="130">
        <v>71</v>
      </c>
      <c r="J42" s="123">
        <v>35374</v>
      </c>
      <c r="K42" s="125">
        <v>393</v>
      </c>
      <c r="L42" s="125">
        <v>32</v>
      </c>
      <c r="M42" s="125">
        <v>425</v>
      </c>
      <c r="N42" s="126"/>
      <c r="O42" s="126"/>
      <c r="P42" s="126"/>
      <c r="Q42" s="127">
        <f>SUM(M6:M42)</f>
        <v>12685</v>
      </c>
      <c r="R42" s="127">
        <f t="shared" si="0"/>
        <v>275</v>
      </c>
    </row>
    <row r="43" spans="1:20" ht="18" customHeight="1" x14ac:dyDescent="0.3">
      <c r="A43" s="46" t="s">
        <v>43</v>
      </c>
      <c r="B43" s="47">
        <v>35166</v>
      </c>
      <c r="C43" s="46">
        <v>652</v>
      </c>
      <c r="D43" s="46">
        <v>593</v>
      </c>
      <c r="E43" s="249">
        <f t="shared" si="2"/>
        <v>90.950920245398777</v>
      </c>
      <c r="F43" s="46">
        <v>59</v>
      </c>
      <c r="G43" s="282">
        <f t="shared" si="1"/>
        <v>9.0490797546012267</v>
      </c>
      <c r="H43" s="47">
        <v>35306</v>
      </c>
      <c r="I43" s="67"/>
      <c r="J43" s="47">
        <v>35398</v>
      </c>
      <c r="K43" s="92">
        <v>403</v>
      </c>
      <c r="L43" s="92">
        <v>34</v>
      </c>
      <c r="M43" s="92">
        <v>437</v>
      </c>
      <c r="N43" s="12"/>
      <c r="O43" s="12"/>
      <c r="P43" s="12"/>
      <c r="Q43" s="13">
        <f>SUM(M6:M43)</f>
        <v>13122</v>
      </c>
      <c r="R43" s="13">
        <f t="shared" si="0"/>
        <v>215</v>
      </c>
    </row>
    <row r="44" spans="1:20" ht="18" customHeight="1" x14ac:dyDescent="0.3">
      <c r="A44" s="122" t="s">
        <v>44</v>
      </c>
      <c r="B44" s="123">
        <v>35200</v>
      </c>
      <c r="C44" s="122">
        <v>590</v>
      </c>
      <c r="D44" s="122">
        <v>524</v>
      </c>
      <c r="E44" s="249">
        <f t="shared" si="2"/>
        <v>88.813559322033896</v>
      </c>
      <c r="F44" s="122">
        <v>66</v>
      </c>
      <c r="G44" s="282">
        <f t="shared" si="1"/>
        <v>11.186440677966102</v>
      </c>
      <c r="H44" s="123">
        <v>35348</v>
      </c>
      <c r="I44" s="129"/>
      <c r="J44" s="123">
        <v>35419</v>
      </c>
      <c r="K44" s="125">
        <v>444</v>
      </c>
      <c r="L44" s="125">
        <v>29</v>
      </c>
      <c r="M44" s="125">
        <v>473</v>
      </c>
      <c r="N44" s="126"/>
      <c r="O44" s="126"/>
      <c r="P44" s="126"/>
      <c r="Q44" s="127">
        <f>SUM(M6:M44)</f>
        <v>13595</v>
      </c>
      <c r="R44" s="127">
        <f t="shared" si="0"/>
        <v>117</v>
      </c>
      <c r="S44" s="39" t="s">
        <v>63</v>
      </c>
      <c r="T44" s="39"/>
    </row>
    <row r="45" spans="1:20" ht="18" customHeight="1" x14ac:dyDescent="0.3">
      <c r="A45" s="46" t="s">
        <v>45</v>
      </c>
      <c r="B45" s="47">
        <v>35232</v>
      </c>
      <c r="C45" s="46">
        <v>600</v>
      </c>
      <c r="D45" s="46">
        <v>541</v>
      </c>
      <c r="E45" s="249">
        <f t="shared" si="2"/>
        <v>90.166666666666671</v>
      </c>
      <c r="F45" s="46">
        <v>59</v>
      </c>
      <c r="G45" s="282">
        <f t="shared" si="1"/>
        <v>9.8333333333333339</v>
      </c>
      <c r="H45" s="47">
        <v>35380</v>
      </c>
      <c r="I45" s="67"/>
      <c r="J45" s="47">
        <v>35472</v>
      </c>
      <c r="K45" s="92">
        <v>347</v>
      </c>
      <c r="L45" s="92">
        <v>18</v>
      </c>
      <c r="M45" s="92">
        <v>365</v>
      </c>
      <c r="N45" s="12"/>
      <c r="O45" s="12"/>
      <c r="P45" s="12"/>
      <c r="Q45" s="13">
        <f>SUM(M6:M45)</f>
        <v>13960</v>
      </c>
      <c r="R45" s="13">
        <f t="shared" si="0"/>
        <v>235</v>
      </c>
    </row>
    <row r="46" spans="1:20" ht="18" customHeight="1" x14ac:dyDescent="0.3">
      <c r="A46" s="122" t="s">
        <v>46</v>
      </c>
      <c r="B46" s="123">
        <v>35276</v>
      </c>
      <c r="C46" s="122">
        <v>600</v>
      </c>
      <c r="D46" s="122">
        <v>542</v>
      </c>
      <c r="E46" s="249">
        <f t="shared" si="2"/>
        <v>90.333333333333329</v>
      </c>
      <c r="F46" s="122">
        <v>58</v>
      </c>
      <c r="G46" s="282">
        <f t="shared" si="1"/>
        <v>9.6666666666666661</v>
      </c>
      <c r="H46" s="123">
        <v>35418</v>
      </c>
      <c r="I46" s="129"/>
      <c r="J46" s="123">
        <v>35510</v>
      </c>
      <c r="K46" s="125">
        <v>418</v>
      </c>
      <c r="L46" s="125">
        <v>27</v>
      </c>
      <c r="M46" s="125">
        <v>445</v>
      </c>
      <c r="N46" s="126"/>
      <c r="O46" s="126"/>
      <c r="P46" s="126"/>
      <c r="Q46" s="127">
        <f>SUM(M6:M46)</f>
        <v>14405</v>
      </c>
      <c r="R46" s="127">
        <f t="shared" si="0"/>
        <v>155</v>
      </c>
    </row>
    <row r="47" spans="1:20" ht="18" customHeight="1" x14ac:dyDescent="0.3">
      <c r="A47" s="46" t="s">
        <v>47</v>
      </c>
      <c r="B47" s="47">
        <v>35291</v>
      </c>
      <c r="C47" s="46">
        <v>600</v>
      </c>
      <c r="D47" s="46">
        <v>518</v>
      </c>
      <c r="E47" s="249">
        <f t="shared" si="2"/>
        <v>86.333333333333329</v>
      </c>
      <c r="F47" s="46">
        <v>82</v>
      </c>
      <c r="G47" s="282">
        <f t="shared" si="1"/>
        <v>13.666666666666666</v>
      </c>
      <c r="H47" s="47">
        <v>35467</v>
      </c>
      <c r="I47" s="67"/>
      <c r="J47" s="47">
        <v>35559</v>
      </c>
      <c r="K47" s="92">
        <v>400</v>
      </c>
      <c r="L47" s="92">
        <v>29</v>
      </c>
      <c r="M47" s="92">
        <v>429</v>
      </c>
      <c r="N47" s="12"/>
      <c r="O47" s="12"/>
      <c r="P47" s="12"/>
      <c r="Q47" s="13">
        <f>SUM(M6:M47)</f>
        <v>14834</v>
      </c>
      <c r="R47" s="13">
        <f t="shared" si="0"/>
        <v>171</v>
      </c>
    </row>
    <row r="48" spans="1:20" ht="18" customHeight="1" x14ac:dyDescent="0.3">
      <c r="A48" s="122" t="s">
        <v>48</v>
      </c>
      <c r="B48" s="123">
        <v>35345</v>
      </c>
      <c r="C48" s="122">
        <v>350</v>
      </c>
      <c r="D48" s="122">
        <v>305</v>
      </c>
      <c r="E48" s="249">
        <f t="shared" si="2"/>
        <v>87.142857142857139</v>
      </c>
      <c r="F48" s="122">
        <v>45</v>
      </c>
      <c r="G48" s="282">
        <f t="shared" si="1"/>
        <v>12.857142857142858</v>
      </c>
      <c r="H48" s="123">
        <v>35502</v>
      </c>
      <c r="I48" s="129"/>
      <c r="J48" s="123">
        <v>35605</v>
      </c>
      <c r="K48" s="125">
        <v>256</v>
      </c>
      <c r="L48" s="125">
        <v>21</v>
      </c>
      <c r="M48" s="125">
        <v>277</v>
      </c>
      <c r="N48" s="126"/>
      <c r="O48" s="126"/>
      <c r="P48" s="126"/>
      <c r="Q48" s="127">
        <f>SUM(M6:M48)</f>
        <v>15111</v>
      </c>
      <c r="R48" s="127">
        <f t="shared" si="0"/>
        <v>73</v>
      </c>
    </row>
    <row r="49" spans="1:23" ht="18" customHeight="1" x14ac:dyDescent="0.3">
      <c r="A49" s="46" t="s">
        <v>49</v>
      </c>
      <c r="B49" s="47">
        <v>35380</v>
      </c>
      <c r="C49" s="46">
        <v>225</v>
      </c>
      <c r="D49" s="46">
        <v>188</v>
      </c>
      <c r="E49" s="249">
        <f t="shared" si="2"/>
        <v>83.555555555555557</v>
      </c>
      <c r="F49" s="46">
        <v>37</v>
      </c>
      <c r="G49" s="282">
        <f t="shared" si="1"/>
        <v>16.444444444444443</v>
      </c>
      <c r="H49" s="47">
        <v>35549</v>
      </c>
      <c r="I49" s="67"/>
      <c r="J49" s="47">
        <v>35640</v>
      </c>
      <c r="K49" s="92">
        <v>166</v>
      </c>
      <c r="L49" s="92">
        <v>14</v>
      </c>
      <c r="M49" s="92">
        <v>180</v>
      </c>
      <c r="N49" s="12"/>
      <c r="O49" s="12"/>
      <c r="P49" s="12"/>
      <c r="Q49" s="13">
        <f>SUM(M6:M49)</f>
        <v>15291</v>
      </c>
      <c r="R49" s="13">
        <f t="shared" si="0"/>
        <v>45</v>
      </c>
    </row>
    <row r="50" spans="1:23" ht="18" customHeight="1" x14ac:dyDescent="0.3">
      <c r="A50" s="131" t="s">
        <v>50</v>
      </c>
      <c r="B50" s="123">
        <v>35415</v>
      </c>
      <c r="C50" s="122">
        <v>241</v>
      </c>
      <c r="D50" s="122">
        <v>214</v>
      </c>
      <c r="E50" s="260">
        <f t="shared" si="2"/>
        <v>88.796680497925308</v>
      </c>
      <c r="F50" s="122">
        <v>27</v>
      </c>
      <c r="G50" s="282">
        <f t="shared" si="1"/>
        <v>11.203319502074688</v>
      </c>
      <c r="H50" s="123">
        <v>35598</v>
      </c>
      <c r="I50" s="129"/>
      <c r="J50" s="123">
        <v>35689</v>
      </c>
      <c r="K50" s="125">
        <v>149</v>
      </c>
      <c r="L50" s="125">
        <v>7</v>
      </c>
      <c r="M50" s="125">
        <v>156</v>
      </c>
      <c r="N50" s="126"/>
      <c r="O50" s="126"/>
      <c r="P50" s="126"/>
      <c r="Q50" s="127">
        <f>SUM(M6:M50)</f>
        <v>15447</v>
      </c>
      <c r="R50" s="127">
        <f t="shared" si="0"/>
        <v>85</v>
      </c>
      <c r="S50" s="39" t="s">
        <v>63</v>
      </c>
      <c r="T50" s="39"/>
    </row>
    <row r="51" spans="1:23" ht="18" customHeight="1" x14ac:dyDescent="0.3">
      <c r="A51" s="46" t="s">
        <v>51</v>
      </c>
      <c r="B51" s="47">
        <v>35472</v>
      </c>
      <c r="C51" s="46">
        <v>685</v>
      </c>
      <c r="D51" s="46">
        <v>621</v>
      </c>
      <c r="E51" s="249">
        <f t="shared" si="2"/>
        <v>90.65693430656934</v>
      </c>
      <c r="F51" s="46">
        <v>64</v>
      </c>
      <c r="G51" s="282">
        <f t="shared" si="1"/>
        <v>9.3430656934306562</v>
      </c>
      <c r="H51" s="47">
        <v>35642</v>
      </c>
      <c r="I51" s="76"/>
      <c r="J51" s="47">
        <v>35726</v>
      </c>
      <c r="K51" s="92">
        <v>368</v>
      </c>
      <c r="L51" s="92">
        <v>24</v>
      </c>
      <c r="M51" s="92">
        <v>392</v>
      </c>
      <c r="N51" s="12"/>
      <c r="O51" s="12"/>
      <c r="P51" s="12"/>
      <c r="Q51" s="13">
        <f>SUM(M6:M51)</f>
        <v>15839</v>
      </c>
      <c r="R51" s="13">
        <f t="shared" si="0"/>
        <v>293</v>
      </c>
    </row>
    <row r="52" spans="1:23" ht="18" customHeight="1" x14ac:dyDescent="0.3">
      <c r="A52" s="131" t="s">
        <v>52</v>
      </c>
      <c r="B52" s="123">
        <v>35506</v>
      </c>
      <c r="C52" s="131">
        <v>232</v>
      </c>
      <c r="D52" s="131">
        <v>204</v>
      </c>
      <c r="E52" s="249">
        <f t="shared" si="2"/>
        <v>87.931034482758619</v>
      </c>
      <c r="F52" s="131">
        <v>28</v>
      </c>
      <c r="G52" s="282">
        <f t="shared" si="1"/>
        <v>12.068965517241379</v>
      </c>
      <c r="H52" s="123">
        <v>35692</v>
      </c>
      <c r="I52" s="132"/>
      <c r="J52" s="123">
        <v>35783</v>
      </c>
      <c r="K52" s="125">
        <v>196</v>
      </c>
      <c r="L52" s="125">
        <v>7</v>
      </c>
      <c r="M52" s="125">
        <v>203</v>
      </c>
      <c r="N52" s="126"/>
      <c r="O52" s="126"/>
      <c r="P52" s="126"/>
      <c r="Q52" s="127">
        <f>SUM(M6:M52)</f>
        <v>16042</v>
      </c>
      <c r="R52" s="127">
        <f t="shared" si="0"/>
        <v>29</v>
      </c>
      <c r="S52" s="39" t="s">
        <v>63</v>
      </c>
      <c r="T52" s="39"/>
    </row>
    <row r="53" spans="1:23" ht="18" customHeight="1" x14ac:dyDescent="0.3">
      <c r="A53" s="48" t="s">
        <v>53</v>
      </c>
      <c r="B53" s="47">
        <v>35576</v>
      </c>
      <c r="C53" s="46">
        <v>574</v>
      </c>
      <c r="D53" s="46">
        <v>535</v>
      </c>
      <c r="E53" s="249">
        <f t="shared" si="2"/>
        <v>93.20557491289199</v>
      </c>
      <c r="F53" s="46">
        <v>39</v>
      </c>
      <c r="G53" s="282">
        <f t="shared" si="1"/>
        <v>6.7944250871080136</v>
      </c>
      <c r="H53" s="47">
        <v>35761</v>
      </c>
      <c r="I53" s="57"/>
      <c r="J53" s="47">
        <v>35849</v>
      </c>
      <c r="K53" s="92">
        <v>329</v>
      </c>
      <c r="L53" s="92">
        <v>23</v>
      </c>
      <c r="M53" s="92">
        <v>352</v>
      </c>
      <c r="N53" s="12"/>
      <c r="O53" s="12"/>
      <c r="P53" s="12"/>
      <c r="Q53" s="13">
        <f>SUM(M6:M53)</f>
        <v>16394</v>
      </c>
      <c r="R53" s="13">
        <f t="shared" si="0"/>
        <v>222</v>
      </c>
    </row>
    <row r="54" spans="1:23" ht="18" customHeight="1" x14ac:dyDescent="0.3">
      <c r="A54" s="131" t="s">
        <v>54</v>
      </c>
      <c r="B54" s="123">
        <v>35625</v>
      </c>
      <c r="C54" s="122">
        <v>443</v>
      </c>
      <c r="D54" s="122">
        <v>378</v>
      </c>
      <c r="E54" s="249">
        <f t="shared" si="2"/>
        <v>85.327313769751697</v>
      </c>
      <c r="F54" s="122">
        <v>65</v>
      </c>
      <c r="G54" s="282">
        <f t="shared" si="1"/>
        <v>14.672686230248306</v>
      </c>
      <c r="H54" s="123">
        <v>35786</v>
      </c>
      <c r="I54" s="129"/>
      <c r="J54" s="123">
        <v>35878</v>
      </c>
      <c r="K54" s="125">
        <v>350</v>
      </c>
      <c r="L54" s="125">
        <v>35</v>
      </c>
      <c r="M54" s="125">
        <v>385</v>
      </c>
      <c r="N54" s="126"/>
      <c r="O54" s="126"/>
      <c r="P54" s="126"/>
      <c r="Q54" s="127">
        <f>SUM(M6:M54)</f>
        <v>16779</v>
      </c>
      <c r="R54" s="127">
        <f t="shared" si="0"/>
        <v>58</v>
      </c>
    </row>
    <row r="55" spans="1:23" ht="18" customHeight="1" x14ac:dyDescent="0.3">
      <c r="A55" s="46" t="s">
        <v>55</v>
      </c>
      <c r="B55" s="49">
        <v>35653</v>
      </c>
      <c r="C55" s="46">
        <v>325</v>
      </c>
      <c r="D55" s="46">
        <v>279</v>
      </c>
      <c r="E55" s="249">
        <f t="shared" si="2"/>
        <v>85.84615384615384</v>
      </c>
      <c r="F55" s="46">
        <v>46</v>
      </c>
      <c r="G55" s="282">
        <f t="shared" si="1"/>
        <v>14.153846153846153</v>
      </c>
      <c r="H55" s="47">
        <v>35845</v>
      </c>
      <c r="I55" s="67"/>
      <c r="J55" s="47">
        <v>35936</v>
      </c>
      <c r="K55" s="92">
        <v>221</v>
      </c>
      <c r="L55" s="92">
        <v>28</v>
      </c>
      <c r="M55" s="92">
        <v>249</v>
      </c>
      <c r="N55" s="12"/>
      <c r="O55" s="12"/>
      <c r="P55" s="12"/>
      <c r="Q55" s="13">
        <f>SUM(M6:M55)</f>
        <v>17028</v>
      </c>
      <c r="R55" s="13">
        <f t="shared" si="0"/>
        <v>76</v>
      </c>
    </row>
    <row r="56" spans="1:23" ht="18" customHeight="1" x14ac:dyDescent="0.3">
      <c r="A56" s="122" t="s">
        <v>56</v>
      </c>
      <c r="B56" s="123">
        <v>35695</v>
      </c>
      <c r="C56" s="133">
        <v>425</v>
      </c>
      <c r="D56" s="133">
        <v>391</v>
      </c>
      <c r="E56" s="260">
        <f t="shared" si="2"/>
        <v>92</v>
      </c>
      <c r="F56" s="133">
        <v>34</v>
      </c>
      <c r="G56" s="282">
        <f t="shared" si="1"/>
        <v>8</v>
      </c>
      <c r="H56" s="134">
        <v>35887</v>
      </c>
      <c r="I56" s="129"/>
      <c r="J56" s="134">
        <v>35977</v>
      </c>
      <c r="K56" s="125">
        <v>284</v>
      </c>
      <c r="L56" s="125">
        <v>18</v>
      </c>
      <c r="M56" s="125">
        <v>302</v>
      </c>
      <c r="N56" s="126"/>
      <c r="O56" s="126"/>
      <c r="P56" s="126"/>
      <c r="Q56" s="127">
        <f>SUM(M6:M56)</f>
        <v>17330</v>
      </c>
      <c r="R56" s="127">
        <f t="shared" si="0"/>
        <v>123</v>
      </c>
    </row>
    <row r="57" spans="1:23" ht="18" customHeight="1" x14ac:dyDescent="0.3">
      <c r="A57" s="46" t="s">
        <v>57</v>
      </c>
      <c r="B57" s="49">
        <v>35730</v>
      </c>
      <c r="C57" s="50">
        <v>359</v>
      </c>
      <c r="D57" s="50">
        <v>296</v>
      </c>
      <c r="E57" s="249">
        <f t="shared" si="2"/>
        <v>82.451253481894156</v>
      </c>
      <c r="F57" s="50">
        <v>63</v>
      </c>
      <c r="G57" s="282">
        <f t="shared" si="1"/>
        <v>17.548746518105851</v>
      </c>
      <c r="H57" s="49">
        <v>35936</v>
      </c>
      <c r="I57" s="67"/>
      <c r="J57" s="49">
        <v>36028</v>
      </c>
      <c r="K57" s="92">
        <v>227</v>
      </c>
      <c r="L57" s="92">
        <v>24</v>
      </c>
      <c r="M57" s="92">
        <v>251</v>
      </c>
      <c r="N57" s="12"/>
      <c r="O57" s="12"/>
      <c r="P57" s="12"/>
      <c r="Q57" s="13">
        <f>SUM(M6:M57)</f>
        <v>17581</v>
      </c>
      <c r="R57" s="13">
        <f t="shared" si="0"/>
        <v>108</v>
      </c>
    </row>
    <row r="58" spans="1:23" ht="18" customHeight="1" x14ac:dyDescent="0.3">
      <c r="A58" s="122" t="s">
        <v>58</v>
      </c>
      <c r="B58" s="123">
        <v>35772</v>
      </c>
      <c r="C58" s="122">
        <v>374</v>
      </c>
      <c r="D58" s="122">
        <v>304</v>
      </c>
      <c r="E58" s="249">
        <f t="shared" si="2"/>
        <v>81.283422459893046</v>
      </c>
      <c r="F58" s="122">
        <v>70</v>
      </c>
      <c r="G58" s="282">
        <f t="shared" si="1"/>
        <v>18.71657754010695</v>
      </c>
      <c r="H58" s="123">
        <v>35990</v>
      </c>
      <c r="I58" s="132"/>
      <c r="J58" s="123">
        <v>36081</v>
      </c>
      <c r="K58" s="125">
        <v>227</v>
      </c>
      <c r="L58" s="125">
        <v>29</v>
      </c>
      <c r="M58" s="125">
        <v>256</v>
      </c>
      <c r="N58" s="126"/>
      <c r="O58" s="126"/>
      <c r="P58" s="126"/>
      <c r="Q58" s="127">
        <f>SUM(M6:M58)</f>
        <v>17837</v>
      </c>
      <c r="R58" s="127">
        <f t="shared" si="0"/>
        <v>118</v>
      </c>
      <c r="S58" s="39" t="s">
        <v>63</v>
      </c>
      <c r="T58" s="39"/>
    </row>
    <row r="59" spans="1:23" ht="18" customHeight="1" x14ac:dyDescent="0.3">
      <c r="A59" s="51" t="s">
        <v>40</v>
      </c>
      <c r="B59" s="49">
        <v>35830</v>
      </c>
      <c r="C59" s="52">
        <v>285</v>
      </c>
      <c r="D59" s="52">
        <v>228</v>
      </c>
      <c r="E59" s="260">
        <f t="shared" si="2"/>
        <v>80</v>
      </c>
      <c r="F59" s="52">
        <v>57</v>
      </c>
      <c r="G59" s="282">
        <f t="shared" si="1"/>
        <v>20</v>
      </c>
      <c r="H59" s="77">
        <v>36048</v>
      </c>
      <c r="I59" s="78"/>
      <c r="J59" s="47">
        <v>36137</v>
      </c>
      <c r="K59" s="52">
        <v>193</v>
      </c>
      <c r="L59" s="52">
        <v>26</v>
      </c>
      <c r="M59" s="52">
        <v>219</v>
      </c>
      <c r="N59" s="41"/>
      <c r="O59" s="41"/>
      <c r="P59" s="41"/>
      <c r="Q59" s="42">
        <f>SUM(M6:M59)</f>
        <v>18056</v>
      </c>
      <c r="R59" s="42">
        <f t="shared" si="0"/>
        <v>66</v>
      </c>
      <c r="S59" s="39" t="s">
        <v>63</v>
      </c>
      <c r="T59" s="39"/>
    </row>
    <row r="60" spans="1:23" ht="18" customHeight="1" x14ac:dyDescent="0.3">
      <c r="A60" s="135" t="s">
        <v>59</v>
      </c>
      <c r="B60" s="123">
        <v>35870</v>
      </c>
      <c r="C60" s="135">
        <v>400</v>
      </c>
      <c r="D60" s="135">
        <v>340</v>
      </c>
      <c r="E60" s="260">
        <f t="shared" si="2"/>
        <v>85</v>
      </c>
      <c r="F60" s="135">
        <v>60</v>
      </c>
      <c r="G60" s="282">
        <f t="shared" si="1"/>
        <v>15</v>
      </c>
      <c r="H60" s="136">
        <v>36098</v>
      </c>
      <c r="I60" s="137"/>
      <c r="J60" s="123">
        <v>36189</v>
      </c>
      <c r="K60" s="135">
        <v>244</v>
      </c>
      <c r="L60" s="135">
        <v>30</v>
      </c>
      <c r="M60" s="135">
        <v>274</v>
      </c>
      <c r="N60" s="126"/>
      <c r="O60" s="126"/>
      <c r="P60" s="126"/>
      <c r="Q60" s="127">
        <f>SUM(M6:M60)</f>
        <v>18330</v>
      </c>
      <c r="R60" s="127">
        <f t="shared" si="0"/>
        <v>126</v>
      </c>
    </row>
    <row r="61" spans="1:23" ht="18" customHeight="1" x14ac:dyDescent="0.3">
      <c r="A61" s="51" t="s">
        <v>60</v>
      </c>
      <c r="B61" s="47">
        <v>35913</v>
      </c>
      <c r="C61" s="51">
        <v>400</v>
      </c>
      <c r="D61" s="51">
        <v>351</v>
      </c>
      <c r="E61" s="249">
        <f t="shared" si="2"/>
        <v>87.75</v>
      </c>
      <c r="F61" s="51">
        <v>49</v>
      </c>
      <c r="G61" s="282">
        <f t="shared" si="1"/>
        <v>12.25</v>
      </c>
      <c r="H61" s="79">
        <v>36147</v>
      </c>
      <c r="I61" s="80"/>
      <c r="J61" s="47">
        <v>36242</v>
      </c>
      <c r="K61" s="51">
        <v>261</v>
      </c>
      <c r="L61" s="51">
        <v>22</v>
      </c>
      <c r="M61" s="51">
        <v>283</v>
      </c>
      <c r="N61" s="12"/>
      <c r="O61" s="12"/>
      <c r="P61" s="12"/>
      <c r="Q61" s="13">
        <f>SUM(M6:M61)</f>
        <v>18613</v>
      </c>
      <c r="R61" s="13">
        <f t="shared" si="0"/>
        <v>117</v>
      </c>
      <c r="S61" t="s">
        <v>63</v>
      </c>
      <c r="T61" t="s">
        <v>63</v>
      </c>
    </row>
    <row r="62" spans="1:23" ht="18" customHeight="1" x14ac:dyDescent="0.3">
      <c r="A62" s="135" t="s">
        <v>39</v>
      </c>
      <c r="B62" s="123">
        <v>36075</v>
      </c>
      <c r="C62" s="135">
        <v>350</v>
      </c>
      <c r="D62" s="135">
        <v>310</v>
      </c>
      <c r="E62" s="249">
        <f t="shared" si="2"/>
        <v>88.571428571428569</v>
      </c>
      <c r="F62" s="135">
        <v>40</v>
      </c>
      <c r="G62" s="282">
        <f t="shared" si="1"/>
        <v>11.428571428571429</v>
      </c>
      <c r="H62" s="136">
        <v>36300</v>
      </c>
      <c r="I62" s="137"/>
      <c r="J62" s="123">
        <v>36392</v>
      </c>
      <c r="K62" s="135">
        <v>202</v>
      </c>
      <c r="L62" s="135">
        <v>22</v>
      </c>
      <c r="M62" s="135">
        <v>224</v>
      </c>
      <c r="N62" s="126"/>
      <c r="O62" s="126"/>
      <c r="P62" s="126"/>
      <c r="Q62" s="127">
        <f>SUM(M6:M62)</f>
        <v>18837</v>
      </c>
      <c r="R62" s="127">
        <f t="shared" si="0"/>
        <v>126</v>
      </c>
    </row>
    <row r="63" spans="1:23" ht="18" customHeight="1" x14ac:dyDescent="0.3">
      <c r="A63" s="51" t="s">
        <v>61</v>
      </c>
      <c r="B63" s="47">
        <v>36129</v>
      </c>
      <c r="C63" s="52">
        <v>300</v>
      </c>
      <c r="D63" s="52">
        <v>263</v>
      </c>
      <c r="E63" s="249">
        <f t="shared" si="2"/>
        <v>87.666666666666671</v>
      </c>
      <c r="F63" s="52">
        <v>37</v>
      </c>
      <c r="G63" s="282">
        <f t="shared" si="1"/>
        <v>12.333333333333334</v>
      </c>
      <c r="H63" s="77">
        <v>36349</v>
      </c>
      <c r="I63" s="78"/>
      <c r="J63" s="47">
        <v>36490</v>
      </c>
      <c r="K63" s="52">
        <v>128</v>
      </c>
      <c r="L63" s="52">
        <v>12</v>
      </c>
      <c r="M63" s="52">
        <v>140</v>
      </c>
      <c r="N63" s="41"/>
      <c r="O63" s="41"/>
      <c r="P63" s="41"/>
      <c r="Q63" s="42">
        <f>SUM(M6:M63)</f>
        <v>18977</v>
      </c>
      <c r="R63" s="42">
        <f t="shared" si="0"/>
        <v>160</v>
      </c>
      <c r="S63" s="39" t="s">
        <v>63</v>
      </c>
      <c r="T63" s="39"/>
      <c r="U63" s="39"/>
      <c r="V63" s="39"/>
      <c r="W63" s="39"/>
    </row>
    <row r="64" spans="1:23" ht="18" customHeight="1" x14ac:dyDescent="0.3">
      <c r="A64" s="135" t="s">
        <v>62</v>
      </c>
      <c r="B64" s="138">
        <v>36171</v>
      </c>
      <c r="C64" s="135">
        <v>456</v>
      </c>
      <c r="D64" s="135">
        <v>397</v>
      </c>
      <c r="E64" s="249">
        <f t="shared" si="2"/>
        <v>87.061403508771932</v>
      </c>
      <c r="F64" s="135">
        <v>59</v>
      </c>
      <c r="G64" s="282">
        <f t="shared" si="1"/>
        <v>12.93859649122807</v>
      </c>
      <c r="H64" s="136">
        <v>36397</v>
      </c>
      <c r="I64" s="137"/>
      <c r="J64" s="123">
        <v>36532</v>
      </c>
      <c r="K64" s="135">
        <v>219</v>
      </c>
      <c r="L64" s="135">
        <v>13</v>
      </c>
      <c r="M64" s="135">
        <v>232</v>
      </c>
      <c r="N64" s="126"/>
      <c r="O64" s="126"/>
      <c r="P64" s="126"/>
      <c r="Q64" s="127">
        <f>SUM(M6:M64)</f>
        <v>19209</v>
      </c>
      <c r="R64" s="127">
        <f t="shared" si="0"/>
        <v>224</v>
      </c>
    </row>
    <row r="65" spans="1:23" ht="18" customHeight="1" x14ac:dyDescent="0.3">
      <c r="A65" s="51" t="s">
        <v>64</v>
      </c>
      <c r="B65" s="53">
        <v>36276</v>
      </c>
      <c r="C65" s="51">
        <v>250</v>
      </c>
      <c r="D65" s="51">
        <v>203</v>
      </c>
      <c r="E65" s="260">
        <f t="shared" si="2"/>
        <v>81.2</v>
      </c>
      <c r="F65" s="51">
        <v>47</v>
      </c>
      <c r="G65" s="282">
        <f t="shared" si="1"/>
        <v>18.8</v>
      </c>
      <c r="H65" s="79">
        <v>36502</v>
      </c>
      <c r="I65" s="80"/>
      <c r="J65" s="47">
        <v>36595</v>
      </c>
      <c r="K65" s="51">
        <v>143</v>
      </c>
      <c r="L65" s="51">
        <v>12</v>
      </c>
      <c r="M65" s="51">
        <v>155</v>
      </c>
      <c r="N65" s="12"/>
      <c r="O65" s="12"/>
      <c r="P65" s="12"/>
      <c r="Q65" s="13">
        <f>SUM(M6:M65)</f>
        <v>19364</v>
      </c>
      <c r="R65" s="13">
        <f t="shared" si="0"/>
        <v>95</v>
      </c>
    </row>
    <row r="66" spans="1:23" ht="18" customHeight="1" x14ac:dyDescent="0.3">
      <c r="A66" s="135" t="s">
        <v>65</v>
      </c>
      <c r="B66" s="138">
        <v>36325</v>
      </c>
      <c r="C66" s="135">
        <v>350</v>
      </c>
      <c r="D66" s="135">
        <v>298</v>
      </c>
      <c r="E66" s="249">
        <f t="shared" si="2"/>
        <v>85.142857142857139</v>
      </c>
      <c r="F66" s="135">
        <v>52</v>
      </c>
      <c r="G66" s="282">
        <f t="shared" si="1"/>
        <v>14.857142857142858</v>
      </c>
      <c r="H66" s="136">
        <v>36564</v>
      </c>
      <c r="I66" s="137"/>
      <c r="J66" s="123">
        <v>36655</v>
      </c>
      <c r="K66" s="135">
        <v>201</v>
      </c>
      <c r="L66" s="135">
        <v>13</v>
      </c>
      <c r="M66" s="135">
        <v>214</v>
      </c>
      <c r="N66" s="126"/>
      <c r="O66" s="126"/>
      <c r="P66" s="126"/>
      <c r="Q66" s="127">
        <f>SUM(M6:M66)</f>
        <v>19578</v>
      </c>
      <c r="R66" s="127">
        <f t="shared" si="0"/>
        <v>136</v>
      </c>
    </row>
    <row r="67" spans="1:23" ht="18" customHeight="1" x14ac:dyDescent="0.3">
      <c r="A67" s="51" t="s">
        <v>66</v>
      </c>
      <c r="B67" s="53">
        <v>36360</v>
      </c>
      <c r="C67" s="51">
        <v>350</v>
      </c>
      <c r="D67" s="51">
        <v>308</v>
      </c>
      <c r="E67" s="260">
        <f t="shared" si="2"/>
        <v>88</v>
      </c>
      <c r="F67" s="51">
        <v>42</v>
      </c>
      <c r="G67" s="282">
        <f t="shared" si="1"/>
        <v>12</v>
      </c>
      <c r="H67" s="79">
        <v>36602</v>
      </c>
      <c r="I67" s="80"/>
      <c r="J67" s="47">
        <v>36697</v>
      </c>
      <c r="K67" s="51">
        <v>206</v>
      </c>
      <c r="L67" s="51">
        <v>20</v>
      </c>
      <c r="M67" s="51">
        <v>226</v>
      </c>
      <c r="N67" s="12"/>
      <c r="O67" s="12"/>
      <c r="P67" s="12"/>
      <c r="Q67" s="13">
        <f>SUM(M6:M67)</f>
        <v>19804</v>
      </c>
      <c r="R67" s="13">
        <f t="shared" si="0"/>
        <v>124</v>
      </c>
    </row>
    <row r="68" spans="1:23" ht="18" customHeight="1" x14ac:dyDescent="0.3">
      <c r="A68" s="135" t="s">
        <v>67</v>
      </c>
      <c r="B68" s="138">
        <v>36437</v>
      </c>
      <c r="C68" s="135">
        <v>300</v>
      </c>
      <c r="D68" s="135">
        <v>264</v>
      </c>
      <c r="E68" s="260">
        <f t="shared" si="2"/>
        <v>88</v>
      </c>
      <c r="F68" s="135">
        <v>36</v>
      </c>
      <c r="G68" s="282">
        <f t="shared" si="1"/>
        <v>12</v>
      </c>
      <c r="H68" s="136">
        <v>36655</v>
      </c>
      <c r="I68" s="137"/>
      <c r="J68" s="123">
        <v>36747</v>
      </c>
      <c r="K68" s="135">
        <v>186</v>
      </c>
      <c r="L68" s="135">
        <v>18</v>
      </c>
      <c r="M68" s="135">
        <v>204</v>
      </c>
      <c r="N68" s="126"/>
      <c r="O68" s="126"/>
      <c r="P68" s="126"/>
      <c r="Q68" s="127">
        <f>SUM(M6:M68)</f>
        <v>20008</v>
      </c>
      <c r="R68" s="127">
        <f t="shared" si="0"/>
        <v>96</v>
      </c>
      <c r="S68" s="39" t="s">
        <v>63</v>
      </c>
      <c r="T68" s="39"/>
    </row>
    <row r="69" spans="1:23" ht="18" customHeight="1" x14ac:dyDescent="0.3">
      <c r="A69" s="54" t="s">
        <v>68</v>
      </c>
      <c r="B69" s="47">
        <v>36543</v>
      </c>
      <c r="C69" s="51">
        <v>200</v>
      </c>
      <c r="D69" s="51">
        <v>166</v>
      </c>
      <c r="E69" s="260">
        <f t="shared" si="2"/>
        <v>83</v>
      </c>
      <c r="F69" s="51">
        <v>34</v>
      </c>
      <c r="G69" s="282">
        <f t="shared" si="1"/>
        <v>17</v>
      </c>
      <c r="H69" s="79">
        <v>36738</v>
      </c>
      <c r="I69" s="80"/>
      <c r="J69" s="47">
        <v>36829</v>
      </c>
      <c r="K69" s="51">
        <v>134</v>
      </c>
      <c r="L69" s="51">
        <v>18</v>
      </c>
      <c r="M69" s="51">
        <v>152</v>
      </c>
      <c r="N69" s="12"/>
      <c r="O69" s="12"/>
      <c r="P69" s="12"/>
      <c r="Q69" s="13">
        <f>SUM(M6:M69)</f>
        <v>20160</v>
      </c>
      <c r="R69" s="13">
        <f t="shared" si="0"/>
        <v>48</v>
      </c>
    </row>
    <row r="70" spans="1:23" ht="18" customHeight="1" x14ac:dyDescent="0.3">
      <c r="A70" s="135" t="s">
        <v>69</v>
      </c>
      <c r="B70" s="138">
        <v>36580</v>
      </c>
      <c r="C70" s="135">
        <v>200</v>
      </c>
      <c r="D70" s="135">
        <v>179</v>
      </c>
      <c r="E70" s="249">
        <f t="shared" si="2"/>
        <v>89.5</v>
      </c>
      <c r="F70" s="135">
        <v>21</v>
      </c>
      <c r="G70" s="282">
        <f t="shared" si="1"/>
        <v>10.5</v>
      </c>
      <c r="H70" s="136">
        <v>36783</v>
      </c>
      <c r="I70" s="137"/>
      <c r="J70" s="123">
        <v>36874</v>
      </c>
      <c r="K70" s="135">
        <v>128</v>
      </c>
      <c r="L70" s="135">
        <v>13</v>
      </c>
      <c r="M70" s="135">
        <v>141</v>
      </c>
      <c r="N70" s="126"/>
      <c r="O70" s="126"/>
      <c r="P70" s="126"/>
      <c r="Q70" s="127">
        <f>SUM(M6:M70)</f>
        <v>20301</v>
      </c>
      <c r="R70" s="127">
        <f t="shared" si="0"/>
        <v>59</v>
      </c>
      <c r="S70" s="39" t="s">
        <v>63</v>
      </c>
      <c r="T70" s="39" t="s">
        <v>63</v>
      </c>
    </row>
    <row r="71" spans="1:23" ht="18" customHeight="1" x14ac:dyDescent="0.3">
      <c r="A71" s="51" t="s">
        <v>70</v>
      </c>
      <c r="B71" s="53">
        <v>36717</v>
      </c>
      <c r="C71" s="51">
        <v>169</v>
      </c>
      <c r="D71" s="51">
        <v>150</v>
      </c>
      <c r="E71" s="249">
        <f t="shared" si="2"/>
        <v>88.757396449704146</v>
      </c>
      <c r="F71" s="51">
        <v>19</v>
      </c>
      <c r="G71" s="282">
        <f t="shared" si="1"/>
        <v>11.242603550295858</v>
      </c>
      <c r="H71" s="79">
        <v>36931</v>
      </c>
      <c r="I71" s="80"/>
      <c r="J71" s="47">
        <v>37022</v>
      </c>
      <c r="K71" s="51">
        <v>117</v>
      </c>
      <c r="L71" s="51">
        <v>10</v>
      </c>
      <c r="M71" s="51">
        <v>127</v>
      </c>
      <c r="N71" s="12"/>
      <c r="O71" s="12"/>
      <c r="P71" s="12"/>
      <c r="Q71" s="13">
        <f>SUM(M6:M71)</f>
        <v>20428</v>
      </c>
      <c r="R71" s="13">
        <f t="shared" ref="R71:R105" si="3">C71-M71</f>
        <v>42</v>
      </c>
    </row>
    <row r="72" spans="1:23" ht="18" customHeight="1" x14ac:dyDescent="0.3">
      <c r="A72" s="139" t="s">
        <v>73</v>
      </c>
      <c r="B72" s="123">
        <v>36824</v>
      </c>
      <c r="C72" s="140">
        <v>325</v>
      </c>
      <c r="D72" s="140">
        <v>292</v>
      </c>
      <c r="E72" s="249">
        <f t="shared" si="2"/>
        <v>89.84615384615384</v>
      </c>
      <c r="F72" s="140">
        <v>33</v>
      </c>
      <c r="G72" s="282">
        <f t="shared" si="1"/>
        <v>10.153846153846153</v>
      </c>
      <c r="H72" s="136">
        <v>37163</v>
      </c>
      <c r="I72" s="137"/>
      <c r="J72" s="123">
        <v>37239</v>
      </c>
      <c r="K72" s="135">
        <v>207</v>
      </c>
      <c r="L72" s="135">
        <v>14</v>
      </c>
      <c r="M72" s="135">
        <v>221</v>
      </c>
      <c r="N72" s="126"/>
      <c r="O72" s="126"/>
      <c r="P72" s="126"/>
      <c r="Q72" s="127">
        <f>SUM(M6:M72)</f>
        <v>20649</v>
      </c>
      <c r="R72" s="127">
        <f t="shared" si="3"/>
        <v>104</v>
      </c>
      <c r="S72" s="39" t="s">
        <v>63</v>
      </c>
      <c r="T72" s="39"/>
      <c r="U72" s="39"/>
      <c r="V72" s="39"/>
      <c r="W72" s="39"/>
    </row>
    <row r="73" spans="1:23" ht="18" customHeight="1" x14ac:dyDescent="0.3">
      <c r="A73" s="54" t="s">
        <v>74</v>
      </c>
      <c r="B73" s="47">
        <v>36997</v>
      </c>
      <c r="C73" s="55">
        <v>192</v>
      </c>
      <c r="D73" s="55">
        <v>164</v>
      </c>
      <c r="E73" s="249">
        <f t="shared" si="2"/>
        <v>85.416666666666671</v>
      </c>
      <c r="F73" s="55">
        <v>28</v>
      </c>
      <c r="G73" s="282">
        <f t="shared" si="1"/>
        <v>14.583333333333334</v>
      </c>
      <c r="H73" s="79">
        <v>37337</v>
      </c>
      <c r="I73" s="80"/>
      <c r="J73" s="47">
        <v>37414</v>
      </c>
      <c r="K73" s="51">
        <v>130</v>
      </c>
      <c r="L73" s="51">
        <v>18</v>
      </c>
      <c r="M73" s="51">
        <v>148</v>
      </c>
      <c r="N73" s="12"/>
      <c r="O73" s="12"/>
      <c r="P73" s="12"/>
      <c r="Q73" s="13">
        <f>SUM(M6:M73)</f>
        <v>20797</v>
      </c>
      <c r="R73" s="13">
        <f t="shared" si="3"/>
        <v>44</v>
      </c>
    </row>
    <row r="74" spans="1:23" ht="18" customHeight="1" x14ac:dyDescent="0.3">
      <c r="A74" s="139" t="s">
        <v>75</v>
      </c>
      <c r="B74" s="123">
        <v>37081</v>
      </c>
      <c r="C74" s="140">
        <v>378</v>
      </c>
      <c r="D74" s="140">
        <v>347</v>
      </c>
      <c r="E74" s="260">
        <f t="shared" si="2"/>
        <v>91.798941798941797</v>
      </c>
      <c r="F74" s="140">
        <v>31</v>
      </c>
      <c r="G74" s="282">
        <f t="shared" si="1"/>
        <v>8.2010582010582009</v>
      </c>
      <c r="H74" s="136">
        <v>37434</v>
      </c>
      <c r="I74" s="137"/>
      <c r="J74" s="123">
        <v>37501</v>
      </c>
      <c r="K74" s="135">
        <v>258</v>
      </c>
      <c r="L74" s="135">
        <v>19</v>
      </c>
      <c r="M74" s="135">
        <v>277</v>
      </c>
      <c r="N74" s="127">
        <v>241</v>
      </c>
      <c r="O74" s="127">
        <v>19</v>
      </c>
      <c r="P74" s="127">
        <f>SUM(N74:O74)</f>
        <v>260</v>
      </c>
      <c r="Q74" s="127">
        <f>SUM(M6:M74)</f>
        <v>21074</v>
      </c>
      <c r="R74" s="127">
        <f t="shared" si="3"/>
        <v>101</v>
      </c>
    </row>
    <row r="75" spans="1:23" ht="15" customHeight="1" x14ac:dyDescent="0.3">
      <c r="A75" s="56" t="s">
        <v>76</v>
      </c>
      <c r="B75" s="57">
        <v>37211</v>
      </c>
      <c r="C75" s="58">
        <v>138</v>
      </c>
      <c r="D75" s="58">
        <v>126</v>
      </c>
      <c r="E75" s="264">
        <f t="shared" si="2"/>
        <v>91.304347826086953</v>
      </c>
      <c r="F75" s="58">
        <v>12</v>
      </c>
      <c r="G75" s="284"/>
      <c r="H75" s="81" t="s">
        <v>91</v>
      </c>
      <c r="I75" s="78"/>
      <c r="J75" s="57">
        <v>37601</v>
      </c>
      <c r="K75" s="72">
        <v>131</v>
      </c>
      <c r="L75" s="72">
        <v>8</v>
      </c>
      <c r="M75" s="72">
        <v>139</v>
      </c>
      <c r="N75" s="40"/>
      <c r="O75" s="40"/>
      <c r="P75" s="40"/>
      <c r="Q75" s="40">
        <f>SUM(M6:M75)</f>
        <v>21213</v>
      </c>
      <c r="R75" s="40">
        <f t="shared" si="3"/>
        <v>-1</v>
      </c>
      <c r="S75" s="39" t="s">
        <v>63</v>
      </c>
      <c r="T75" s="39"/>
      <c r="U75" s="39"/>
      <c r="V75" s="39"/>
      <c r="W75" s="39"/>
    </row>
    <row r="76" spans="1:23" ht="15" customHeight="1" x14ac:dyDescent="0.3">
      <c r="A76" s="59"/>
      <c r="B76" s="60"/>
      <c r="C76" s="61"/>
      <c r="D76" s="61"/>
      <c r="E76" s="252"/>
      <c r="F76" s="61"/>
      <c r="G76" s="285"/>
      <c r="H76" s="82" t="s">
        <v>92</v>
      </c>
      <c r="I76" s="83"/>
      <c r="J76" s="60"/>
      <c r="K76" s="73"/>
      <c r="L76" s="73"/>
      <c r="M76" s="73"/>
      <c r="N76" s="37"/>
      <c r="O76" s="37"/>
      <c r="P76" s="37"/>
      <c r="Q76" s="37"/>
      <c r="R76" s="37" t="s">
        <v>63</v>
      </c>
      <c r="S76" s="39"/>
      <c r="T76" s="39"/>
      <c r="U76" s="39"/>
      <c r="V76" s="39"/>
      <c r="W76" s="39"/>
    </row>
    <row r="77" spans="1:23" ht="17.100000000000001" customHeight="1" x14ac:dyDescent="0.3">
      <c r="A77" s="141" t="s">
        <v>77</v>
      </c>
      <c r="B77" s="142">
        <v>37312</v>
      </c>
      <c r="C77" s="143">
        <v>153</v>
      </c>
      <c r="D77" s="143">
        <v>144</v>
      </c>
      <c r="E77" s="261">
        <f t="shared" si="2"/>
        <v>94.117647058823536</v>
      </c>
      <c r="F77" s="143">
        <v>9</v>
      </c>
      <c r="G77" s="286">
        <f>9*100/153</f>
        <v>5.882352941176471</v>
      </c>
      <c r="H77" s="144" t="s">
        <v>90</v>
      </c>
      <c r="I77" s="403" t="s">
        <v>102</v>
      </c>
      <c r="J77" s="145">
        <v>37708</v>
      </c>
      <c r="K77" s="146">
        <v>116</v>
      </c>
      <c r="L77" s="146">
        <v>5</v>
      </c>
      <c r="M77" s="146">
        <f>SUM(K77:L77)</f>
        <v>121</v>
      </c>
      <c r="N77" s="147"/>
      <c r="O77" s="147"/>
      <c r="P77" s="147"/>
      <c r="Q77" s="147">
        <f>SUM(M6:M77)</f>
        <v>21334</v>
      </c>
      <c r="R77" s="147">
        <f t="shared" si="3"/>
        <v>32</v>
      </c>
    </row>
    <row r="78" spans="1:23" ht="54.75" customHeight="1" x14ac:dyDescent="0.3">
      <c r="A78" s="148"/>
      <c r="B78" s="149"/>
      <c r="C78" s="150"/>
      <c r="D78" s="150"/>
      <c r="E78" s="255"/>
      <c r="F78" s="150"/>
      <c r="G78" s="285"/>
      <c r="H78" s="151" t="s">
        <v>89</v>
      </c>
      <c r="I78" s="404"/>
      <c r="J78" s="152"/>
      <c r="K78" s="153"/>
      <c r="L78" s="153"/>
      <c r="M78" s="153"/>
      <c r="N78" s="154"/>
      <c r="O78" s="154"/>
      <c r="P78" s="154"/>
      <c r="Q78" s="154"/>
      <c r="R78" s="154" t="s">
        <v>63</v>
      </c>
    </row>
    <row r="79" spans="1:23" ht="15" customHeight="1" x14ac:dyDescent="0.3">
      <c r="A79" s="56" t="s">
        <v>78</v>
      </c>
      <c r="B79" s="57">
        <v>37392</v>
      </c>
      <c r="C79" s="62">
        <v>258</v>
      </c>
      <c r="D79" s="62">
        <v>235</v>
      </c>
      <c r="E79" s="261">
        <f t="shared" si="2"/>
        <v>91.085271317829452</v>
      </c>
      <c r="F79" s="62">
        <v>23</v>
      </c>
      <c r="G79" s="286">
        <f>23*100/258</f>
        <v>8.9147286821705425</v>
      </c>
      <c r="H79" s="84" t="s">
        <v>93</v>
      </c>
      <c r="I79" s="405" t="s">
        <v>111</v>
      </c>
      <c r="J79" s="391">
        <v>37797</v>
      </c>
      <c r="K79" s="64">
        <v>177</v>
      </c>
      <c r="L79" s="64">
        <v>19</v>
      </c>
      <c r="M79" s="64">
        <f>SUM(K79:L79)</f>
        <v>196</v>
      </c>
      <c r="N79" s="20"/>
      <c r="O79" s="20"/>
      <c r="P79" s="20"/>
      <c r="Q79" s="20">
        <f>SUM(M6:M79)</f>
        <v>21530</v>
      </c>
      <c r="R79" s="20">
        <f t="shared" si="3"/>
        <v>62</v>
      </c>
    </row>
    <row r="80" spans="1:23" ht="15" customHeight="1" x14ac:dyDescent="0.3">
      <c r="A80" s="59"/>
      <c r="B80" s="60"/>
      <c r="C80" s="63"/>
      <c r="D80" s="63"/>
      <c r="E80" s="252"/>
      <c r="F80" s="63"/>
      <c r="G80" s="285"/>
      <c r="H80" s="85" t="s">
        <v>92</v>
      </c>
      <c r="I80" s="406"/>
      <c r="J80" s="407"/>
      <c r="K80" s="65"/>
      <c r="L80" s="65"/>
      <c r="M80" s="65"/>
      <c r="N80" s="19"/>
      <c r="O80" s="19"/>
      <c r="P80" s="19"/>
      <c r="Q80" s="19"/>
      <c r="R80" s="19" t="s">
        <v>63</v>
      </c>
    </row>
    <row r="81" spans="1:23" ht="15" customHeight="1" x14ac:dyDescent="0.3">
      <c r="A81" s="141" t="s">
        <v>79</v>
      </c>
      <c r="B81" s="142">
        <v>37455</v>
      </c>
      <c r="C81" s="143">
        <v>230</v>
      </c>
      <c r="D81" s="143">
        <v>213</v>
      </c>
      <c r="E81" s="261">
        <f t="shared" si="2"/>
        <v>92.608695652173907</v>
      </c>
      <c r="F81" s="143">
        <v>17</v>
      </c>
      <c r="G81" s="286">
        <f>17*100/230</f>
        <v>7.3913043478260869</v>
      </c>
      <c r="H81" s="423" t="s">
        <v>144</v>
      </c>
      <c r="I81" s="425" t="s">
        <v>106</v>
      </c>
      <c r="J81" s="417">
        <v>37858</v>
      </c>
      <c r="K81" s="146">
        <v>176</v>
      </c>
      <c r="L81" s="146">
        <v>12</v>
      </c>
      <c r="M81" s="146">
        <v>188</v>
      </c>
      <c r="N81" s="147"/>
      <c r="O81" s="147"/>
      <c r="P81" s="147"/>
      <c r="Q81" s="147">
        <f>SUM(M6:M81)</f>
        <v>21718</v>
      </c>
      <c r="R81" s="147">
        <f t="shared" si="3"/>
        <v>42</v>
      </c>
    </row>
    <row r="82" spans="1:23" ht="57" customHeight="1" x14ac:dyDescent="0.3">
      <c r="A82" s="148"/>
      <c r="B82" s="149"/>
      <c r="C82" s="150"/>
      <c r="D82" s="150"/>
      <c r="E82" s="255"/>
      <c r="F82" s="150"/>
      <c r="G82" s="285"/>
      <c r="H82" s="424"/>
      <c r="I82" s="418"/>
      <c r="J82" s="418"/>
      <c r="K82" s="153"/>
      <c r="L82" s="153"/>
      <c r="M82" s="153"/>
      <c r="N82" s="154"/>
      <c r="O82" s="154"/>
      <c r="P82" s="154"/>
      <c r="Q82" s="154"/>
      <c r="R82" s="154" t="s">
        <v>63</v>
      </c>
    </row>
    <row r="83" spans="1:23" ht="19.5" customHeight="1" x14ac:dyDescent="0.3">
      <c r="A83" s="64" t="s">
        <v>84</v>
      </c>
      <c r="B83" s="57">
        <v>37538</v>
      </c>
      <c r="C83" s="62">
        <v>223</v>
      </c>
      <c r="D83" s="62">
        <v>208</v>
      </c>
      <c r="E83" s="261">
        <f t="shared" si="2"/>
        <v>93.27354260089686</v>
      </c>
      <c r="F83" s="62">
        <v>15</v>
      </c>
      <c r="G83" s="286">
        <f>15*100/223</f>
        <v>6.7264573991031389</v>
      </c>
      <c r="H83" s="421" t="s">
        <v>108</v>
      </c>
      <c r="I83" s="84" t="s">
        <v>112</v>
      </c>
      <c r="J83" s="391">
        <v>37930</v>
      </c>
      <c r="K83" s="64">
        <v>165</v>
      </c>
      <c r="L83" s="64">
        <v>11</v>
      </c>
      <c r="M83" s="64">
        <v>176</v>
      </c>
      <c r="N83" s="20"/>
      <c r="O83" s="20"/>
      <c r="P83" s="20"/>
      <c r="Q83" s="20">
        <f>SUM(M6:M83)</f>
        <v>21894</v>
      </c>
      <c r="R83" s="20">
        <f t="shared" si="3"/>
        <v>47</v>
      </c>
    </row>
    <row r="84" spans="1:23" ht="17.25" customHeight="1" x14ac:dyDescent="0.3">
      <c r="A84" s="65"/>
      <c r="B84" s="60"/>
      <c r="C84" s="63"/>
      <c r="D84" s="63"/>
      <c r="E84" s="252"/>
      <c r="F84" s="63"/>
      <c r="G84" s="285"/>
      <c r="H84" s="422"/>
      <c r="I84" s="86">
        <v>37895</v>
      </c>
      <c r="J84" s="407"/>
      <c r="K84" s="65"/>
      <c r="L84" s="65"/>
      <c r="M84" s="65"/>
      <c r="N84" s="19"/>
      <c r="O84" s="19"/>
      <c r="P84" s="19"/>
      <c r="Q84" s="19"/>
      <c r="R84" s="19" t="s">
        <v>63</v>
      </c>
    </row>
    <row r="85" spans="1:23" ht="18" customHeight="1" x14ac:dyDescent="0.3">
      <c r="A85" s="146" t="s">
        <v>85</v>
      </c>
      <c r="B85" s="142">
        <v>37585</v>
      </c>
      <c r="C85" s="143">
        <v>232</v>
      </c>
      <c r="D85" s="143">
        <v>217</v>
      </c>
      <c r="E85" s="261">
        <f t="shared" si="2"/>
        <v>93.534482758620683</v>
      </c>
      <c r="F85" s="143">
        <v>15</v>
      </c>
      <c r="G85" s="286">
        <f>15*100/232</f>
        <v>6.4655172413793105</v>
      </c>
      <c r="H85" s="419" t="s">
        <v>107</v>
      </c>
      <c r="I85" s="144" t="s">
        <v>116</v>
      </c>
      <c r="J85" s="408">
        <v>37972</v>
      </c>
      <c r="K85" s="146">
        <v>186</v>
      </c>
      <c r="L85" s="146">
        <v>11</v>
      </c>
      <c r="M85" s="146">
        <f>SUM(K85:L85)</f>
        <v>197</v>
      </c>
      <c r="N85" s="147"/>
      <c r="O85" s="147"/>
      <c r="P85" s="147"/>
      <c r="Q85" s="147">
        <f>SUM(M6:M85)</f>
        <v>22091</v>
      </c>
      <c r="R85" s="147">
        <f t="shared" si="3"/>
        <v>35</v>
      </c>
      <c r="S85" s="39" t="s">
        <v>63</v>
      </c>
      <c r="T85" s="39"/>
      <c r="U85" s="39"/>
      <c r="V85" s="39"/>
      <c r="W85" s="39"/>
    </row>
    <row r="86" spans="1:23" ht="19.5" customHeight="1" x14ac:dyDescent="0.3">
      <c r="A86" s="148"/>
      <c r="B86" s="149"/>
      <c r="C86" s="150"/>
      <c r="D86" s="150"/>
      <c r="E86" s="255"/>
      <c r="F86" s="150"/>
      <c r="G86" s="285"/>
      <c r="H86" s="420"/>
      <c r="I86" s="151">
        <v>37970</v>
      </c>
      <c r="J86" s="409"/>
      <c r="K86" s="153"/>
      <c r="L86" s="153"/>
      <c r="M86" s="153"/>
      <c r="N86" s="154"/>
      <c r="O86" s="154"/>
      <c r="P86" s="154"/>
      <c r="Q86" s="154"/>
      <c r="R86" s="154" t="s">
        <v>63</v>
      </c>
      <c r="S86" s="39"/>
      <c r="T86" s="39"/>
      <c r="U86" s="39"/>
      <c r="V86" s="39"/>
      <c r="W86" s="39"/>
    </row>
    <row r="87" spans="1:23" ht="17.25" customHeight="1" x14ac:dyDescent="0.3">
      <c r="A87" s="56" t="s">
        <v>104</v>
      </c>
      <c r="B87" s="57">
        <v>37715</v>
      </c>
      <c r="C87" s="62">
        <v>200</v>
      </c>
      <c r="D87" s="62">
        <v>181</v>
      </c>
      <c r="E87" s="261">
        <f t="shared" si="2"/>
        <v>90.5</v>
      </c>
      <c r="F87" s="62">
        <v>19</v>
      </c>
      <c r="G87" s="286">
        <f>19*100/200</f>
        <v>9.5</v>
      </c>
      <c r="H87" s="84" t="s">
        <v>115</v>
      </c>
      <c r="I87" s="84" t="s">
        <v>121</v>
      </c>
      <c r="J87" s="391">
        <v>38126</v>
      </c>
      <c r="K87" s="64">
        <v>152</v>
      </c>
      <c r="L87" s="64">
        <v>14</v>
      </c>
      <c r="M87" s="64">
        <f>SUM(K87:L87)</f>
        <v>166</v>
      </c>
      <c r="N87" s="20"/>
      <c r="O87" s="20"/>
      <c r="P87" s="20"/>
      <c r="Q87" s="20">
        <f>SUM(M6:M87)</f>
        <v>22257</v>
      </c>
      <c r="R87" s="20">
        <f t="shared" si="3"/>
        <v>34</v>
      </c>
    </row>
    <row r="88" spans="1:23" ht="15" customHeight="1" x14ac:dyDescent="0.3">
      <c r="A88" s="59"/>
      <c r="B88" s="60"/>
      <c r="C88" s="63"/>
      <c r="D88" s="63"/>
      <c r="E88" s="252"/>
      <c r="F88" s="63"/>
      <c r="G88" s="285"/>
      <c r="H88" s="85" t="s">
        <v>114</v>
      </c>
      <c r="I88" s="85">
        <v>38121</v>
      </c>
      <c r="J88" s="407"/>
      <c r="K88" s="65"/>
      <c r="L88" s="65"/>
      <c r="M88" s="65"/>
      <c r="N88" s="19"/>
      <c r="O88" s="19"/>
      <c r="P88" s="19"/>
      <c r="Q88" s="19"/>
      <c r="R88" s="19" t="s">
        <v>63</v>
      </c>
    </row>
    <row r="89" spans="1:23" ht="15" customHeight="1" x14ac:dyDescent="0.3">
      <c r="A89" s="155" t="s">
        <v>105</v>
      </c>
      <c r="B89" s="129">
        <v>37803</v>
      </c>
      <c r="C89" s="156">
        <v>230</v>
      </c>
      <c r="D89" s="156">
        <v>228</v>
      </c>
      <c r="E89" s="261">
        <f t="shared" si="2"/>
        <v>99.130434782608702</v>
      </c>
      <c r="F89" s="156">
        <v>2</v>
      </c>
      <c r="G89" s="287">
        <f>2*100/230</f>
        <v>0.86956521739130432</v>
      </c>
      <c r="H89" s="157" t="s">
        <v>117</v>
      </c>
      <c r="I89" s="157" t="s">
        <v>122</v>
      </c>
      <c r="J89" s="408">
        <v>38190</v>
      </c>
      <c r="K89" s="158">
        <v>183</v>
      </c>
      <c r="L89" s="158">
        <v>2</v>
      </c>
      <c r="M89" s="158">
        <v>185</v>
      </c>
      <c r="N89" s="159"/>
      <c r="O89" s="159"/>
      <c r="P89" s="159"/>
      <c r="Q89" s="147">
        <f>SUM(M6:M89)</f>
        <v>22442</v>
      </c>
      <c r="R89" s="147">
        <f t="shared" si="3"/>
        <v>45</v>
      </c>
    </row>
    <row r="90" spans="1:23" ht="15" customHeight="1" x14ac:dyDescent="0.3">
      <c r="A90" s="148"/>
      <c r="B90" s="149"/>
      <c r="C90" s="150"/>
      <c r="D90" s="150"/>
      <c r="E90" s="255"/>
      <c r="F90" s="150"/>
      <c r="G90" s="285"/>
      <c r="H90" s="151" t="s">
        <v>118</v>
      </c>
      <c r="I90" s="151" t="s">
        <v>125</v>
      </c>
      <c r="J90" s="409"/>
      <c r="K90" s="153"/>
      <c r="L90" s="153"/>
      <c r="M90" s="153"/>
      <c r="N90" s="154"/>
      <c r="O90" s="154"/>
      <c r="P90" s="154"/>
      <c r="Q90" s="154"/>
      <c r="R90" s="154" t="s">
        <v>63</v>
      </c>
    </row>
    <row r="91" spans="1:23" ht="15" customHeight="1" x14ac:dyDescent="0.3">
      <c r="A91" s="66" t="s">
        <v>110</v>
      </c>
      <c r="B91" s="57">
        <v>37895</v>
      </c>
      <c r="C91" s="69">
        <v>230</v>
      </c>
      <c r="D91" s="69">
        <v>218</v>
      </c>
      <c r="E91" s="261">
        <f t="shared" si="2"/>
        <v>94.782608695652172</v>
      </c>
      <c r="F91" s="69">
        <v>12</v>
      </c>
      <c r="G91" s="287">
        <f>12*100/230</f>
        <v>5.2173913043478262</v>
      </c>
      <c r="H91" s="88" t="s">
        <v>120</v>
      </c>
      <c r="I91" s="88" t="s">
        <v>127</v>
      </c>
      <c r="J91" s="391">
        <v>38302</v>
      </c>
      <c r="K91" s="75">
        <v>180</v>
      </c>
      <c r="L91" s="75">
        <v>11</v>
      </c>
      <c r="M91" s="75">
        <f>SUM(K91:L91)</f>
        <v>191</v>
      </c>
      <c r="N91" s="43"/>
      <c r="O91" s="43"/>
      <c r="P91" s="43"/>
      <c r="Q91" s="40">
        <f>SUM(M6:M91)</f>
        <v>22633</v>
      </c>
      <c r="R91" s="40">
        <f t="shared" si="3"/>
        <v>39</v>
      </c>
      <c r="S91" s="39" t="s">
        <v>63</v>
      </c>
      <c r="T91" s="39"/>
      <c r="U91" s="39"/>
      <c r="V91" s="39"/>
    </row>
    <row r="92" spans="1:23" ht="15" customHeight="1" x14ac:dyDescent="0.3">
      <c r="A92" s="59"/>
      <c r="B92" s="60"/>
      <c r="C92" s="61"/>
      <c r="D92" s="61"/>
      <c r="E92" s="252"/>
      <c r="F92" s="61"/>
      <c r="G92" s="285"/>
      <c r="H92" s="82">
        <v>38091</v>
      </c>
      <c r="I92" s="82" t="s">
        <v>128</v>
      </c>
      <c r="J92" s="407"/>
      <c r="K92" s="73"/>
      <c r="L92" s="73"/>
      <c r="M92" s="73"/>
      <c r="N92" s="43"/>
      <c r="O92" s="43"/>
      <c r="P92" s="43"/>
      <c r="Q92" s="37"/>
      <c r="R92" s="37" t="s">
        <v>63</v>
      </c>
      <c r="S92" s="39"/>
      <c r="T92" s="39"/>
      <c r="U92" s="39"/>
      <c r="V92" s="39"/>
    </row>
    <row r="93" spans="1:23" ht="15" customHeight="1" x14ac:dyDescent="0.3">
      <c r="A93" s="141" t="s">
        <v>113</v>
      </c>
      <c r="B93" s="142">
        <v>37949</v>
      </c>
      <c r="C93" s="143">
        <v>229</v>
      </c>
      <c r="D93" s="143">
        <v>218</v>
      </c>
      <c r="E93" s="261">
        <f t="shared" si="2"/>
        <v>95.196506550218345</v>
      </c>
      <c r="F93" s="143">
        <v>11</v>
      </c>
      <c r="G93" s="286">
        <f>11*100/229</f>
        <v>4.8034934497816595</v>
      </c>
      <c r="H93" s="144" t="s">
        <v>124</v>
      </c>
      <c r="I93" s="144" t="s">
        <v>131</v>
      </c>
      <c r="J93" s="408">
        <v>38371</v>
      </c>
      <c r="K93" s="146">
        <v>185</v>
      </c>
      <c r="L93" s="146">
        <v>7</v>
      </c>
      <c r="M93" s="146">
        <v>192</v>
      </c>
      <c r="N93" s="159"/>
      <c r="O93" s="159"/>
      <c r="P93" s="159"/>
      <c r="Q93" s="147">
        <f>SUM(M6:M93)</f>
        <v>22825</v>
      </c>
      <c r="R93" s="147">
        <f t="shared" si="3"/>
        <v>37</v>
      </c>
      <c r="S93" s="39" t="s">
        <v>63</v>
      </c>
      <c r="T93" s="39"/>
      <c r="U93" s="39"/>
      <c r="V93" s="39"/>
    </row>
    <row r="94" spans="1:23" ht="15" customHeight="1" x14ac:dyDescent="0.3">
      <c r="A94" s="148"/>
      <c r="B94" s="149"/>
      <c r="C94" s="150"/>
      <c r="D94" s="150"/>
      <c r="E94" s="255"/>
      <c r="F94" s="150"/>
      <c r="G94" s="285"/>
      <c r="H94" s="151">
        <v>38154</v>
      </c>
      <c r="I94" s="151" t="s">
        <v>130</v>
      </c>
      <c r="J94" s="409"/>
      <c r="K94" s="153"/>
      <c r="L94" s="153"/>
      <c r="M94" s="153"/>
      <c r="N94" s="159"/>
      <c r="O94" s="159"/>
      <c r="P94" s="159"/>
      <c r="Q94" s="154"/>
      <c r="R94" s="154" t="s">
        <v>63</v>
      </c>
      <c r="S94" s="39"/>
      <c r="T94" s="39"/>
      <c r="U94" s="39"/>
      <c r="V94" s="39"/>
    </row>
    <row r="95" spans="1:23" ht="15" customHeight="1" x14ac:dyDescent="0.3">
      <c r="A95" s="388" t="s">
        <v>119</v>
      </c>
      <c r="B95" s="391">
        <v>38096</v>
      </c>
      <c r="C95" s="68">
        <v>229</v>
      </c>
      <c r="D95" s="68">
        <v>213</v>
      </c>
      <c r="E95" s="253">
        <f>213*100/229</f>
        <v>93.013100436681228</v>
      </c>
      <c r="F95" s="68">
        <v>16</v>
      </c>
      <c r="G95" s="287">
        <f>16*100/229</f>
        <v>6.9868995633187776</v>
      </c>
      <c r="H95" s="432" t="s">
        <v>136</v>
      </c>
      <c r="I95" s="410" t="s">
        <v>137</v>
      </c>
      <c r="J95" s="391">
        <v>38483</v>
      </c>
      <c r="K95" s="388">
        <v>161</v>
      </c>
      <c r="L95" s="388">
        <v>12</v>
      </c>
      <c r="M95" s="388">
        <f>SUM(K95:L95)</f>
        <v>173</v>
      </c>
      <c r="N95" s="21"/>
      <c r="O95" s="21"/>
      <c r="P95" s="21"/>
      <c r="Q95" s="20"/>
      <c r="R95" s="20">
        <f t="shared" si="3"/>
        <v>56</v>
      </c>
    </row>
    <row r="96" spans="1:23" ht="54.75" customHeight="1" x14ac:dyDescent="0.3">
      <c r="A96" s="389"/>
      <c r="B96" s="389"/>
      <c r="C96" s="63" t="s">
        <v>63</v>
      </c>
      <c r="D96" s="63" t="s">
        <v>63</v>
      </c>
      <c r="E96" s="252"/>
      <c r="F96" s="63" t="s">
        <v>63</v>
      </c>
      <c r="G96" s="285"/>
      <c r="H96" s="433"/>
      <c r="I96" s="411"/>
      <c r="J96" s="407"/>
      <c r="K96" s="389"/>
      <c r="L96" s="389"/>
      <c r="M96" s="389"/>
      <c r="N96" s="21"/>
      <c r="O96" s="21"/>
      <c r="P96" s="21"/>
      <c r="Q96" s="120">
        <f>SUM(M6:M96)</f>
        <v>22998</v>
      </c>
      <c r="R96" s="19" t="s">
        <v>63</v>
      </c>
    </row>
    <row r="97" spans="1:24" ht="18" customHeight="1" x14ac:dyDescent="0.3">
      <c r="A97" s="155" t="s">
        <v>123</v>
      </c>
      <c r="B97" s="129">
        <v>38173</v>
      </c>
      <c r="C97" s="156">
        <v>289</v>
      </c>
      <c r="D97" s="156">
        <v>275</v>
      </c>
      <c r="E97" s="253">
        <f>275*100/289</f>
        <v>95.155709342560556</v>
      </c>
      <c r="F97" s="156">
        <v>14</v>
      </c>
      <c r="G97" s="287">
        <f>14*100/289</f>
        <v>4.844290657439446</v>
      </c>
      <c r="H97" s="157" t="s">
        <v>131</v>
      </c>
      <c r="I97" s="157" t="s">
        <v>138</v>
      </c>
      <c r="J97" s="408">
        <v>38561</v>
      </c>
      <c r="K97" s="158">
        <v>206</v>
      </c>
      <c r="L97" s="158">
        <v>15</v>
      </c>
      <c r="M97" s="158">
        <v>221</v>
      </c>
      <c r="N97" s="159"/>
      <c r="O97" s="159"/>
      <c r="P97" s="159"/>
      <c r="Q97" s="147">
        <f>SUM(M6:M97)</f>
        <v>23219</v>
      </c>
      <c r="R97" s="147">
        <f t="shared" si="3"/>
        <v>68</v>
      </c>
    </row>
    <row r="98" spans="1:24" ht="17.25" customHeight="1" x14ac:dyDescent="0.3">
      <c r="A98" s="148"/>
      <c r="B98" s="149"/>
      <c r="C98" s="150" t="s">
        <v>63</v>
      </c>
      <c r="D98" s="150" t="s">
        <v>63</v>
      </c>
      <c r="E98" s="252"/>
      <c r="F98" s="150" t="s">
        <v>63</v>
      </c>
      <c r="G98" s="285"/>
      <c r="H98" s="151" t="s">
        <v>132</v>
      </c>
      <c r="I98" s="151" t="s">
        <v>139</v>
      </c>
      <c r="J98" s="409"/>
      <c r="K98" s="153"/>
      <c r="L98" s="153"/>
      <c r="M98" s="153"/>
      <c r="N98" s="154"/>
      <c r="O98" s="154"/>
      <c r="P98" s="154"/>
      <c r="Q98" s="154"/>
      <c r="R98" s="154" t="s">
        <v>63</v>
      </c>
    </row>
    <row r="99" spans="1:24" ht="18.75" customHeight="1" x14ac:dyDescent="0.3">
      <c r="A99" s="56" t="s">
        <v>126</v>
      </c>
      <c r="B99" s="57">
        <v>38236</v>
      </c>
      <c r="C99" s="62">
        <v>289</v>
      </c>
      <c r="D99" s="62">
        <v>273</v>
      </c>
      <c r="E99" s="251">
        <f>273*100/289</f>
        <v>94.463667820069205</v>
      </c>
      <c r="F99" s="62">
        <v>16</v>
      </c>
      <c r="G99" s="286">
        <f>16*100/289</f>
        <v>5.5363321799307954</v>
      </c>
      <c r="H99" s="84" t="s">
        <v>134</v>
      </c>
      <c r="I99" s="84" t="s">
        <v>141</v>
      </c>
      <c r="J99" s="391">
        <v>38643</v>
      </c>
      <c r="K99" s="64">
        <v>248</v>
      </c>
      <c r="L99" s="64">
        <v>11</v>
      </c>
      <c r="M99" s="64">
        <v>259</v>
      </c>
      <c r="N99" s="19"/>
      <c r="O99" s="19"/>
      <c r="P99" s="19"/>
      <c r="Q99" s="20">
        <f>SUM(M6:M99)</f>
        <v>23478</v>
      </c>
      <c r="R99" s="20">
        <f t="shared" si="3"/>
        <v>30</v>
      </c>
    </row>
    <row r="100" spans="1:24" ht="17.25" customHeight="1" x14ac:dyDescent="0.3">
      <c r="A100" s="66"/>
      <c r="B100" s="67"/>
      <c r="C100" s="68" t="s">
        <v>63</v>
      </c>
      <c r="D100" s="68"/>
      <c r="E100" s="253"/>
      <c r="F100" s="68"/>
      <c r="G100" s="287"/>
      <c r="H100" s="87" t="s">
        <v>135</v>
      </c>
      <c r="I100" s="87" t="s">
        <v>142</v>
      </c>
      <c r="J100" s="407"/>
      <c r="K100" s="94"/>
      <c r="L100" s="94"/>
      <c r="M100" s="94"/>
      <c r="N100" s="19"/>
      <c r="O100" s="19"/>
      <c r="P100" s="19"/>
      <c r="Q100" s="19"/>
      <c r="R100" s="19" t="s">
        <v>63</v>
      </c>
    </row>
    <row r="101" spans="1:24" ht="19.5" customHeight="1" x14ac:dyDescent="0.3">
      <c r="A101" s="141" t="s">
        <v>129</v>
      </c>
      <c r="B101" s="142">
        <v>38294</v>
      </c>
      <c r="C101" s="143">
        <v>417</v>
      </c>
      <c r="D101" s="198">
        <v>388</v>
      </c>
      <c r="E101" s="254">
        <f>388*100/417</f>
        <v>93.045563549160676</v>
      </c>
      <c r="F101" s="146">
        <v>29</v>
      </c>
      <c r="G101" s="288">
        <f>29*100/417</f>
        <v>6.9544364508393288</v>
      </c>
      <c r="H101" s="428" t="s">
        <v>143</v>
      </c>
      <c r="I101" s="429"/>
      <c r="J101" s="408">
        <v>38699</v>
      </c>
      <c r="K101" s="146">
        <v>309</v>
      </c>
      <c r="L101" s="146">
        <v>22</v>
      </c>
      <c r="M101" s="146">
        <v>331</v>
      </c>
      <c r="N101" s="154"/>
      <c r="O101" s="154"/>
      <c r="P101" s="154"/>
      <c r="Q101" s="147">
        <f>SUM(M6:M101)</f>
        <v>23809</v>
      </c>
      <c r="R101" s="147">
        <f t="shared" si="3"/>
        <v>86</v>
      </c>
      <c r="S101" s="39" t="s">
        <v>63</v>
      </c>
      <c r="T101" s="39" t="s">
        <v>63</v>
      </c>
      <c r="U101" s="39"/>
      <c r="V101" s="39"/>
      <c r="W101" s="39"/>
      <c r="X101" s="39"/>
    </row>
    <row r="102" spans="1:24" ht="29.25" customHeight="1" x14ac:dyDescent="0.3">
      <c r="A102" s="148"/>
      <c r="B102" s="149"/>
      <c r="C102" s="150" t="s">
        <v>63</v>
      </c>
      <c r="D102" s="161"/>
      <c r="E102" s="255"/>
      <c r="F102" s="153"/>
      <c r="G102" s="289"/>
      <c r="H102" s="430"/>
      <c r="I102" s="431"/>
      <c r="J102" s="409"/>
      <c r="K102" s="153"/>
      <c r="L102" s="153"/>
      <c r="M102" s="153"/>
      <c r="N102" s="154"/>
      <c r="O102" s="154"/>
      <c r="P102" s="154"/>
      <c r="Q102" s="154"/>
      <c r="R102" s="154" t="s">
        <v>63</v>
      </c>
      <c r="S102" s="39"/>
      <c r="T102" s="39"/>
      <c r="U102" s="39"/>
      <c r="V102" s="39"/>
      <c r="W102" s="39"/>
      <c r="X102" s="39"/>
    </row>
    <row r="103" spans="1:24" ht="15" customHeight="1" x14ac:dyDescent="0.3">
      <c r="A103" s="388" t="s">
        <v>133</v>
      </c>
      <c r="B103" s="391">
        <v>38418</v>
      </c>
      <c r="C103" s="224">
        <v>502</v>
      </c>
      <c r="D103" s="225">
        <v>476</v>
      </c>
      <c r="E103" s="256">
        <f>476*100/502</f>
        <v>94.820717131474098</v>
      </c>
      <c r="F103" s="196">
        <v>26</v>
      </c>
      <c r="G103" s="290">
        <f>26*100/502</f>
        <v>5.1792828685258963</v>
      </c>
      <c r="H103" s="413" t="s">
        <v>146</v>
      </c>
      <c r="I103" s="414"/>
      <c r="J103" s="426">
        <v>38797</v>
      </c>
      <c r="K103" s="94">
        <v>373</v>
      </c>
      <c r="L103" s="94">
        <v>18</v>
      </c>
      <c r="M103" s="94">
        <f>SUM(K103:L103)</f>
        <v>391</v>
      </c>
      <c r="N103" s="19"/>
      <c r="O103" s="19"/>
      <c r="P103" s="19"/>
      <c r="Q103" s="20">
        <f>SUM(M6:M103)</f>
        <v>24200</v>
      </c>
      <c r="R103" s="20">
        <f t="shared" si="3"/>
        <v>111</v>
      </c>
    </row>
    <row r="104" spans="1:24" ht="15" customHeight="1" x14ac:dyDescent="0.3">
      <c r="A104" s="390"/>
      <c r="B104" s="390"/>
      <c r="C104" s="226" t="s">
        <v>63</v>
      </c>
      <c r="D104" s="227"/>
      <c r="E104" s="257"/>
      <c r="F104" s="228"/>
      <c r="G104" s="291"/>
      <c r="H104" s="415"/>
      <c r="I104" s="416"/>
      <c r="J104" s="427"/>
      <c r="K104" s="65"/>
      <c r="L104" s="65"/>
      <c r="M104" s="65"/>
      <c r="N104" s="19"/>
      <c r="O104" s="19"/>
      <c r="P104" s="19"/>
      <c r="Q104" s="19"/>
      <c r="R104" s="19" t="s">
        <v>63</v>
      </c>
    </row>
    <row r="105" spans="1:24" ht="30.75" customHeight="1" x14ac:dyDescent="0.3">
      <c r="A105" s="216" t="s">
        <v>140</v>
      </c>
      <c r="B105" s="217" t="s">
        <v>221</v>
      </c>
      <c r="C105" s="218">
        <v>617</v>
      </c>
      <c r="D105" s="219">
        <v>555</v>
      </c>
      <c r="E105" s="256">
        <f>555*100/617</f>
        <v>89.951377633711502</v>
      </c>
      <c r="F105" s="220">
        <v>62</v>
      </c>
      <c r="G105" s="290">
        <f>62*100/617</f>
        <v>10.048622366288493</v>
      </c>
      <c r="H105" s="385" t="s">
        <v>171</v>
      </c>
      <c r="I105" s="386"/>
      <c r="J105" s="221">
        <v>38954</v>
      </c>
      <c r="K105" s="220">
        <v>454</v>
      </c>
      <c r="L105" s="220">
        <v>46</v>
      </c>
      <c r="M105" s="220">
        <v>500</v>
      </c>
      <c r="N105" s="222"/>
      <c r="O105" s="222"/>
      <c r="P105" s="222"/>
      <c r="Q105" s="223">
        <f>SUM(M6:M105)</f>
        <v>24700</v>
      </c>
      <c r="R105" s="223">
        <f t="shared" si="3"/>
        <v>117</v>
      </c>
    </row>
    <row r="106" spans="1:24" ht="15" customHeight="1" x14ac:dyDescent="0.3">
      <c r="A106" s="56" t="s">
        <v>145</v>
      </c>
      <c r="B106" s="57">
        <v>38677</v>
      </c>
      <c r="C106" s="58">
        <v>300</v>
      </c>
      <c r="D106" s="199">
        <v>261</v>
      </c>
      <c r="E106" s="263">
        <f>261*100/300</f>
        <v>87</v>
      </c>
      <c r="F106" s="72">
        <v>39</v>
      </c>
      <c r="G106" s="288">
        <f>39*100/300</f>
        <v>13</v>
      </c>
      <c r="H106" s="387" t="s">
        <v>220</v>
      </c>
      <c r="I106" s="386"/>
      <c r="J106" s="105">
        <v>39064</v>
      </c>
      <c r="K106" s="72">
        <v>234</v>
      </c>
      <c r="L106" s="72">
        <v>28</v>
      </c>
      <c r="M106" s="72">
        <v>262</v>
      </c>
      <c r="N106" s="37"/>
      <c r="O106" s="37"/>
      <c r="P106" s="37"/>
      <c r="Q106" s="40">
        <f>SUM(M6:M106)</f>
        <v>24962</v>
      </c>
      <c r="R106" s="43">
        <v>38</v>
      </c>
      <c r="S106" s="39" t="s">
        <v>63</v>
      </c>
      <c r="T106" s="39"/>
      <c r="U106" s="39"/>
      <c r="V106" s="39"/>
      <c r="W106" s="39"/>
    </row>
    <row r="107" spans="1:24" ht="15" customHeight="1" x14ac:dyDescent="0.3">
      <c r="A107" s="141" t="s">
        <v>147</v>
      </c>
      <c r="B107" s="142">
        <v>38785</v>
      </c>
      <c r="C107" s="143">
        <v>306</v>
      </c>
      <c r="D107" s="198">
        <v>292</v>
      </c>
      <c r="E107" s="254">
        <f>292*100/306</f>
        <v>95.424836601307192</v>
      </c>
      <c r="F107" s="146">
        <v>14</v>
      </c>
      <c r="G107" s="288">
        <f>14*100/306</f>
        <v>4.5751633986928102</v>
      </c>
      <c r="H107" s="385" t="s">
        <v>152</v>
      </c>
      <c r="I107" s="386"/>
      <c r="J107" s="160">
        <v>39191</v>
      </c>
      <c r="K107" s="146">
        <v>228</v>
      </c>
      <c r="L107" s="146">
        <v>17</v>
      </c>
      <c r="M107" s="146">
        <v>245</v>
      </c>
      <c r="N107" s="154"/>
      <c r="O107" s="154"/>
      <c r="P107" s="154"/>
      <c r="Q107" s="147">
        <f>SUM(M6:M107)</f>
        <v>25207</v>
      </c>
      <c r="R107" s="147">
        <v>61</v>
      </c>
      <c r="S107" s="39" t="s">
        <v>63</v>
      </c>
      <c r="T107" s="39"/>
      <c r="U107" s="39"/>
      <c r="V107" s="39"/>
      <c r="W107" s="39"/>
    </row>
    <row r="108" spans="1:24" ht="15" customHeight="1" x14ac:dyDescent="0.3">
      <c r="A108" s="56" t="s">
        <v>148</v>
      </c>
      <c r="B108" s="57">
        <v>38938</v>
      </c>
      <c r="C108" s="58">
        <v>306</v>
      </c>
      <c r="D108" s="199">
        <v>259</v>
      </c>
      <c r="E108" s="254">
        <f>259*100/306</f>
        <v>84.640522875816998</v>
      </c>
      <c r="F108" s="72">
        <v>47</v>
      </c>
      <c r="G108" s="288">
        <f>47*100/306</f>
        <v>15.359477124183007</v>
      </c>
      <c r="H108" s="399" t="s">
        <v>156</v>
      </c>
      <c r="I108" s="400"/>
      <c r="J108" s="105">
        <v>39344</v>
      </c>
      <c r="K108" s="72">
        <v>229</v>
      </c>
      <c r="L108" s="72">
        <v>35</v>
      </c>
      <c r="M108" s="72">
        <v>264</v>
      </c>
      <c r="N108" s="43"/>
      <c r="O108" s="43"/>
      <c r="P108" s="43"/>
      <c r="Q108" s="44">
        <v>25471</v>
      </c>
      <c r="R108" s="40">
        <v>42</v>
      </c>
      <c r="S108" s="39" t="s">
        <v>63</v>
      </c>
      <c r="T108" s="39"/>
    </row>
    <row r="109" spans="1:24" ht="15" customHeight="1" x14ac:dyDescent="0.3">
      <c r="A109" s="139" t="s">
        <v>150</v>
      </c>
      <c r="B109" s="123">
        <v>39084</v>
      </c>
      <c r="C109" s="140">
        <v>452</v>
      </c>
      <c r="D109" s="203">
        <v>402</v>
      </c>
      <c r="E109" s="250">
        <f>402*100/452</f>
        <v>88.938053097345133</v>
      </c>
      <c r="F109" s="135">
        <v>50</v>
      </c>
      <c r="G109" s="292">
        <f>50*100/452</f>
        <v>11.061946902654867</v>
      </c>
      <c r="H109" s="394" t="s">
        <v>159</v>
      </c>
      <c r="I109" s="395"/>
      <c r="J109" s="215">
        <v>39430</v>
      </c>
      <c r="K109" s="135">
        <v>363</v>
      </c>
      <c r="L109" s="135">
        <v>35</v>
      </c>
      <c r="M109" s="135">
        <f>SUM(K109:L109)</f>
        <v>398</v>
      </c>
      <c r="N109" s="127"/>
      <c r="O109" s="127"/>
      <c r="P109" s="127"/>
      <c r="Q109" s="127">
        <v>25869</v>
      </c>
      <c r="R109" s="127">
        <v>54</v>
      </c>
    </row>
    <row r="110" spans="1:24" ht="15" customHeight="1" x14ac:dyDescent="0.3">
      <c r="A110" s="54" t="s">
        <v>153</v>
      </c>
      <c r="B110" s="47">
        <v>39197</v>
      </c>
      <c r="C110" s="55">
        <v>406</v>
      </c>
      <c r="D110" s="230">
        <v>364</v>
      </c>
      <c r="E110" s="250">
        <f>364*100/406</f>
        <v>89.65517241379311</v>
      </c>
      <c r="F110" s="51">
        <v>42</v>
      </c>
      <c r="G110" s="292">
        <f>42*100/406</f>
        <v>10.344827586206897</v>
      </c>
      <c r="H110" s="392" t="s">
        <v>161</v>
      </c>
      <c r="I110" s="393"/>
      <c r="J110" s="231">
        <v>39547</v>
      </c>
      <c r="K110" s="51">
        <v>311</v>
      </c>
      <c r="L110" s="51">
        <v>38</v>
      </c>
      <c r="M110" s="51">
        <v>349</v>
      </c>
      <c r="N110" s="13"/>
      <c r="O110" s="13"/>
      <c r="P110" s="13"/>
      <c r="Q110" s="13">
        <v>26218</v>
      </c>
      <c r="R110" s="232">
        <v>57</v>
      </c>
    </row>
    <row r="111" spans="1:24" ht="15" customHeight="1" x14ac:dyDescent="0.3">
      <c r="A111" s="139" t="s">
        <v>154</v>
      </c>
      <c r="B111" s="233" t="s">
        <v>158</v>
      </c>
      <c r="C111" s="140">
        <v>400</v>
      </c>
      <c r="D111" s="203">
        <v>352</v>
      </c>
      <c r="E111" s="265">
        <f>352*100/400</f>
        <v>88</v>
      </c>
      <c r="F111" s="135">
        <v>48</v>
      </c>
      <c r="G111" s="292">
        <f>48*100/400</f>
        <v>12</v>
      </c>
      <c r="H111" s="394" t="s">
        <v>163</v>
      </c>
      <c r="I111" s="395"/>
      <c r="J111" s="215">
        <v>39619</v>
      </c>
      <c r="K111" s="135">
        <v>320</v>
      </c>
      <c r="L111" s="135">
        <v>37</v>
      </c>
      <c r="M111" s="135">
        <v>357</v>
      </c>
      <c r="N111" s="127"/>
      <c r="O111" s="127"/>
      <c r="P111" s="127"/>
      <c r="Q111" s="127">
        <v>26575</v>
      </c>
      <c r="R111" s="127">
        <v>43</v>
      </c>
      <c r="S111" s="39" t="s">
        <v>63</v>
      </c>
      <c r="T111" s="39"/>
    </row>
    <row r="112" spans="1:24" ht="15" customHeight="1" x14ac:dyDescent="0.3">
      <c r="A112" s="54" t="s">
        <v>155</v>
      </c>
      <c r="B112" s="234" t="s">
        <v>219</v>
      </c>
      <c r="C112" s="235">
        <v>400</v>
      </c>
      <c r="D112" s="208">
        <v>357</v>
      </c>
      <c r="E112" s="250">
        <f>357*100/400</f>
        <v>89.25</v>
      </c>
      <c r="F112" s="52">
        <v>43</v>
      </c>
      <c r="G112" s="292">
        <f>43*100/400</f>
        <v>10.75</v>
      </c>
      <c r="H112" s="398" t="s">
        <v>165</v>
      </c>
      <c r="I112" s="393"/>
      <c r="J112" s="231">
        <v>39680</v>
      </c>
      <c r="K112" s="52">
        <v>304</v>
      </c>
      <c r="L112" s="52">
        <v>33</v>
      </c>
      <c r="M112" s="52">
        <v>337</v>
      </c>
      <c r="N112" s="42"/>
      <c r="O112" s="42"/>
      <c r="P112" s="42"/>
      <c r="Q112" s="42">
        <v>26912</v>
      </c>
      <c r="R112" s="42">
        <v>63</v>
      </c>
      <c r="S112" s="39"/>
      <c r="T112" s="39"/>
    </row>
    <row r="113" spans="1:20" ht="15" customHeight="1" x14ac:dyDescent="0.3">
      <c r="A113" s="139" t="s">
        <v>157</v>
      </c>
      <c r="B113" s="236" t="s">
        <v>218</v>
      </c>
      <c r="C113" s="140">
        <v>382</v>
      </c>
      <c r="D113" s="203">
        <v>340</v>
      </c>
      <c r="E113" s="250">
        <f>340*100/382</f>
        <v>89.005235602094245</v>
      </c>
      <c r="F113" s="135">
        <v>42</v>
      </c>
      <c r="G113" s="292">
        <f>42*100/382</f>
        <v>10.99476439790576</v>
      </c>
      <c r="H113" s="394" t="s">
        <v>166</v>
      </c>
      <c r="I113" s="395"/>
      <c r="J113" s="215">
        <v>39757</v>
      </c>
      <c r="K113" s="135">
        <v>318</v>
      </c>
      <c r="L113" s="135">
        <v>41</v>
      </c>
      <c r="M113" s="135">
        <v>359</v>
      </c>
      <c r="N113" s="127"/>
      <c r="O113" s="127"/>
      <c r="P113" s="127"/>
      <c r="Q113" s="205">
        <v>27271</v>
      </c>
      <c r="R113" s="127">
        <v>23</v>
      </c>
      <c r="S113" s="39"/>
      <c r="T113" s="39"/>
    </row>
    <row r="114" spans="1:20" ht="15" customHeight="1" x14ac:dyDescent="0.3">
      <c r="A114" s="51" t="s">
        <v>160</v>
      </c>
      <c r="B114" s="237">
        <v>39483</v>
      </c>
      <c r="C114" s="52">
        <v>150</v>
      </c>
      <c r="D114" s="207">
        <v>126</v>
      </c>
      <c r="E114" s="265">
        <f>126*100/150</f>
        <v>84</v>
      </c>
      <c r="F114" s="52">
        <v>24</v>
      </c>
      <c r="G114" s="292">
        <f>24*100/150</f>
        <v>16</v>
      </c>
      <c r="H114" s="209" t="s">
        <v>168</v>
      </c>
      <c r="I114" s="210"/>
      <c r="J114" s="231">
        <v>39822</v>
      </c>
      <c r="K114" s="52">
        <v>121</v>
      </c>
      <c r="L114" s="52">
        <v>25</v>
      </c>
      <c r="M114" s="52">
        <v>146</v>
      </c>
      <c r="N114" s="42"/>
      <c r="O114" s="42"/>
      <c r="P114" s="42"/>
      <c r="Q114" s="212">
        <v>27417</v>
      </c>
      <c r="R114" s="42">
        <v>4</v>
      </c>
      <c r="S114" s="39"/>
      <c r="T114" s="39"/>
    </row>
    <row r="115" spans="1:20" ht="15" customHeight="1" x14ac:dyDescent="0.3">
      <c r="A115" s="139" t="s">
        <v>162</v>
      </c>
      <c r="B115" s="213">
        <v>39554</v>
      </c>
      <c r="C115" s="135">
        <v>305</v>
      </c>
      <c r="D115" s="139">
        <v>272</v>
      </c>
      <c r="E115" s="250">
        <f>272*100/305</f>
        <v>89.180327868852459</v>
      </c>
      <c r="F115" s="135">
        <v>33</v>
      </c>
      <c r="G115" s="292">
        <f>33*100/305</f>
        <v>10.819672131147541</v>
      </c>
      <c r="H115" s="238" t="s">
        <v>172</v>
      </c>
      <c r="I115" s="204"/>
      <c r="J115" s="215">
        <v>39920</v>
      </c>
      <c r="K115" s="135">
        <v>218</v>
      </c>
      <c r="L115" s="135">
        <v>20</v>
      </c>
      <c r="M115" s="135">
        <f>SUM(K115:L115)</f>
        <v>238</v>
      </c>
      <c r="N115" s="127"/>
      <c r="O115" s="127"/>
      <c r="P115" s="127"/>
      <c r="Q115" s="205">
        <v>27655</v>
      </c>
      <c r="R115" s="127">
        <v>67</v>
      </c>
      <c r="S115" s="39"/>
      <c r="T115" s="39"/>
    </row>
    <row r="116" spans="1:20" ht="15" customHeight="1" x14ac:dyDescent="0.3">
      <c r="A116" s="54" t="s">
        <v>164</v>
      </c>
      <c r="B116" s="239">
        <v>39616</v>
      </c>
      <c r="C116" s="52">
        <v>307</v>
      </c>
      <c r="D116" s="207">
        <v>276</v>
      </c>
      <c r="E116" s="265">
        <f>276*100/307</f>
        <v>89.902280130293164</v>
      </c>
      <c r="F116" s="52">
        <v>31</v>
      </c>
      <c r="G116" s="292">
        <f>31*100/307</f>
        <v>10.09771986970684</v>
      </c>
      <c r="H116" s="240" t="s">
        <v>170</v>
      </c>
      <c r="I116" s="241"/>
      <c r="J116" s="231">
        <v>39962</v>
      </c>
      <c r="K116" s="52">
        <v>252</v>
      </c>
      <c r="L116" s="52">
        <v>26</v>
      </c>
      <c r="M116" s="52">
        <v>278</v>
      </c>
      <c r="N116" s="42"/>
      <c r="O116" s="42"/>
      <c r="P116" s="42"/>
      <c r="Q116" s="42">
        <v>27933</v>
      </c>
      <c r="R116" s="42">
        <v>29</v>
      </c>
      <c r="S116" s="39" t="s">
        <v>63</v>
      </c>
      <c r="T116" s="39" t="s">
        <v>63</v>
      </c>
    </row>
    <row r="117" spans="1:20" ht="15" customHeight="1" x14ac:dyDescent="0.3">
      <c r="A117" s="139" t="s">
        <v>167</v>
      </c>
      <c r="B117" s="213">
        <v>39687</v>
      </c>
      <c r="C117" s="135">
        <v>308</v>
      </c>
      <c r="D117" s="139">
        <v>271</v>
      </c>
      <c r="E117" s="250">
        <f>271*100/308</f>
        <v>87.987012987012989</v>
      </c>
      <c r="F117" s="135">
        <v>37</v>
      </c>
      <c r="G117" s="292">
        <f>37*100/308</f>
        <v>12.012987012987013</v>
      </c>
      <c r="H117" s="242" t="s">
        <v>174</v>
      </c>
      <c r="I117" s="204"/>
      <c r="J117" s="215">
        <v>40052</v>
      </c>
      <c r="K117" s="135">
        <v>250</v>
      </c>
      <c r="L117" s="135">
        <v>39</v>
      </c>
      <c r="M117" s="135">
        <f>SUM(K117:L117)</f>
        <v>289</v>
      </c>
      <c r="N117" s="127"/>
      <c r="O117" s="127"/>
      <c r="P117" s="127"/>
      <c r="Q117" s="127">
        <f>27933+289</f>
        <v>28222</v>
      </c>
      <c r="R117" s="127">
        <f>308-289</f>
        <v>19</v>
      </c>
      <c r="S117" s="39"/>
      <c r="T117" s="39"/>
    </row>
    <row r="118" spans="1:20" ht="15" customHeight="1" x14ac:dyDescent="0.3">
      <c r="A118" s="66" t="s">
        <v>169</v>
      </c>
      <c r="B118" s="177">
        <v>39825</v>
      </c>
      <c r="C118" s="75">
        <v>333</v>
      </c>
      <c r="D118" s="110">
        <v>276</v>
      </c>
      <c r="E118" s="258">
        <f>276*100/333</f>
        <v>82.882882882882882</v>
      </c>
      <c r="F118" s="75">
        <v>57</v>
      </c>
      <c r="G118" s="293">
        <f>57*100/333</f>
        <v>17.117117117117118</v>
      </c>
      <c r="H118" s="102" t="s">
        <v>176</v>
      </c>
      <c r="I118" s="91"/>
      <c r="J118" s="106">
        <v>40193</v>
      </c>
      <c r="K118" s="75">
        <v>246</v>
      </c>
      <c r="L118" s="75">
        <v>57</v>
      </c>
      <c r="M118" s="75">
        <f>SUM(K118:L118)</f>
        <v>303</v>
      </c>
      <c r="N118" s="43"/>
      <c r="O118" s="43"/>
      <c r="P118" s="43"/>
      <c r="Q118" s="43">
        <f>28222+303</f>
        <v>28525</v>
      </c>
      <c r="R118" s="229">
        <f>333-303</f>
        <v>30</v>
      </c>
      <c r="S118" s="39"/>
      <c r="T118" s="39"/>
    </row>
    <row r="119" spans="1:20" ht="15" customHeight="1" x14ac:dyDescent="0.3">
      <c r="A119" s="139" t="s">
        <v>173</v>
      </c>
      <c r="B119" s="213">
        <v>39946</v>
      </c>
      <c r="C119" s="135">
        <v>337</v>
      </c>
      <c r="D119" s="139">
        <v>302</v>
      </c>
      <c r="E119" s="250">
        <f>302*100/337</f>
        <v>89.614243323442139</v>
      </c>
      <c r="F119" s="135">
        <v>35</v>
      </c>
      <c r="G119" s="292">
        <f>35*100/337</f>
        <v>10.385756676557863</v>
      </c>
      <c r="H119" s="214" t="s">
        <v>179</v>
      </c>
      <c r="I119" s="204"/>
      <c r="J119" s="215">
        <v>40345</v>
      </c>
      <c r="K119" s="135">
        <v>287</v>
      </c>
      <c r="L119" s="135">
        <v>39</v>
      </c>
      <c r="M119" s="135">
        <f>SUM(K119:L119)</f>
        <v>326</v>
      </c>
      <c r="N119" s="127"/>
      <c r="O119" s="127"/>
      <c r="P119" s="127"/>
      <c r="Q119" s="205">
        <f>28525+326</f>
        <v>28851</v>
      </c>
      <c r="R119" s="127">
        <f>337-326</f>
        <v>11</v>
      </c>
      <c r="S119" s="39"/>
      <c r="T119" s="39"/>
    </row>
    <row r="120" spans="1:20" ht="15" customHeight="1" x14ac:dyDescent="0.3">
      <c r="A120" s="52" t="s">
        <v>175</v>
      </c>
      <c r="B120" s="206">
        <v>40091</v>
      </c>
      <c r="C120" s="52">
        <v>159</v>
      </c>
      <c r="D120" s="207">
        <v>130</v>
      </c>
      <c r="E120" s="250">
        <f>130*100/159</f>
        <v>81.76100628930817</v>
      </c>
      <c r="F120" s="52">
        <v>29</v>
      </c>
      <c r="G120" s="292">
        <f>29*100/159</f>
        <v>18.238993710691823</v>
      </c>
      <c r="H120" s="209" t="s">
        <v>180</v>
      </c>
      <c r="I120" s="210"/>
      <c r="J120" s="211">
        <v>40457</v>
      </c>
      <c r="K120" s="52">
        <v>137</v>
      </c>
      <c r="L120" s="52">
        <v>29</v>
      </c>
      <c r="M120" s="52">
        <f>SUM(K120:L120)</f>
        <v>166</v>
      </c>
      <c r="N120" s="42"/>
      <c r="O120" s="42"/>
      <c r="P120" s="42"/>
      <c r="Q120" s="212">
        <f>28851+166</f>
        <v>29017</v>
      </c>
      <c r="R120" s="42">
        <f>159-166</f>
        <v>-7</v>
      </c>
      <c r="S120" s="39"/>
      <c r="T120" s="39"/>
    </row>
    <row r="121" spans="1:20" ht="15" customHeight="1" x14ac:dyDescent="0.3">
      <c r="A121" s="141" t="s">
        <v>177</v>
      </c>
      <c r="B121" s="162" t="s">
        <v>178</v>
      </c>
      <c r="C121" s="146">
        <v>403</v>
      </c>
      <c r="D121" s="141">
        <v>312</v>
      </c>
      <c r="E121" s="254">
        <f>312*100/403</f>
        <v>77.41935483870968</v>
      </c>
      <c r="F121" s="146">
        <v>91</v>
      </c>
      <c r="G121" s="288">
        <f>91*100/403</f>
        <v>22.580645161290324</v>
      </c>
      <c r="H121" s="178" t="s">
        <v>185</v>
      </c>
      <c r="I121" s="195"/>
      <c r="J121" s="350" t="s">
        <v>188</v>
      </c>
      <c r="K121" s="146">
        <v>266</v>
      </c>
      <c r="L121" s="146">
        <v>82</v>
      </c>
      <c r="M121" s="146">
        <f t="shared" ref="M121:M137" si="4">SUM(K121:L121)</f>
        <v>348</v>
      </c>
      <c r="N121" s="159"/>
      <c r="O121" s="159"/>
      <c r="P121" s="159"/>
      <c r="Q121" s="163">
        <f>29017+348+13</f>
        <v>29378</v>
      </c>
      <c r="R121" s="147">
        <v>42</v>
      </c>
      <c r="S121" s="39"/>
      <c r="T121" s="39"/>
    </row>
    <row r="122" spans="1:20" ht="15" customHeight="1" x14ac:dyDescent="0.3">
      <c r="A122" s="148" t="s">
        <v>189</v>
      </c>
      <c r="B122" s="164">
        <v>40179</v>
      </c>
      <c r="C122" s="153" t="s">
        <v>63</v>
      </c>
      <c r="D122" s="148"/>
      <c r="E122" s="255"/>
      <c r="F122" s="153"/>
      <c r="G122" s="289"/>
      <c r="H122" s="166"/>
      <c r="I122" s="167"/>
      <c r="J122" s="349">
        <v>40606</v>
      </c>
      <c r="K122" s="153">
        <v>10</v>
      </c>
      <c r="L122" s="153">
        <v>3</v>
      </c>
      <c r="M122" s="153">
        <f t="shared" si="4"/>
        <v>13</v>
      </c>
      <c r="N122" s="127"/>
      <c r="O122" s="127"/>
      <c r="P122" s="127"/>
      <c r="Q122" s="154"/>
      <c r="R122" s="154"/>
      <c r="S122" s="39"/>
      <c r="T122" s="39"/>
    </row>
    <row r="123" spans="1:20" ht="15" customHeight="1" x14ac:dyDescent="0.3">
      <c r="A123" s="72" t="s">
        <v>181</v>
      </c>
      <c r="B123" s="112">
        <v>40357</v>
      </c>
      <c r="C123" s="75">
        <v>279</v>
      </c>
      <c r="D123" s="110">
        <v>248</v>
      </c>
      <c r="E123" s="254">
        <f>248*100/279</f>
        <v>88.888888888888886</v>
      </c>
      <c r="F123" s="72">
        <v>31</v>
      </c>
      <c r="G123" s="293">
        <f>31*100/279</f>
        <v>11.111111111111111</v>
      </c>
      <c r="H123" s="90" t="s">
        <v>192</v>
      </c>
      <c r="I123" s="91"/>
      <c r="J123" s="348">
        <v>40723</v>
      </c>
      <c r="K123" s="72">
        <v>228</v>
      </c>
      <c r="L123" s="72">
        <v>31</v>
      </c>
      <c r="M123" s="72">
        <f t="shared" si="4"/>
        <v>259</v>
      </c>
      <c r="N123" s="42"/>
      <c r="O123" s="42"/>
      <c r="P123" s="42"/>
      <c r="Q123" s="40">
        <f>29378+259+4</f>
        <v>29641</v>
      </c>
      <c r="R123" s="40">
        <v>16</v>
      </c>
      <c r="S123" s="39"/>
      <c r="T123" s="39"/>
    </row>
    <row r="124" spans="1:20" ht="15" customHeight="1" x14ac:dyDescent="0.3">
      <c r="A124" s="70" t="s">
        <v>189</v>
      </c>
      <c r="B124" s="71"/>
      <c r="C124" s="73" t="s">
        <v>63</v>
      </c>
      <c r="D124" s="70"/>
      <c r="E124" s="255"/>
      <c r="F124" s="73"/>
      <c r="G124" s="289"/>
      <c r="H124" s="83"/>
      <c r="I124" s="89"/>
      <c r="J124" s="121">
        <v>40829</v>
      </c>
      <c r="K124" s="73">
        <v>4</v>
      </c>
      <c r="L124" s="73">
        <v>0</v>
      </c>
      <c r="M124" s="73">
        <f t="shared" si="4"/>
        <v>4</v>
      </c>
      <c r="N124" s="37"/>
      <c r="O124" s="37"/>
      <c r="P124" s="37"/>
      <c r="Q124" s="37"/>
      <c r="R124" s="37"/>
      <c r="S124" s="39"/>
      <c r="T124" s="39"/>
    </row>
    <row r="125" spans="1:20" ht="15" customHeight="1" x14ac:dyDescent="0.3">
      <c r="A125" s="155" t="s">
        <v>182</v>
      </c>
      <c r="B125" s="162" t="s">
        <v>183</v>
      </c>
      <c r="C125" s="158">
        <v>350</v>
      </c>
      <c r="D125" s="155">
        <v>305</v>
      </c>
      <c r="E125" s="254">
        <f>305*100/350</f>
        <v>87.142857142857139</v>
      </c>
      <c r="F125" s="146">
        <v>45</v>
      </c>
      <c r="G125" s="293">
        <f>45*100/350</f>
        <v>12.857142857142858</v>
      </c>
      <c r="H125" s="169" t="s">
        <v>196</v>
      </c>
      <c r="I125" s="168"/>
      <c r="J125" s="352">
        <v>40820</v>
      </c>
      <c r="K125" s="146">
        <v>281</v>
      </c>
      <c r="L125" s="146">
        <v>37</v>
      </c>
      <c r="M125" s="146">
        <f t="shared" si="4"/>
        <v>318</v>
      </c>
      <c r="N125" s="127"/>
      <c r="O125" s="127"/>
      <c r="P125" s="127"/>
      <c r="Q125" s="147">
        <f>29641+318+3</f>
        <v>29962</v>
      </c>
      <c r="R125" s="147">
        <v>29</v>
      </c>
      <c r="S125" s="39"/>
      <c r="T125" s="39"/>
    </row>
    <row r="126" spans="1:20" ht="15" customHeight="1" x14ac:dyDescent="0.3">
      <c r="A126" s="148" t="s">
        <v>189</v>
      </c>
      <c r="B126" s="170" t="s">
        <v>184</v>
      </c>
      <c r="C126" s="153" t="s">
        <v>63</v>
      </c>
      <c r="D126" s="148"/>
      <c r="E126" s="255"/>
      <c r="F126" s="153"/>
      <c r="G126" s="289"/>
      <c r="H126" s="166"/>
      <c r="I126" s="167"/>
      <c r="J126" s="351">
        <v>40934</v>
      </c>
      <c r="K126" s="153">
        <v>3</v>
      </c>
      <c r="L126" s="153">
        <v>0</v>
      </c>
      <c r="M126" s="153">
        <f t="shared" si="4"/>
        <v>3</v>
      </c>
      <c r="N126" s="154"/>
      <c r="O126" s="154"/>
      <c r="P126" s="154"/>
      <c r="Q126" s="154"/>
      <c r="R126" s="154"/>
      <c r="S126" s="39"/>
      <c r="T126" s="39"/>
    </row>
    <row r="127" spans="1:20" ht="15" customHeight="1" x14ac:dyDescent="0.3">
      <c r="A127" s="110" t="s">
        <v>186</v>
      </c>
      <c r="B127" s="114" t="s">
        <v>187</v>
      </c>
      <c r="C127" s="75">
        <v>330</v>
      </c>
      <c r="D127" s="110">
        <v>302</v>
      </c>
      <c r="E127" s="254">
        <f>302*100/330</f>
        <v>91.515151515151516</v>
      </c>
      <c r="F127" s="72">
        <v>28</v>
      </c>
      <c r="G127" s="293">
        <f>28*100/330</f>
        <v>8.4848484848484844</v>
      </c>
      <c r="H127" s="90" t="s">
        <v>195</v>
      </c>
      <c r="I127" s="91"/>
      <c r="J127" s="113">
        <v>40884</v>
      </c>
      <c r="K127" s="75">
        <v>287</v>
      </c>
      <c r="L127" s="75">
        <v>26</v>
      </c>
      <c r="M127" s="75">
        <f t="shared" si="4"/>
        <v>313</v>
      </c>
      <c r="N127" s="37"/>
      <c r="O127" s="37"/>
      <c r="P127" s="37"/>
      <c r="Q127" s="40">
        <f>29962+318+1</f>
        <v>30281</v>
      </c>
      <c r="R127" s="40">
        <v>11</v>
      </c>
      <c r="S127" s="118" t="s">
        <v>63</v>
      </c>
      <c r="T127" s="39"/>
    </row>
    <row r="128" spans="1:20" ht="15" customHeight="1" x14ac:dyDescent="0.3">
      <c r="A128" s="110" t="s">
        <v>189</v>
      </c>
      <c r="B128" s="177">
        <v>40498</v>
      </c>
      <c r="C128" s="75" t="s">
        <v>63</v>
      </c>
      <c r="D128" s="110"/>
      <c r="E128" s="258"/>
      <c r="F128" s="75"/>
      <c r="G128" s="293"/>
      <c r="H128" s="78"/>
      <c r="I128" s="91"/>
      <c r="J128" s="354">
        <v>41016</v>
      </c>
      <c r="K128" s="75">
        <v>5</v>
      </c>
      <c r="L128" s="75">
        <v>0</v>
      </c>
      <c r="M128" s="75">
        <f t="shared" si="4"/>
        <v>5</v>
      </c>
      <c r="N128" s="37"/>
      <c r="O128" s="37"/>
      <c r="P128" s="37"/>
      <c r="Q128" s="43"/>
      <c r="R128" s="43"/>
      <c r="S128" s="39"/>
      <c r="T128" s="39"/>
    </row>
    <row r="129" spans="1:20" ht="15" customHeight="1" x14ac:dyDescent="0.3">
      <c r="A129" s="110" t="s">
        <v>189</v>
      </c>
      <c r="B129" s="177"/>
      <c r="C129" s="75"/>
      <c r="D129" s="110"/>
      <c r="E129" s="255"/>
      <c r="F129" s="73"/>
      <c r="G129" s="293"/>
      <c r="H129" s="78"/>
      <c r="I129" s="91"/>
      <c r="J129" s="353">
        <v>41108</v>
      </c>
      <c r="K129" s="73">
        <v>1</v>
      </c>
      <c r="L129" s="73">
        <v>0</v>
      </c>
      <c r="M129" s="73">
        <f t="shared" si="4"/>
        <v>1</v>
      </c>
      <c r="N129" s="37"/>
      <c r="O129" s="37"/>
      <c r="P129" s="37"/>
      <c r="Q129" s="37"/>
      <c r="R129" s="37"/>
      <c r="S129" s="39"/>
      <c r="T129" s="39"/>
    </row>
    <row r="130" spans="1:20" ht="15" customHeight="1" x14ac:dyDescent="0.3">
      <c r="A130" s="141" t="s">
        <v>190</v>
      </c>
      <c r="B130" s="165" t="s">
        <v>191</v>
      </c>
      <c r="C130" s="146">
        <v>273</v>
      </c>
      <c r="D130" s="141">
        <v>96</v>
      </c>
      <c r="E130" s="254">
        <f>96*100/273</f>
        <v>35.164835164835168</v>
      </c>
      <c r="F130" s="146">
        <v>177</v>
      </c>
      <c r="G130" s="294">
        <f>177*100/273</f>
        <v>64.835164835164832</v>
      </c>
      <c r="H130" s="178" t="s">
        <v>197</v>
      </c>
      <c r="I130" s="176"/>
      <c r="J130" s="352">
        <v>40990</v>
      </c>
      <c r="K130" s="146">
        <v>93</v>
      </c>
      <c r="L130" s="146">
        <v>160</v>
      </c>
      <c r="M130" s="146">
        <f t="shared" si="4"/>
        <v>253</v>
      </c>
      <c r="N130" s="154"/>
      <c r="O130" s="154"/>
      <c r="P130" s="154"/>
      <c r="Q130" s="147">
        <f>30281+253+1</f>
        <v>30535</v>
      </c>
      <c r="R130" s="147">
        <v>19</v>
      </c>
      <c r="S130" s="39"/>
      <c r="T130" s="39"/>
    </row>
    <row r="131" spans="1:20" ht="15" customHeight="1" x14ac:dyDescent="0.3">
      <c r="A131" s="148" t="s">
        <v>189</v>
      </c>
      <c r="B131" s="171">
        <v>40610</v>
      </c>
      <c r="C131" s="153" t="s">
        <v>63</v>
      </c>
      <c r="D131" s="148"/>
      <c r="E131" s="255"/>
      <c r="F131" s="153"/>
      <c r="G131" s="289"/>
      <c r="H131" s="166"/>
      <c r="I131" s="167"/>
      <c r="J131" s="349">
        <v>41079</v>
      </c>
      <c r="K131" s="153">
        <v>0</v>
      </c>
      <c r="L131" s="153">
        <v>1</v>
      </c>
      <c r="M131" s="153">
        <f t="shared" si="4"/>
        <v>1</v>
      </c>
      <c r="N131" s="154"/>
      <c r="O131" s="154"/>
      <c r="P131" s="154"/>
      <c r="Q131" s="154"/>
      <c r="R131" s="154"/>
      <c r="S131" s="39"/>
      <c r="T131" s="39"/>
    </row>
    <row r="132" spans="1:20" ht="15" customHeight="1" x14ac:dyDescent="0.3">
      <c r="A132" s="110" t="s">
        <v>193</v>
      </c>
      <c r="B132" s="74" t="s">
        <v>194</v>
      </c>
      <c r="C132" s="75">
        <v>330</v>
      </c>
      <c r="D132" s="110">
        <v>233</v>
      </c>
      <c r="E132" s="254">
        <f>233*100/330</f>
        <v>70.606060606060609</v>
      </c>
      <c r="F132" s="72">
        <v>97</v>
      </c>
      <c r="G132" s="293">
        <f>97*100/330</f>
        <v>29.393939393939394</v>
      </c>
      <c r="H132" s="90" t="s">
        <v>204</v>
      </c>
      <c r="I132" s="91"/>
      <c r="J132" s="175">
        <v>41080</v>
      </c>
      <c r="K132" s="75">
        <v>213</v>
      </c>
      <c r="L132" s="75">
        <v>86</v>
      </c>
      <c r="M132" s="75">
        <f t="shared" si="4"/>
        <v>299</v>
      </c>
      <c r="N132" s="43"/>
      <c r="O132" s="43"/>
      <c r="P132" s="43"/>
      <c r="Q132" s="40">
        <f>30535+299+2</f>
        <v>30836</v>
      </c>
      <c r="R132" s="40">
        <v>29</v>
      </c>
      <c r="S132" s="39" t="s">
        <v>63</v>
      </c>
      <c r="T132" s="39"/>
    </row>
    <row r="133" spans="1:20" ht="15" customHeight="1" x14ac:dyDescent="0.3">
      <c r="A133" s="70"/>
      <c r="B133" s="115"/>
      <c r="C133" s="73" t="s">
        <v>63</v>
      </c>
      <c r="D133" s="70"/>
      <c r="E133" s="255"/>
      <c r="F133" s="73"/>
      <c r="G133" s="289"/>
      <c r="H133" s="83"/>
      <c r="I133" s="89"/>
      <c r="J133" s="353">
        <v>41149</v>
      </c>
      <c r="K133" s="73">
        <v>1</v>
      </c>
      <c r="L133" s="73">
        <v>1</v>
      </c>
      <c r="M133" s="73">
        <f t="shared" si="4"/>
        <v>2</v>
      </c>
      <c r="N133" s="42"/>
      <c r="O133" s="42"/>
      <c r="P133" s="42"/>
      <c r="Q133" s="37"/>
      <c r="R133" s="37"/>
      <c r="S133" s="39" t="s">
        <v>63</v>
      </c>
      <c r="T133" s="39"/>
    </row>
    <row r="134" spans="1:20" ht="15" customHeight="1" x14ac:dyDescent="0.3">
      <c r="A134" s="146" t="s">
        <v>198</v>
      </c>
      <c r="B134" s="246" t="s">
        <v>199</v>
      </c>
      <c r="C134" s="158">
        <v>426</v>
      </c>
      <c r="D134" s="155">
        <v>272</v>
      </c>
      <c r="E134" s="254">
        <f>272*100/426</f>
        <v>63.84976525821596</v>
      </c>
      <c r="F134" s="146">
        <v>154</v>
      </c>
      <c r="G134" s="293">
        <f>154*100/426</f>
        <v>36.15023474178404</v>
      </c>
      <c r="H134" s="169" t="s">
        <v>212</v>
      </c>
      <c r="I134" s="168"/>
      <c r="J134" s="189">
        <v>41247</v>
      </c>
      <c r="K134" s="158">
        <v>256</v>
      </c>
      <c r="L134" s="158">
        <v>131</v>
      </c>
      <c r="M134" s="158">
        <f t="shared" si="4"/>
        <v>387</v>
      </c>
      <c r="N134" s="37"/>
      <c r="O134" s="37"/>
      <c r="P134" s="37"/>
      <c r="Q134" s="147">
        <f>30836+387+7</f>
        <v>31230</v>
      </c>
      <c r="R134" s="147">
        <f>426-387-7</f>
        <v>32</v>
      </c>
      <c r="S134" s="39"/>
      <c r="T134" s="39"/>
    </row>
    <row r="135" spans="1:20" ht="15" customHeight="1" x14ac:dyDescent="0.3">
      <c r="A135" s="153"/>
      <c r="B135" s="173"/>
      <c r="C135" s="174" t="s">
        <v>63</v>
      </c>
      <c r="D135" s="200"/>
      <c r="E135" s="259"/>
      <c r="F135" s="174"/>
      <c r="G135" s="295"/>
      <c r="H135" s="166"/>
      <c r="I135" s="167"/>
      <c r="J135" s="349">
        <v>41344</v>
      </c>
      <c r="K135" s="153">
        <v>5</v>
      </c>
      <c r="L135" s="153">
        <v>2</v>
      </c>
      <c r="M135" s="153">
        <f t="shared" si="4"/>
        <v>7</v>
      </c>
      <c r="N135" s="37"/>
      <c r="O135" s="37"/>
      <c r="P135" s="37"/>
      <c r="Q135" s="154"/>
      <c r="R135" s="154"/>
      <c r="S135" s="39"/>
      <c r="T135" s="39"/>
    </row>
    <row r="136" spans="1:20" ht="15" customHeight="1" x14ac:dyDescent="0.3">
      <c r="A136" s="110" t="s">
        <v>210</v>
      </c>
      <c r="B136" s="247" t="s">
        <v>211</v>
      </c>
      <c r="C136" s="75">
        <v>551</v>
      </c>
      <c r="D136" s="110">
        <v>353</v>
      </c>
      <c r="E136" s="254">
        <f>353*100/551</f>
        <v>64.065335753176043</v>
      </c>
      <c r="F136" s="72">
        <v>198</v>
      </c>
      <c r="G136" s="293">
        <f>198*100/551</f>
        <v>35.934664246823957</v>
      </c>
      <c r="H136" s="90" t="s">
        <v>224</v>
      </c>
      <c r="I136" s="188"/>
      <c r="J136" s="175">
        <v>41535</v>
      </c>
      <c r="K136" s="75">
        <v>334</v>
      </c>
      <c r="L136" s="75">
        <v>177</v>
      </c>
      <c r="M136" s="75">
        <f t="shared" si="4"/>
        <v>511</v>
      </c>
      <c r="N136" s="37"/>
      <c r="O136" s="37"/>
      <c r="P136" s="37"/>
      <c r="Q136" s="44">
        <f>31230+511+8</f>
        <v>31749</v>
      </c>
      <c r="R136" s="40">
        <v>32</v>
      </c>
      <c r="S136" s="39"/>
      <c r="T136" s="39"/>
    </row>
    <row r="137" spans="1:20" ht="15" customHeight="1" x14ac:dyDescent="0.3">
      <c r="A137" s="190" t="s">
        <v>63</v>
      </c>
      <c r="B137" s="115"/>
      <c r="C137" s="186" t="s">
        <v>63</v>
      </c>
      <c r="D137" s="201"/>
      <c r="E137" s="259"/>
      <c r="F137" s="186"/>
      <c r="G137" s="295"/>
      <c r="H137" s="185"/>
      <c r="I137" s="187"/>
      <c r="J137" s="121">
        <v>41652</v>
      </c>
      <c r="K137" s="73">
        <v>6</v>
      </c>
      <c r="L137" s="73">
        <v>2</v>
      </c>
      <c r="M137" s="73">
        <f t="shared" si="4"/>
        <v>8</v>
      </c>
      <c r="N137" s="37"/>
      <c r="O137" s="37"/>
      <c r="P137" s="37"/>
      <c r="Q137" s="269"/>
      <c r="R137" s="37"/>
      <c r="S137" s="39"/>
      <c r="T137" s="39"/>
    </row>
    <row r="138" spans="1:20" ht="15" customHeight="1" x14ac:dyDescent="0.3">
      <c r="A138" s="270" t="s">
        <v>213</v>
      </c>
      <c r="B138" s="271" t="s">
        <v>214</v>
      </c>
      <c r="C138" s="158">
        <v>550</v>
      </c>
      <c r="D138" s="155">
        <v>351</v>
      </c>
      <c r="E138" s="272">
        <f>351*100/550</f>
        <v>63.81818181818182</v>
      </c>
      <c r="F138" s="146">
        <v>199</v>
      </c>
      <c r="G138" s="293">
        <f>199*100/550</f>
        <v>36.18181818181818</v>
      </c>
      <c r="H138" s="178" t="s">
        <v>225</v>
      </c>
      <c r="I138" s="195"/>
      <c r="J138" s="273">
        <v>41611</v>
      </c>
      <c r="K138" s="146">
        <v>323</v>
      </c>
      <c r="L138" s="146">
        <v>168</v>
      </c>
      <c r="M138" s="146">
        <f>SUM(K138:L138)</f>
        <v>491</v>
      </c>
      <c r="N138" s="154"/>
      <c r="O138" s="154"/>
      <c r="P138" s="154"/>
      <c r="Q138" s="147">
        <f>31741+8+491+2</f>
        <v>32242</v>
      </c>
      <c r="R138" s="147">
        <v>57</v>
      </c>
      <c r="S138" s="39"/>
      <c r="T138" s="39"/>
    </row>
    <row r="139" spans="1:20" ht="15" customHeight="1" x14ac:dyDescent="0.3">
      <c r="A139" s="274"/>
      <c r="B139" s="275"/>
      <c r="C139" s="153"/>
      <c r="D139" s="148"/>
      <c r="E139" s="276"/>
      <c r="F139" s="153"/>
      <c r="G139" s="289"/>
      <c r="H139" s="277"/>
      <c r="I139" s="167"/>
      <c r="J139" s="172">
        <v>41718</v>
      </c>
      <c r="K139" s="153">
        <v>2</v>
      </c>
      <c r="L139" s="153">
        <v>0</v>
      </c>
      <c r="M139" s="153">
        <f>SUM(K139:L139)</f>
        <v>2</v>
      </c>
      <c r="N139" s="154"/>
      <c r="O139" s="154"/>
      <c r="P139" s="154"/>
      <c r="Q139" s="154"/>
      <c r="R139" s="154"/>
      <c r="S139" s="39"/>
      <c r="T139" s="39"/>
    </row>
    <row r="140" spans="1:20" ht="15" customHeight="1" x14ac:dyDescent="0.3">
      <c r="A140" s="266" t="s">
        <v>222</v>
      </c>
      <c r="B140" s="268" t="s">
        <v>223</v>
      </c>
      <c r="C140" s="75">
        <v>330</v>
      </c>
      <c r="D140" s="110">
        <v>155</v>
      </c>
      <c r="E140" s="267">
        <v>46.97</v>
      </c>
      <c r="F140" s="75">
        <v>175</v>
      </c>
      <c r="G140" s="293">
        <v>53.03</v>
      </c>
      <c r="H140" s="90" t="s">
        <v>229</v>
      </c>
      <c r="I140" s="188"/>
      <c r="J140" s="175">
        <v>41778</v>
      </c>
      <c r="K140" s="75">
        <v>147</v>
      </c>
      <c r="L140" s="75">
        <v>156</v>
      </c>
      <c r="M140" s="75">
        <f>SUM(K140:L140)</f>
        <v>303</v>
      </c>
      <c r="N140" s="37"/>
      <c r="O140" s="37"/>
      <c r="P140" s="37"/>
      <c r="Q140" s="328">
        <v>32547</v>
      </c>
      <c r="R140" s="328">
        <v>25</v>
      </c>
      <c r="S140" s="39"/>
      <c r="T140" s="39"/>
    </row>
    <row r="141" spans="1:20" ht="15" customHeight="1" x14ac:dyDescent="0.3">
      <c r="A141" s="190"/>
      <c r="B141" s="115"/>
      <c r="C141" s="186" t="s">
        <v>63</v>
      </c>
      <c r="D141" s="201"/>
      <c r="E141" s="259"/>
      <c r="F141" s="186"/>
      <c r="G141" s="295"/>
      <c r="H141" s="194"/>
      <c r="I141" s="187"/>
      <c r="J141" s="278" t="s">
        <v>232</v>
      </c>
      <c r="K141" s="73">
        <v>1</v>
      </c>
      <c r="L141" s="73">
        <v>1</v>
      </c>
      <c r="M141" s="73">
        <f>SUM(K141:L141)</f>
        <v>2</v>
      </c>
      <c r="N141" s="37"/>
      <c r="O141" s="37"/>
      <c r="P141" s="37"/>
      <c r="Q141" s="304"/>
      <c r="R141" s="304"/>
      <c r="S141" s="39"/>
      <c r="T141" s="39"/>
    </row>
    <row r="142" spans="1:20" ht="15" customHeight="1" x14ac:dyDescent="0.3">
      <c r="A142" s="329" t="s">
        <v>227</v>
      </c>
      <c r="B142" s="330" t="s">
        <v>228</v>
      </c>
      <c r="C142" s="331">
        <v>334</v>
      </c>
      <c r="D142" s="332">
        <v>240</v>
      </c>
      <c r="E142" s="332">
        <v>71.86</v>
      </c>
      <c r="F142" s="332">
        <v>94</v>
      </c>
      <c r="G142" s="333">
        <v>28.14</v>
      </c>
      <c r="H142" s="334" t="s">
        <v>233</v>
      </c>
      <c r="I142" s="335"/>
      <c r="J142" s="336" t="s">
        <v>235</v>
      </c>
      <c r="K142" s="337">
        <v>211</v>
      </c>
      <c r="L142" s="337">
        <v>87</v>
      </c>
      <c r="M142" s="337">
        <v>298</v>
      </c>
      <c r="N142" s="279"/>
      <c r="O142" s="279"/>
      <c r="P142" s="279"/>
      <c r="Q142" s="338">
        <v>32845</v>
      </c>
      <c r="R142" s="338">
        <v>36</v>
      </c>
      <c r="S142" s="39"/>
      <c r="T142" s="39"/>
    </row>
    <row r="143" spans="1:20" ht="15" customHeight="1" x14ac:dyDescent="0.3">
      <c r="A143" s="365" t="s">
        <v>231</v>
      </c>
      <c r="B143" s="366">
        <v>41827</v>
      </c>
      <c r="C143" s="367">
        <v>283</v>
      </c>
      <c r="D143" s="368">
        <v>239</v>
      </c>
      <c r="E143" s="369">
        <v>84.45</v>
      </c>
      <c r="F143" s="368">
        <v>44</v>
      </c>
      <c r="G143" s="370">
        <v>15.55</v>
      </c>
      <c r="H143" s="371" t="s">
        <v>237</v>
      </c>
      <c r="I143" s="372"/>
      <c r="J143" s="373" t="s">
        <v>238</v>
      </c>
      <c r="K143" s="374">
        <v>226</v>
      </c>
      <c r="L143" s="374">
        <v>35</v>
      </c>
      <c r="M143" s="374">
        <v>261</v>
      </c>
      <c r="N143" s="40"/>
      <c r="O143" s="40"/>
      <c r="P143" s="40"/>
      <c r="Q143" s="40">
        <v>33107</v>
      </c>
      <c r="R143" s="40">
        <v>21</v>
      </c>
      <c r="S143" s="39"/>
      <c r="T143" s="39"/>
    </row>
    <row r="144" spans="1:20" ht="15" customHeight="1" x14ac:dyDescent="0.3">
      <c r="A144" s="355" t="s">
        <v>231</v>
      </c>
      <c r="B144" s="356"/>
      <c r="C144" s="357"/>
      <c r="D144" s="358"/>
      <c r="E144" s="359"/>
      <c r="F144" s="358"/>
      <c r="G144" s="360"/>
      <c r="H144" s="361"/>
      <c r="I144" s="362"/>
      <c r="J144" s="363" t="s">
        <v>242</v>
      </c>
      <c r="K144" s="364">
        <v>1</v>
      </c>
      <c r="L144" s="364">
        <v>0</v>
      </c>
      <c r="M144" s="364">
        <v>1</v>
      </c>
      <c r="N144" s="304"/>
      <c r="O144" s="304"/>
      <c r="P144" s="304"/>
      <c r="Q144" s="304"/>
      <c r="R144" s="304"/>
      <c r="S144" s="39"/>
      <c r="T144" s="39"/>
    </row>
    <row r="145" spans="1:20" ht="15" customHeight="1" x14ac:dyDescent="0.3">
      <c r="A145" s="345" t="s">
        <v>236</v>
      </c>
      <c r="B145" s="343">
        <v>42023</v>
      </c>
      <c r="C145" s="344">
        <v>278</v>
      </c>
      <c r="D145" s="344">
        <v>208</v>
      </c>
      <c r="E145" s="344">
        <v>74.819999999999993</v>
      </c>
      <c r="F145" s="344">
        <v>70</v>
      </c>
      <c r="G145" s="344">
        <v>25.18</v>
      </c>
      <c r="H145" s="341" t="s">
        <v>241</v>
      </c>
      <c r="I145" s="335"/>
      <c r="J145" s="342">
        <v>42349</v>
      </c>
      <c r="K145" s="337">
        <v>177</v>
      </c>
      <c r="L145" s="337">
        <v>62</v>
      </c>
      <c r="M145" s="337">
        <v>239</v>
      </c>
      <c r="N145" s="279"/>
      <c r="O145" s="279"/>
      <c r="P145" s="279"/>
      <c r="Q145" s="347">
        <v>33350</v>
      </c>
      <c r="R145" s="347">
        <v>35</v>
      </c>
      <c r="S145" s="39"/>
      <c r="T145" s="39"/>
    </row>
    <row r="146" spans="1:20" ht="15" customHeight="1" x14ac:dyDescent="0.3">
      <c r="A146" s="339" t="s">
        <v>236</v>
      </c>
      <c r="B146" s="340"/>
      <c r="C146" s="279"/>
      <c r="D146" s="279"/>
      <c r="E146" s="279"/>
      <c r="F146" s="279"/>
      <c r="G146" s="279"/>
      <c r="H146" s="341"/>
      <c r="I146" s="335"/>
      <c r="J146" s="342">
        <v>42543</v>
      </c>
      <c r="K146" s="337">
        <v>1</v>
      </c>
      <c r="L146" s="337">
        <v>3</v>
      </c>
      <c r="M146" s="337">
        <v>4</v>
      </c>
      <c r="N146" s="279"/>
      <c r="O146" s="279"/>
      <c r="P146" s="279"/>
      <c r="Q146" s="279"/>
      <c r="R146" s="346"/>
      <c r="S146" s="39"/>
      <c r="T146" s="39"/>
    </row>
    <row r="147" spans="1:20" ht="15" customHeight="1" x14ac:dyDescent="0.3">
      <c r="A147" s="315" t="s">
        <v>239</v>
      </c>
      <c r="B147" s="280" t="s">
        <v>240</v>
      </c>
      <c r="C147" s="299">
        <v>262</v>
      </c>
      <c r="D147" s="299">
        <v>197</v>
      </c>
      <c r="E147" s="326">
        <v>75.19</v>
      </c>
      <c r="F147" s="299">
        <v>65</v>
      </c>
      <c r="G147" s="320">
        <v>24.81</v>
      </c>
      <c r="H147" s="316" t="s">
        <v>253</v>
      </c>
      <c r="I147" s="297"/>
      <c r="J147" s="317">
        <v>42543</v>
      </c>
      <c r="K147" s="298">
        <v>182</v>
      </c>
      <c r="L147" s="298">
        <v>58</v>
      </c>
      <c r="M147" s="298">
        <v>240</v>
      </c>
      <c r="N147" s="37"/>
      <c r="O147" s="37"/>
      <c r="P147" s="37"/>
      <c r="Q147" s="42">
        <v>33590</v>
      </c>
      <c r="R147" s="42">
        <v>22</v>
      </c>
      <c r="S147" s="39"/>
      <c r="T147" s="39"/>
    </row>
    <row r="148" spans="1:20" ht="15" customHeight="1" x14ac:dyDescent="0.3">
      <c r="A148" s="318" t="s">
        <v>243</v>
      </c>
      <c r="B148" s="319">
        <v>42394</v>
      </c>
      <c r="C148" s="320">
        <v>237</v>
      </c>
      <c r="D148" s="321">
        <v>170</v>
      </c>
      <c r="E148" s="321">
        <v>71.73</v>
      </c>
      <c r="F148" s="321">
        <v>67</v>
      </c>
      <c r="G148" s="321">
        <v>28.27</v>
      </c>
      <c r="H148" s="322"/>
      <c r="I148" s="323"/>
      <c r="J148" s="324"/>
      <c r="K148" s="325"/>
      <c r="L148" s="325"/>
      <c r="M148" s="325"/>
      <c r="N148" s="37"/>
      <c r="O148" s="37"/>
      <c r="P148" s="37"/>
      <c r="Q148" s="303"/>
      <c r="R148" s="38"/>
      <c r="S148" s="39"/>
      <c r="T148" s="39"/>
    </row>
    <row r="149" spans="1:20" ht="15" customHeight="1" x14ac:dyDescent="0.3">
      <c r="A149" s="318" t="s">
        <v>254</v>
      </c>
      <c r="B149" s="376">
        <v>42611</v>
      </c>
      <c r="C149" s="320">
        <v>511</v>
      </c>
      <c r="D149" s="321">
        <v>379</v>
      </c>
      <c r="E149" s="321">
        <v>74.17</v>
      </c>
      <c r="F149" s="321">
        <v>132</v>
      </c>
      <c r="G149" s="321">
        <v>25.83</v>
      </c>
      <c r="H149" s="322"/>
      <c r="I149" s="323"/>
      <c r="J149" s="324"/>
      <c r="K149" s="325"/>
      <c r="L149" s="325"/>
      <c r="M149" s="325"/>
      <c r="N149" s="37"/>
      <c r="O149" s="37"/>
      <c r="P149" s="37"/>
      <c r="Q149" s="375"/>
      <c r="R149" s="38"/>
      <c r="S149" s="39"/>
      <c r="T149" s="39"/>
    </row>
    <row r="150" spans="1:20" ht="24.75" customHeight="1" x14ac:dyDescent="0.25">
      <c r="A150" s="95" t="s">
        <v>103</v>
      </c>
      <c r="B150" s="96"/>
      <c r="C150" s="97">
        <f>SUM(C6:C147)</f>
        <v>43834</v>
      </c>
      <c r="D150" s="202">
        <f>SUM(D6:D147)</f>
        <v>38757</v>
      </c>
      <c r="E150" s="262">
        <f>(D150)*100/C150</f>
        <v>88.417666651457779</v>
      </c>
      <c r="F150" s="202">
        <f>SUM(F6:F147)</f>
        <v>5077</v>
      </c>
      <c r="G150" s="296">
        <f>(F150)*100/C150</f>
        <v>11.582333348542228</v>
      </c>
      <c r="H150" s="98"/>
      <c r="I150" s="99"/>
      <c r="J150" s="111"/>
      <c r="K150" s="100"/>
      <c r="L150" s="100"/>
      <c r="M150" s="100"/>
      <c r="N150" s="13"/>
      <c r="O150" s="13"/>
      <c r="P150" s="13"/>
      <c r="Q150" s="36"/>
      <c r="R150" s="35" t="s">
        <v>63</v>
      </c>
    </row>
    <row r="151" spans="1:20" s="39" customFormat="1" ht="12" customHeight="1" x14ac:dyDescent="0.25">
      <c r="A151" s="327" t="s">
        <v>207</v>
      </c>
      <c r="B151" s="180"/>
      <c r="C151" s="181"/>
      <c r="D151" s="181"/>
      <c r="E151" s="181"/>
      <c r="F151" s="181"/>
      <c r="G151" s="181"/>
      <c r="H151" s="182"/>
      <c r="I151" s="182"/>
      <c r="J151" s="183"/>
      <c r="K151" s="184"/>
      <c r="L151" s="184"/>
      <c r="M151" s="184"/>
      <c r="N151" s="179"/>
      <c r="O151" s="179"/>
      <c r="P151" s="179"/>
      <c r="Q151" s="179"/>
      <c r="R151" s="38"/>
    </row>
    <row r="152" spans="1:20" s="39" customFormat="1" ht="12" customHeight="1" x14ac:dyDescent="0.25">
      <c r="A152" s="193"/>
      <c r="B152" s="180"/>
      <c r="C152" s="181"/>
      <c r="D152" s="181"/>
      <c r="E152" s="181"/>
      <c r="F152" s="181"/>
      <c r="G152" s="181"/>
      <c r="H152" s="182"/>
      <c r="I152" s="182"/>
      <c r="J152" s="183"/>
      <c r="K152" s="184"/>
      <c r="L152" s="184"/>
      <c r="M152" s="184"/>
      <c r="N152" s="192"/>
      <c r="O152" s="192"/>
      <c r="P152" s="192"/>
      <c r="Q152" s="192"/>
      <c r="R152" s="38"/>
    </row>
    <row r="153" spans="1:20" s="39" customFormat="1" ht="12" customHeight="1" x14ac:dyDescent="0.25">
      <c r="A153" s="305" t="s">
        <v>255</v>
      </c>
      <c r="B153" s="306"/>
      <c r="C153" s="307"/>
      <c r="D153" s="307"/>
      <c r="E153" s="307"/>
      <c r="F153" s="307"/>
      <c r="G153" s="307"/>
      <c r="H153" s="308"/>
      <c r="I153" s="308"/>
      <c r="J153" s="378"/>
      <c r="K153" s="379"/>
      <c r="L153" s="300"/>
      <c r="M153" s="300"/>
      <c r="N153" s="301"/>
      <c r="O153" s="301"/>
      <c r="P153" s="301"/>
      <c r="Q153" s="301"/>
      <c r="R153" s="302"/>
    </row>
    <row r="154" spans="1:20" s="39" customFormat="1" ht="12" customHeight="1" x14ac:dyDescent="0.25">
      <c r="A154" s="377" t="s">
        <v>256</v>
      </c>
      <c r="B154" s="377"/>
      <c r="C154" s="377"/>
      <c r="D154" s="377"/>
      <c r="E154" s="377"/>
      <c r="F154" s="377"/>
      <c r="G154" s="377"/>
      <c r="H154" s="377"/>
      <c r="I154" s="377"/>
      <c r="J154" s="183"/>
      <c r="K154" s="184"/>
      <c r="L154" s="184"/>
      <c r="M154" s="184"/>
      <c r="N154" s="192"/>
      <c r="O154" s="192"/>
      <c r="P154" s="192"/>
      <c r="Q154" s="192"/>
      <c r="R154" s="38"/>
    </row>
    <row r="155" spans="1:20" s="39" customFormat="1" ht="12" customHeight="1" x14ac:dyDescent="0.25">
      <c r="A155" s="193"/>
      <c r="B155" s="180"/>
      <c r="C155" s="181"/>
      <c r="D155" s="181"/>
      <c r="E155" s="181"/>
      <c r="F155" s="181"/>
      <c r="G155" s="181"/>
      <c r="H155" s="182"/>
      <c r="I155" s="182"/>
      <c r="J155" s="183"/>
      <c r="K155" s="184"/>
      <c r="L155" s="184"/>
      <c r="M155" s="184"/>
      <c r="N155" s="192"/>
      <c r="O155" s="192"/>
      <c r="P155" s="192"/>
      <c r="Q155" s="192"/>
      <c r="R155" s="38"/>
    </row>
    <row r="156" spans="1:20" ht="15.6" x14ac:dyDescent="0.3">
      <c r="A156" s="117" t="s">
        <v>189</v>
      </c>
      <c r="B156" s="116" t="s">
        <v>202</v>
      </c>
      <c r="C156" s="2"/>
      <c r="D156" s="2"/>
      <c r="E156" s="2"/>
      <c r="F156" s="2"/>
      <c r="G156" s="2"/>
      <c r="H156" s="2"/>
      <c r="I156" s="2"/>
      <c r="J156" s="3"/>
      <c r="K156" s="3"/>
      <c r="L156" s="3"/>
      <c r="M156" s="3"/>
      <c r="N156" s="4"/>
      <c r="O156" s="5"/>
      <c r="P156" s="5"/>
      <c r="Q156" s="4"/>
    </row>
    <row r="157" spans="1:20" ht="15.6" x14ac:dyDescent="0.3">
      <c r="A157" s="117" t="s">
        <v>189</v>
      </c>
      <c r="B157" s="116" t="s">
        <v>201</v>
      </c>
      <c r="C157" s="2"/>
      <c r="D157" s="2"/>
      <c r="E157" s="2"/>
      <c r="F157" s="2"/>
      <c r="G157" s="2"/>
      <c r="H157" s="2"/>
      <c r="I157" s="2"/>
      <c r="J157" s="3"/>
      <c r="K157" s="3"/>
      <c r="L157" s="3"/>
      <c r="M157" s="3"/>
      <c r="N157" s="4"/>
      <c r="O157" s="5"/>
      <c r="P157" s="5"/>
      <c r="Q157" s="4"/>
    </row>
    <row r="158" spans="1:20" ht="15.6" x14ac:dyDescent="0.3">
      <c r="A158" s="117" t="s">
        <v>189</v>
      </c>
      <c r="B158" s="116" t="s">
        <v>200</v>
      </c>
      <c r="C158" s="2"/>
      <c r="D158" s="2"/>
      <c r="E158" s="2"/>
      <c r="F158" s="2"/>
      <c r="G158" s="2"/>
      <c r="H158" s="2"/>
      <c r="I158" s="2"/>
      <c r="J158" s="3"/>
      <c r="K158" s="3"/>
      <c r="L158" s="3"/>
      <c r="M158" s="3"/>
      <c r="N158" s="4"/>
      <c r="O158" s="5"/>
      <c r="P158" s="5"/>
      <c r="Q158" s="4"/>
    </row>
    <row r="159" spans="1:20" ht="15.6" x14ac:dyDescent="0.3">
      <c r="A159" s="117" t="s">
        <v>189</v>
      </c>
      <c r="B159" s="116" t="s">
        <v>203</v>
      </c>
      <c r="C159" s="2"/>
      <c r="D159" s="2"/>
      <c r="E159" s="2"/>
      <c r="F159" s="2"/>
      <c r="G159" s="2"/>
      <c r="H159" s="2"/>
      <c r="I159" s="2"/>
      <c r="J159" s="3"/>
      <c r="K159" s="3"/>
      <c r="L159" s="3"/>
      <c r="M159" s="3"/>
      <c r="N159" s="4"/>
      <c r="O159" s="5"/>
      <c r="P159" s="5"/>
      <c r="Q159" s="4"/>
    </row>
    <row r="160" spans="1:20" ht="15.6" x14ac:dyDescent="0.3">
      <c r="A160" s="117" t="s">
        <v>189</v>
      </c>
      <c r="B160" s="116" t="s">
        <v>206</v>
      </c>
      <c r="C160" s="2"/>
      <c r="D160" s="2"/>
      <c r="E160" s="2"/>
      <c r="F160" s="2"/>
      <c r="G160" s="2"/>
      <c r="H160" s="2"/>
      <c r="I160" s="2"/>
      <c r="J160" s="3"/>
      <c r="K160" s="3"/>
      <c r="L160" s="3"/>
      <c r="M160" s="3"/>
      <c r="N160" s="4"/>
      <c r="O160" s="5"/>
      <c r="P160" s="5"/>
      <c r="Q160" s="4"/>
    </row>
    <row r="161" spans="1:17" ht="15.6" x14ac:dyDescent="0.3">
      <c r="A161" s="117" t="s">
        <v>189</v>
      </c>
      <c r="B161" s="116" t="s">
        <v>208</v>
      </c>
      <c r="C161" s="2"/>
      <c r="D161" s="2"/>
      <c r="E161" s="2"/>
      <c r="F161" s="2"/>
      <c r="G161" s="2"/>
      <c r="H161" s="2"/>
      <c r="I161" s="2"/>
      <c r="J161" s="3"/>
      <c r="K161" s="3"/>
      <c r="L161" s="3"/>
      <c r="M161" s="3"/>
      <c r="N161" s="4"/>
      <c r="O161" s="5"/>
      <c r="P161" s="5"/>
      <c r="Q161" s="4"/>
    </row>
    <row r="162" spans="1:17" ht="15.6" x14ac:dyDescent="0.3">
      <c r="A162" s="117" t="s">
        <v>189</v>
      </c>
      <c r="B162" s="116" t="s">
        <v>209</v>
      </c>
      <c r="C162" s="2"/>
      <c r="D162" s="2"/>
      <c r="E162" s="2"/>
      <c r="F162" s="2"/>
      <c r="G162" s="2"/>
      <c r="H162" s="2"/>
      <c r="I162" s="2"/>
      <c r="J162" s="3"/>
      <c r="K162" s="3"/>
      <c r="L162" s="3"/>
      <c r="M162" s="3"/>
      <c r="N162" s="4"/>
      <c r="O162" s="5"/>
      <c r="P162" s="5"/>
      <c r="Q162" s="4"/>
    </row>
    <row r="163" spans="1:17" ht="15.6" x14ac:dyDescent="0.3">
      <c r="A163" s="117" t="s">
        <v>189</v>
      </c>
      <c r="B163" s="116" t="s">
        <v>215</v>
      </c>
      <c r="C163" s="2"/>
      <c r="D163" s="2"/>
      <c r="E163" s="2"/>
      <c r="F163" s="2"/>
      <c r="G163" s="2"/>
      <c r="H163" s="2"/>
      <c r="I163" s="2"/>
      <c r="J163" s="3"/>
      <c r="K163" s="3"/>
      <c r="L163" s="3"/>
      <c r="M163" s="3"/>
      <c r="N163" s="4"/>
      <c r="O163" s="5"/>
      <c r="P163" s="5"/>
      <c r="Q163" s="4"/>
    </row>
    <row r="164" spans="1:17" ht="15.6" x14ac:dyDescent="0.3">
      <c r="A164" s="117" t="s">
        <v>189</v>
      </c>
      <c r="B164" s="116" t="s">
        <v>226</v>
      </c>
      <c r="C164" s="2"/>
      <c r="D164" s="2"/>
      <c r="E164" s="2"/>
      <c r="F164" s="2"/>
      <c r="G164" s="2"/>
      <c r="H164" s="2"/>
      <c r="I164" s="2"/>
      <c r="J164" s="3"/>
      <c r="K164" s="3"/>
      <c r="L164" s="3"/>
      <c r="M164" s="3"/>
      <c r="N164" s="4"/>
      <c r="O164" s="5"/>
      <c r="P164" s="5"/>
      <c r="Q164" s="4"/>
    </row>
    <row r="165" spans="1:17" ht="15.6" x14ac:dyDescent="0.3">
      <c r="A165" s="117" t="s">
        <v>189</v>
      </c>
      <c r="B165" s="116" t="s">
        <v>230</v>
      </c>
      <c r="C165" s="2"/>
      <c r="D165" s="2"/>
      <c r="E165" s="2"/>
      <c r="F165" s="2"/>
      <c r="G165" s="2"/>
      <c r="H165" s="2"/>
      <c r="I165" s="2"/>
      <c r="J165" s="3"/>
      <c r="K165" s="3"/>
      <c r="L165" s="3"/>
      <c r="M165" s="3"/>
      <c r="N165" s="4"/>
      <c r="O165" s="5"/>
      <c r="P165" s="5"/>
      <c r="Q165" s="4"/>
    </row>
    <row r="166" spans="1:17" ht="15.6" x14ac:dyDescent="0.3">
      <c r="A166" s="117" t="s">
        <v>189</v>
      </c>
      <c r="B166" s="116" t="s">
        <v>234</v>
      </c>
      <c r="C166" s="2"/>
      <c r="D166" s="2"/>
      <c r="E166" s="2"/>
      <c r="F166" s="2"/>
      <c r="G166" s="2"/>
      <c r="H166" s="2"/>
      <c r="I166" s="2"/>
      <c r="J166" s="3"/>
      <c r="K166" s="3"/>
      <c r="L166" s="3"/>
      <c r="M166" s="3"/>
      <c r="N166" s="4"/>
      <c r="O166" s="5"/>
      <c r="P166" s="5"/>
      <c r="Q166" s="4"/>
    </row>
    <row r="167" spans="1:17" ht="15.6" x14ac:dyDescent="0.3">
      <c r="A167" s="117" t="s">
        <v>189</v>
      </c>
      <c r="B167" s="116" t="s">
        <v>244</v>
      </c>
      <c r="C167" s="2"/>
      <c r="D167" s="2"/>
      <c r="E167" s="2"/>
      <c r="F167" s="2"/>
      <c r="G167" s="2"/>
      <c r="H167" s="2"/>
      <c r="I167" s="2"/>
      <c r="J167" s="3"/>
      <c r="K167" s="3"/>
      <c r="L167" s="3"/>
      <c r="M167" s="3"/>
      <c r="N167" s="4"/>
      <c r="O167" s="5"/>
      <c r="P167" s="5"/>
      <c r="Q167" s="4"/>
    </row>
    <row r="168" spans="1:17" ht="15.6" x14ac:dyDescent="0.3">
      <c r="A168" s="119" t="s">
        <v>205</v>
      </c>
      <c r="B168" s="2"/>
      <c r="C168" s="2"/>
      <c r="D168" s="2"/>
      <c r="E168" s="2"/>
      <c r="F168" s="2"/>
      <c r="G168" s="2"/>
      <c r="H168" s="2"/>
      <c r="I168" s="2"/>
      <c r="J168" s="3"/>
      <c r="K168" s="3"/>
      <c r="L168" s="3"/>
      <c r="M168" s="3"/>
      <c r="N168" s="4"/>
      <c r="O168" s="5"/>
      <c r="P168" s="5"/>
      <c r="Q168" s="4"/>
    </row>
    <row r="169" spans="1:17" ht="15.6" x14ac:dyDescent="0.3">
      <c r="A169" s="119"/>
      <c r="B169" s="2"/>
      <c r="C169" s="2"/>
      <c r="D169" s="2"/>
      <c r="E169" s="2"/>
      <c r="F169" s="2"/>
      <c r="G169" s="2"/>
      <c r="H169" s="2"/>
      <c r="I169" s="2"/>
      <c r="J169" s="3"/>
      <c r="K169" s="3"/>
      <c r="L169" s="3"/>
      <c r="M169" s="3"/>
      <c r="N169" s="4"/>
      <c r="O169" s="5"/>
      <c r="P169" s="5"/>
      <c r="Q169" s="4"/>
    </row>
    <row r="170" spans="1:17" ht="18" customHeight="1" x14ac:dyDescent="0.3">
      <c r="A170" s="311" t="s">
        <v>246</v>
      </c>
      <c r="B170" s="116" t="s">
        <v>247</v>
      </c>
      <c r="C170" s="2"/>
      <c r="D170" s="2"/>
      <c r="E170" s="2"/>
      <c r="F170" s="2"/>
      <c r="G170" s="2"/>
      <c r="H170" s="2"/>
      <c r="I170" s="2"/>
      <c r="J170" s="3"/>
      <c r="K170" s="3"/>
      <c r="L170" s="3"/>
      <c r="M170" s="3"/>
      <c r="N170" s="4"/>
      <c r="O170" s="5"/>
      <c r="P170" s="5"/>
      <c r="Q170" s="101" t="s">
        <v>63</v>
      </c>
    </row>
    <row r="171" spans="1:17" ht="13.8" x14ac:dyDescent="0.25">
      <c r="A171" s="1"/>
      <c r="B171" s="191" t="s">
        <v>63</v>
      </c>
      <c r="C171" s="2"/>
      <c r="D171" s="2"/>
      <c r="E171" s="2"/>
      <c r="F171" s="2"/>
      <c r="G171" s="2"/>
      <c r="H171" s="396" t="s">
        <v>63</v>
      </c>
      <c r="I171" s="397"/>
      <c r="J171" s="3"/>
      <c r="K171" s="3"/>
      <c r="L171" s="3"/>
      <c r="M171" s="3"/>
      <c r="N171" s="4"/>
      <c r="O171" s="5"/>
      <c r="P171" s="5"/>
      <c r="Q171" s="4"/>
    </row>
    <row r="172" spans="1:17" x14ac:dyDescent="0.25">
      <c r="A172" s="1"/>
      <c r="B172" s="116" t="s">
        <v>249</v>
      </c>
      <c r="C172" s="2"/>
      <c r="D172" s="2"/>
      <c r="E172" s="2"/>
      <c r="F172" s="2"/>
      <c r="G172" s="2"/>
      <c r="H172" s="2"/>
      <c r="I172" s="2"/>
      <c r="J172" s="3"/>
      <c r="K172" s="3"/>
      <c r="L172" s="3"/>
      <c r="M172" s="3"/>
      <c r="N172" s="4"/>
      <c r="O172" s="5"/>
      <c r="P172" s="5"/>
      <c r="Q172" s="4"/>
    </row>
    <row r="173" spans="1:17" x14ac:dyDescent="0.25">
      <c r="A173" s="2"/>
      <c r="B173" s="312" t="s">
        <v>248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4"/>
      <c r="N173" s="5"/>
      <c r="O173" s="5"/>
      <c r="P173" s="1"/>
      <c r="Q173" s="36"/>
    </row>
    <row r="174" spans="1:17" x14ac:dyDescent="0.25">
      <c r="A174" s="2"/>
      <c r="B174" s="116" t="s">
        <v>252</v>
      </c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4"/>
      <c r="N174" s="5"/>
      <c r="O174" s="5"/>
    </row>
    <row r="175" spans="1:17" x14ac:dyDescent="0.25">
      <c r="A175" s="6" t="s">
        <v>63</v>
      </c>
      <c r="B175" t="s">
        <v>63</v>
      </c>
      <c r="C175" s="6" t="s">
        <v>63</v>
      </c>
      <c r="D175" s="6"/>
      <c r="E175" s="6"/>
      <c r="F175" s="6"/>
      <c r="G175" s="6"/>
      <c r="H175" s="6"/>
      <c r="I175" s="6"/>
      <c r="J175" s="107"/>
      <c r="K175" s="6"/>
      <c r="L175" s="6"/>
      <c r="M175" s="6"/>
      <c r="N175" s="6"/>
      <c r="O175" s="6"/>
    </row>
    <row r="176" spans="1:17" x14ac:dyDescent="0.25">
      <c r="A176" s="6"/>
      <c r="B176" s="309" t="s">
        <v>245</v>
      </c>
      <c r="C176" s="6"/>
      <c r="D176" s="6"/>
      <c r="E176" s="6"/>
      <c r="F176" s="6"/>
      <c r="G176" s="6"/>
      <c r="H176" s="6"/>
      <c r="I176" s="6"/>
      <c r="J176" s="45"/>
      <c r="K176" s="1"/>
      <c r="L176" s="1"/>
    </row>
    <row r="177" spans="1:12" x14ac:dyDescent="0.25">
      <c r="A177" s="6"/>
    </row>
    <row r="178" spans="1:12" x14ac:dyDescent="0.25">
      <c r="A178" s="6"/>
      <c r="B178" s="309" t="s">
        <v>251</v>
      </c>
      <c r="C178" s="310"/>
      <c r="D178" s="310"/>
      <c r="E178" s="310"/>
      <c r="F178" s="310"/>
      <c r="G178" s="6"/>
      <c r="H178" s="6"/>
      <c r="I178" s="6"/>
      <c r="J178" s="45"/>
      <c r="K178" s="1"/>
      <c r="L178" s="1"/>
    </row>
    <row r="179" spans="1:12" x14ac:dyDescent="0.25">
      <c r="A179" s="6"/>
      <c r="B179" s="314" t="s">
        <v>250</v>
      </c>
      <c r="J179" s="45"/>
      <c r="K179" s="1"/>
      <c r="L179" s="1"/>
    </row>
    <row r="180" spans="1:12" x14ac:dyDescent="0.25">
      <c r="A180" s="1"/>
    </row>
    <row r="181" spans="1:12" x14ac:dyDescent="0.25">
      <c r="B181" s="309"/>
    </row>
    <row r="187" spans="1:12" x14ac:dyDescent="0.25">
      <c r="F187" s="313"/>
    </row>
    <row r="188" spans="1:12" x14ac:dyDescent="0.25">
      <c r="F188" s="313"/>
    </row>
  </sheetData>
  <mergeCells count="44">
    <mergeCell ref="A4:A5"/>
    <mergeCell ref="J97:J98"/>
    <mergeCell ref="J99:J100"/>
    <mergeCell ref="J101:J102"/>
    <mergeCell ref="H103:I104"/>
    <mergeCell ref="J81:J82"/>
    <mergeCell ref="J83:J84"/>
    <mergeCell ref="H85:H86"/>
    <mergeCell ref="H83:H84"/>
    <mergeCell ref="H81:H82"/>
    <mergeCell ref="I81:I82"/>
    <mergeCell ref="J103:J104"/>
    <mergeCell ref="H101:I102"/>
    <mergeCell ref="A95:A96"/>
    <mergeCell ref="B95:B96"/>
    <mergeCell ref="H95:H96"/>
    <mergeCell ref="H171:I171"/>
    <mergeCell ref="H109:I109"/>
    <mergeCell ref="H112:I112"/>
    <mergeCell ref="H108:I108"/>
    <mergeCell ref="Q4:Q5"/>
    <mergeCell ref="I77:I78"/>
    <mergeCell ref="I79:I80"/>
    <mergeCell ref="J87:J88"/>
    <mergeCell ref="J85:J86"/>
    <mergeCell ref="J79:J80"/>
    <mergeCell ref="J89:J90"/>
    <mergeCell ref="J93:J94"/>
    <mergeCell ref="J91:J92"/>
    <mergeCell ref="M95:M96"/>
    <mergeCell ref="I95:I96"/>
    <mergeCell ref="J95:J96"/>
    <mergeCell ref="A103:A104"/>
    <mergeCell ref="B103:B104"/>
    <mergeCell ref="H110:I110"/>
    <mergeCell ref="H111:I111"/>
    <mergeCell ref="H113:I113"/>
    <mergeCell ref="R4:R5"/>
    <mergeCell ref="D4:G4"/>
    <mergeCell ref="H107:I107"/>
    <mergeCell ref="H106:I106"/>
    <mergeCell ref="H105:I105"/>
    <mergeCell ref="K95:K96"/>
    <mergeCell ref="L95:L96"/>
  </mergeCells>
  <phoneticPr fontId="0" type="noConversion"/>
  <printOptions gridLinesSet="0"/>
  <pageMargins left="0.39370078740157483" right="0.15748031496062992" top="0.43307086614173229" bottom="0.78740157480314965" header="0.35433070866141736" footer="0.23622047244094491"/>
  <pageSetup scale="70" fitToHeight="2" orientation="portrait" r:id="rId1"/>
  <headerFooter alignWithMargins="0">
    <oddFooter>&amp;L&amp;"Monotype Corsiva,Normal"F:/2008/&amp;F&amp;C&amp;8&amp;P&amp;R&amp;"Monotype Corsiva,Normal"&amp;8m.yorki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Sheet1</vt:lpstr>
      <vt:lpstr>Sheet1!Títulos_a_imprimir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CARLOS LOPEZ RUIZ</dc:creator>
  <cp:lastModifiedBy>Ingeniero Reinaldo Erazo</cp:lastModifiedBy>
  <cp:lastPrinted>2016-07-21T15:09:18Z</cp:lastPrinted>
  <dcterms:created xsi:type="dcterms:W3CDTF">1999-12-17T20:56:19Z</dcterms:created>
  <dcterms:modified xsi:type="dcterms:W3CDTF">2016-10-10T15:00:19Z</dcterms:modified>
</cp:coreProperties>
</file>