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PESUPUESTO-2024\"/>
    </mc:Choice>
  </mc:AlternateContent>
  <bookViews>
    <workbookView xWindow="-105" yWindow="-105" windowWidth="16605" windowHeight="8835" tabRatio="605"/>
  </bookViews>
  <sheets>
    <sheet name="Caratula" sheetId="22" r:id="rId1"/>
    <sheet name="INDICE" sheetId="20" r:id="rId2"/>
    <sheet name="Consolidado" sheetId="19" r:id="rId3"/>
    <sheet name="Hoja2" sheetId="23" r:id="rId4"/>
    <sheet name="INGRESOS" sheetId="6" r:id="rId5"/>
    <sheet name="EGRESOS" sheetId="7" r:id="rId6"/>
    <sheet name="CONSOL RUBRO" sheetId="9" r:id="rId7"/>
    <sheet name="CONSOL CUENTA" sheetId="10" r:id="rId8"/>
    <sheet name="Gráfico5" sheetId="15" r:id="rId9"/>
    <sheet name="Hoja1" sheetId="21" r:id="rId10"/>
    <sheet name="Hoja4" sheetId="25" r:id="rId11"/>
  </sheets>
  <externalReferences>
    <externalReference r:id="rId12"/>
    <externalReference r:id="rId13"/>
  </externalReferences>
  <definedNames>
    <definedName name="_xlnm._FilterDatabase" localSheetId="2" hidden="1">Consolidado!$A$1:$Q$111</definedName>
    <definedName name="_xlnm._FilterDatabase" localSheetId="5" hidden="1">EGRESOS!$A$1:$S$2323</definedName>
    <definedName name="_xlnm.Print_Area" localSheetId="0">Caratula!$A$1:$E$49</definedName>
    <definedName name="_xlnm.Print_Area" localSheetId="7">'CONSOL CUENTA'!$A$1:$D$70</definedName>
    <definedName name="_xlnm.Print_Area" localSheetId="6">'CONSOL RUBRO'!$A$1:$D$77</definedName>
    <definedName name="_xlnm.Print_Area" localSheetId="2">Consolidado!$B$2:$G$768</definedName>
    <definedName name="_xlnm.Print_Area" localSheetId="5">EGRESOS!$C$2:$H$2384</definedName>
    <definedName name="_xlnm.Print_Area" localSheetId="1">INDICE!$A$1:$C$61</definedName>
    <definedName name="_xlnm.Print_Area" localSheetId="4">INGRESOS!$A$1:$N$92</definedName>
  </definedNames>
  <calcPr calcId="152511" calcMode="manual"/>
</workbook>
</file>

<file path=xl/calcChain.xml><?xml version="1.0" encoding="utf-8"?>
<calcChain xmlns="http://schemas.openxmlformats.org/spreadsheetml/2006/main">
  <c r="G13" i="7" l="1"/>
  <c r="R2175" i="7"/>
  <c r="G859" i="7"/>
  <c r="G892" i="7"/>
  <c r="G929" i="7"/>
  <c r="D690" i="19"/>
  <c r="E690" i="19"/>
  <c r="F690" i="19"/>
  <c r="D691" i="19"/>
  <c r="E691" i="19"/>
  <c r="F691" i="19"/>
  <c r="E689" i="19"/>
  <c r="E693" i="19" s="1"/>
  <c r="F689" i="19"/>
  <c r="D689" i="19"/>
  <c r="C690" i="19"/>
  <c r="C691" i="19"/>
  <c r="C692" i="19"/>
  <c r="C689" i="19"/>
  <c r="B690" i="19"/>
  <c r="B691" i="19"/>
  <c r="B692" i="19"/>
  <c r="B689" i="19"/>
  <c r="F2315" i="7"/>
  <c r="G2315" i="7"/>
  <c r="E2315" i="7"/>
  <c r="F2310" i="7"/>
  <c r="G2310" i="7"/>
  <c r="E2310" i="7"/>
  <c r="F2308" i="7"/>
  <c r="G2308" i="7"/>
  <c r="E2308" i="7"/>
  <c r="G2147" i="7"/>
  <c r="G2148" i="7" s="1"/>
  <c r="H2145" i="7"/>
  <c r="G690" i="19" s="1"/>
  <c r="H2144" i="7"/>
  <c r="G689" i="19" s="1"/>
  <c r="H2146" i="7"/>
  <c r="G691" i="19" s="1"/>
  <c r="P58" i="6"/>
  <c r="P49" i="6"/>
  <c r="D590" i="19"/>
  <c r="E590" i="19"/>
  <c r="E86" i="19"/>
  <c r="F86" i="19"/>
  <c r="D86" i="19"/>
  <c r="E66" i="19"/>
  <c r="D66" i="19"/>
  <c r="E68" i="19"/>
  <c r="F68" i="19"/>
  <c r="D68" i="19"/>
  <c r="E70" i="19"/>
  <c r="F70" i="19"/>
  <c r="D70" i="19"/>
  <c r="E64" i="19"/>
  <c r="F64" i="19"/>
  <c r="D64" i="19"/>
  <c r="E65" i="19"/>
  <c r="D65" i="19"/>
  <c r="E63" i="19"/>
  <c r="F63" i="19"/>
  <c r="D63" i="19"/>
  <c r="E62" i="19"/>
  <c r="F62" i="19"/>
  <c r="D62" i="19"/>
  <c r="G2242" i="7"/>
  <c r="E2220" i="7"/>
  <c r="F2220" i="7"/>
  <c r="G2220" i="7"/>
  <c r="E2223" i="7"/>
  <c r="F2223" i="7"/>
  <c r="G2223" i="7"/>
  <c r="E2214" i="7"/>
  <c r="F2214" i="7"/>
  <c r="E2204" i="7"/>
  <c r="F2204" i="7"/>
  <c r="G274" i="7"/>
  <c r="H274" i="7" s="1"/>
  <c r="G273" i="7"/>
  <c r="C265" i="7"/>
  <c r="C264" i="7"/>
  <c r="F278" i="7"/>
  <c r="E278" i="7"/>
  <c r="H277" i="7"/>
  <c r="H276" i="7"/>
  <c r="H275" i="7"/>
  <c r="H272" i="7"/>
  <c r="H271" i="7"/>
  <c r="H270" i="7"/>
  <c r="F268" i="7"/>
  <c r="E941" i="7"/>
  <c r="E2118" i="7"/>
  <c r="L78" i="6"/>
  <c r="E323" i="19"/>
  <c r="F323" i="19"/>
  <c r="D323" i="19"/>
  <c r="C323" i="19"/>
  <c r="B323" i="19"/>
  <c r="H1383" i="7"/>
  <c r="G323" i="19" s="1"/>
  <c r="E2284" i="7"/>
  <c r="F2284" i="7"/>
  <c r="G2284" i="7"/>
  <c r="E209" i="19"/>
  <c r="F209" i="19"/>
  <c r="D209" i="19"/>
  <c r="E2283" i="7"/>
  <c r="F2283" i="7"/>
  <c r="G2283" i="7"/>
  <c r="H356" i="7"/>
  <c r="G209" i="19" s="1"/>
  <c r="E152" i="19"/>
  <c r="F152" i="19"/>
  <c r="D152" i="19"/>
  <c r="H1585" i="7"/>
  <c r="G152" i="19" s="1"/>
  <c r="E2278" i="7"/>
  <c r="G2130" i="7"/>
  <c r="G2278" i="7" s="1"/>
  <c r="O189" i="6"/>
  <c r="L188" i="6"/>
  <c r="G1266" i="7"/>
  <c r="G1265" i="7"/>
  <c r="G1263" i="7"/>
  <c r="G2205" i="7" s="1"/>
  <c r="G1262" i="7"/>
  <c r="G2204" i="7" s="1"/>
  <c r="D693" i="19" l="1"/>
  <c r="G2212" i="7"/>
  <c r="F66" i="19"/>
  <c r="F65" i="19"/>
  <c r="G2214" i="7"/>
  <c r="G278" i="7"/>
  <c r="H273" i="7"/>
  <c r="H278" i="7" s="1"/>
  <c r="H2278" i="7"/>
  <c r="G566" i="7"/>
  <c r="G2207" i="7" s="1"/>
  <c r="F316" i="19" l="1"/>
  <c r="G325" i="19"/>
  <c r="F325" i="19"/>
  <c r="F327" i="19"/>
  <c r="G326" i="19"/>
  <c r="F238" i="19" l="1"/>
  <c r="F268" i="19"/>
  <c r="F213" i="19"/>
  <c r="F214" i="19"/>
  <c r="F181" i="19"/>
  <c r="F179" i="19"/>
  <c r="F73" i="19"/>
  <c r="F107" i="19"/>
  <c r="F106" i="19"/>
  <c r="F105" i="19"/>
  <c r="F91" i="19"/>
  <c r="F90" i="19"/>
  <c r="F89" i="19"/>
  <c r="F88" i="19"/>
  <c r="F87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2" i="19"/>
  <c r="F71" i="19"/>
  <c r="F69" i="19"/>
  <c r="F67" i="19"/>
  <c r="G2297" i="7" l="1"/>
  <c r="H1217" i="7"/>
  <c r="G2058" i="7"/>
  <c r="F99" i="19" l="1"/>
  <c r="G141" i="7"/>
  <c r="G2263" i="7"/>
  <c r="H133" i="7"/>
  <c r="G2229" i="7" l="1"/>
  <c r="H972" i="7"/>
  <c r="F295" i="19" l="1"/>
  <c r="H1317" i="7"/>
  <c r="G181" i="19" s="1"/>
  <c r="G2261" i="7"/>
  <c r="G2259" i="7"/>
  <c r="H549" i="7"/>
  <c r="H548" i="7"/>
  <c r="G2224" i="7" l="1"/>
  <c r="H527" i="7"/>
  <c r="F269" i="19" l="1"/>
  <c r="G1977" i="7" l="1"/>
  <c r="G2298" i="7"/>
  <c r="H1976" i="7"/>
  <c r="F265" i="19" l="1"/>
  <c r="G2271" i="7"/>
  <c r="H1973" i="7"/>
  <c r="B37" i="25" l="1"/>
  <c r="B36" i="25"/>
  <c r="B38" i="25" s="1"/>
  <c r="E300" i="19" l="1"/>
  <c r="F300" i="19"/>
  <c r="D300" i="19"/>
  <c r="E301" i="19"/>
  <c r="F301" i="19"/>
  <c r="D301" i="19"/>
  <c r="E292" i="19"/>
  <c r="F292" i="19"/>
  <c r="D292" i="19"/>
  <c r="B292" i="19"/>
  <c r="C292" i="19"/>
  <c r="E249" i="19"/>
  <c r="F249" i="19"/>
  <c r="D249" i="19"/>
  <c r="E248" i="19"/>
  <c r="F248" i="19"/>
  <c r="D248" i="19"/>
  <c r="B248" i="19"/>
  <c r="C248" i="19"/>
  <c r="B249" i="19"/>
  <c r="C249" i="19"/>
  <c r="E246" i="19"/>
  <c r="F246" i="19"/>
  <c r="D246" i="19"/>
  <c r="E245" i="19"/>
  <c r="F245" i="19"/>
  <c r="D245" i="19"/>
  <c r="B245" i="19"/>
  <c r="C245" i="19"/>
  <c r="B246" i="19"/>
  <c r="C246" i="19"/>
  <c r="E190" i="19"/>
  <c r="F190" i="19"/>
  <c r="D190" i="19"/>
  <c r="E189" i="19"/>
  <c r="F189" i="19"/>
  <c r="D189" i="19"/>
  <c r="C189" i="19"/>
  <c r="C190" i="19"/>
  <c r="B189" i="19"/>
  <c r="B190" i="19"/>
  <c r="E187" i="19"/>
  <c r="F187" i="19"/>
  <c r="D187" i="19"/>
  <c r="E186" i="19"/>
  <c r="F186" i="19"/>
  <c r="D186" i="19"/>
  <c r="E141" i="19"/>
  <c r="F141" i="19"/>
  <c r="D141" i="19"/>
  <c r="C141" i="19"/>
  <c r="B141" i="19"/>
  <c r="B140" i="19"/>
  <c r="E140" i="19"/>
  <c r="F140" i="19"/>
  <c r="D140" i="19"/>
  <c r="C140" i="19"/>
  <c r="E81" i="19"/>
  <c r="D81" i="19"/>
  <c r="B81" i="19"/>
  <c r="C81" i="19"/>
  <c r="E82" i="19"/>
  <c r="D82" i="19"/>
  <c r="C82" i="19"/>
  <c r="B82" i="19"/>
  <c r="E84" i="19"/>
  <c r="D84" i="19"/>
  <c r="B84" i="19"/>
  <c r="C84" i="19"/>
  <c r="E85" i="19"/>
  <c r="D85" i="19"/>
  <c r="Q446" i="7"/>
  <c r="Q447" i="7"/>
  <c r="Q448" i="7"/>
  <c r="Q449" i="7"/>
  <c r="Q445" i="7"/>
  <c r="Q1106" i="7"/>
  <c r="Q1107" i="7"/>
  <c r="Q1108" i="7"/>
  <c r="Q1109" i="7"/>
  <c r="Q1105" i="7"/>
  <c r="Q928" i="7"/>
  <c r="Q930" i="7"/>
  <c r="Q931" i="7"/>
  <c r="Q927" i="7"/>
  <c r="Q1110" i="7" l="1"/>
  <c r="Q450" i="7"/>
  <c r="O184" i="6" l="1"/>
  <c r="Q1391" i="7" l="1"/>
  <c r="Q2177" i="7"/>
  <c r="P1382" i="7"/>
  <c r="P1360" i="7"/>
  <c r="P1380" i="7"/>
  <c r="P1391" i="7" l="1"/>
  <c r="R1391" i="7" s="1"/>
  <c r="P2207" i="7"/>
  <c r="F692" i="19" l="1"/>
  <c r="F693" i="19" s="1"/>
  <c r="D344" i="19"/>
  <c r="E344" i="19"/>
  <c r="D345" i="19"/>
  <c r="E345" i="19"/>
  <c r="D346" i="19"/>
  <c r="E346" i="19"/>
  <c r="D347" i="19"/>
  <c r="E347" i="19"/>
  <c r="D348" i="19"/>
  <c r="E348" i="19"/>
  <c r="D349" i="19"/>
  <c r="E349" i="19"/>
  <c r="D350" i="19"/>
  <c r="E350" i="19"/>
  <c r="D351" i="19"/>
  <c r="E351" i="19"/>
  <c r="D352" i="19"/>
  <c r="E352" i="19"/>
  <c r="D353" i="19"/>
  <c r="E353" i="19"/>
  <c r="D354" i="19"/>
  <c r="E354" i="19"/>
  <c r="D355" i="19"/>
  <c r="E355" i="19"/>
  <c r="D356" i="19"/>
  <c r="E356" i="19"/>
  <c r="D357" i="19"/>
  <c r="E357" i="19"/>
  <c r="D358" i="19"/>
  <c r="E358" i="19"/>
  <c r="D359" i="19"/>
  <c r="E359" i="19"/>
  <c r="D360" i="19"/>
  <c r="E360" i="19"/>
  <c r="D361" i="19"/>
  <c r="E361" i="19"/>
  <c r="D362" i="19"/>
  <c r="E362" i="19"/>
  <c r="D363" i="19"/>
  <c r="E363" i="19"/>
  <c r="D364" i="19"/>
  <c r="E364" i="19"/>
  <c r="D365" i="19"/>
  <c r="E365" i="19"/>
  <c r="D366" i="19"/>
  <c r="E366" i="19"/>
  <c r="D367" i="19"/>
  <c r="E367" i="19"/>
  <c r="D368" i="19"/>
  <c r="E368" i="19"/>
  <c r="D369" i="19"/>
  <c r="E369" i="19"/>
  <c r="D370" i="19"/>
  <c r="E370" i="19"/>
  <c r="D371" i="19"/>
  <c r="E371" i="19"/>
  <c r="G367" i="19"/>
  <c r="F370" i="19"/>
  <c r="F371" i="19"/>
  <c r="F345" i="19"/>
  <c r="F346" i="19"/>
  <c r="F347" i="19"/>
  <c r="F348" i="19"/>
  <c r="F349" i="19"/>
  <c r="F350" i="19"/>
  <c r="F351" i="19"/>
  <c r="F352" i="19"/>
  <c r="F353" i="19"/>
  <c r="F354" i="19"/>
  <c r="F355" i="19"/>
  <c r="F356" i="19"/>
  <c r="F357" i="19"/>
  <c r="F358" i="19"/>
  <c r="F359" i="19"/>
  <c r="F360" i="19"/>
  <c r="F361" i="19"/>
  <c r="F362" i="19"/>
  <c r="F363" i="19"/>
  <c r="F364" i="19"/>
  <c r="F365" i="19"/>
  <c r="F366" i="19"/>
  <c r="F367" i="19"/>
  <c r="F368" i="19"/>
  <c r="F369" i="19"/>
  <c r="B356" i="19"/>
  <c r="C356" i="19"/>
  <c r="B357" i="19"/>
  <c r="C357" i="19"/>
  <c r="B358" i="19"/>
  <c r="C358" i="19"/>
  <c r="B359" i="19"/>
  <c r="C359" i="19"/>
  <c r="B360" i="19"/>
  <c r="C360" i="19"/>
  <c r="B361" i="19"/>
  <c r="C361" i="19"/>
  <c r="B362" i="19"/>
  <c r="C362" i="19"/>
  <c r="B363" i="19"/>
  <c r="C363" i="19"/>
  <c r="B364" i="19"/>
  <c r="C364" i="19"/>
  <c r="B365" i="19"/>
  <c r="C365" i="19"/>
  <c r="B366" i="19"/>
  <c r="C366" i="19"/>
  <c r="B367" i="19"/>
  <c r="C367" i="19"/>
  <c r="B368" i="19"/>
  <c r="C368" i="19"/>
  <c r="B369" i="19"/>
  <c r="C369" i="19"/>
  <c r="B346" i="19"/>
  <c r="C346" i="19"/>
  <c r="B347" i="19"/>
  <c r="C347" i="19"/>
  <c r="B348" i="19"/>
  <c r="C348" i="19"/>
  <c r="B349" i="19"/>
  <c r="C349" i="19"/>
  <c r="B350" i="19"/>
  <c r="C350" i="19"/>
  <c r="B351" i="19"/>
  <c r="C351" i="19"/>
  <c r="B352" i="19"/>
  <c r="C352" i="19"/>
  <c r="B353" i="19"/>
  <c r="C353" i="19"/>
  <c r="B354" i="19"/>
  <c r="C354" i="19"/>
  <c r="B355" i="19"/>
  <c r="C355" i="19"/>
  <c r="B345" i="19"/>
  <c r="B344" i="19"/>
  <c r="C344" i="19"/>
  <c r="C345" i="19"/>
  <c r="F344" i="19"/>
  <c r="D326" i="19"/>
  <c r="E326" i="19"/>
  <c r="D327" i="19"/>
  <c r="E327" i="19"/>
  <c r="D328" i="19"/>
  <c r="E328" i="19"/>
  <c r="D329" i="19"/>
  <c r="E329" i="19"/>
  <c r="D330" i="19"/>
  <c r="E330" i="19"/>
  <c r="D331" i="19"/>
  <c r="E331" i="19"/>
  <c r="D332" i="19"/>
  <c r="E332" i="19"/>
  <c r="F330" i="19"/>
  <c r="F329" i="19"/>
  <c r="F328" i="19"/>
  <c r="D283" i="19"/>
  <c r="E283" i="19"/>
  <c r="D284" i="19"/>
  <c r="E284" i="19"/>
  <c r="D285" i="19"/>
  <c r="E285" i="19"/>
  <c r="D286" i="19"/>
  <c r="E286" i="19"/>
  <c r="D287" i="19"/>
  <c r="E287" i="19"/>
  <c r="D288" i="19"/>
  <c r="E288" i="19"/>
  <c r="D289" i="19"/>
  <c r="E289" i="19"/>
  <c r="D290" i="19"/>
  <c r="E290" i="19"/>
  <c r="D291" i="19"/>
  <c r="E291" i="19"/>
  <c r="D293" i="19"/>
  <c r="E293" i="19"/>
  <c r="D294" i="19"/>
  <c r="E294" i="19"/>
  <c r="D295" i="19"/>
  <c r="E295" i="19"/>
  <c r="D296" i="19"/>
  <c r="E296" i="19"/>
  <c r="D297" i="19"/>
  <c r="E297" i="19"/>
  <c r="D298" i="19"/>
  <c r="E298" i="19"/>
  <c r="D299" i="19"/>
  <c r="E299" i="19"/>
  <c r="D302" i="19"/>
  <c r="E302" i="19"/>
  <c r="D303" i="19"/>
  <c r="E303" i="19"/>
  <c r="D304" i="19"/>
  <c r="E304" i="19"/>
  <c r="D305" i="19"/>
  <c r="E305" i="19"/>
  <c r="D306" i="19"/>
  <c r="E306" i="19"/>
  <c r="D307" i="19"/>
  <c r="E307" i="19"/>
  <c r="D308" i="19"/>
  <c r="E308" i="19"/>
  <c r="D309" i="19"/>
  <c r="E309" i="19"/>
  <c r="D310" i="19"/>
  <c r="E310" i="19"/>
  <c r="D311" i="19"/>
  <c r="E311" i="19"/>
  <c r="D312" i="19"/>
  <c r="E312" i="19"/>
  <c r="D313" i="19"/>
  <c r="E313" i="19"/>
  <c r="D314" i="19"/>
  <c r="E314" i="19"/>
  <c r="D315" i="19"/>
  <c r="E315" i="19"/>
  <c r="D316" i="19"/>
  <c r="E316" i="19"/>
  <c r="D317" i="19"/>
  <c r="E317" i="19"/>
  <c r="D318" i="19"/>
  <c r="E318" i="19"/>
  <c r="D319" i="19"/>
  <c r="E319" i="19"/>
  <c r="D320" i="19"/>
  <c r="E320" i="19"/>
  <c r="D321" i="19"/>
  <c r="E321" i="19"/>
  <c r="D322" i="19"/>
  <c r="E322" i="19"/>
  <c r="D324" i="19"/>
  <c r="E324" i="19"/>
  <c r="D325" i="19"/>
  <c r="E325" i="19"/>
  <c r="F326" i="19"/>
  <c r="F324" i="19"/>
  <c r="F322" i="19"/>
  <c r="F321" i="19"/>
  <c r="F320" i="19"/>
  <c r="F319" i="19"/>
  <c r="F318" i="19"/>
  <c r="F317" i="19"/>
  <c r="F315" i="19"/>
  <c r="F314" i="19"/>
  <c r="F313" i="19"/>
  <c r="F312" i="19"/>
  <c r="F311" i="19"/>
  <c r="F310" i="19"/>
  <c r="F309" i="19"/>
  <c r="F308" i="19"/>
  <c r="F307" i="19"/>
  <c r="F306" i="19"/>
  <c r="F305" i="19"/>
  <c r="F304" i="19"/>
  <c r="F303" i="19"/>
  <c r="F302" i="19"/>
  <c r="F299" i="19"/>
  <c r="F298" i="19"/>
  <c r="F297" i="19"/>
  <c r="F296" i="19"/>
  <c r="F294" i="19"/>
  <c r="F293" i="19"/>
  <c r="F291" i="19"/>
  <c r="F290" i="19"/>
  <c r="F289" i="19"/>
  <c r="F288" i="19"/>
  <c r="F287" i="19"/>
  <c r="F286" i="19"/>
  <c r="F285" i="19"/>
  <c r="F284" i="19"/>
  <c r="F283" i="19"/>
  <c r="D229" i="19"/>
  <c r="E229" i="19"/>
  <c r="D230" i="19"/>
  <c r="E230" i="19"/>
  <c r="D231" i="19"/>
  <c r="E231" i="19"/>
  <c r="D232" i="19"/>
  <c r="E232" i="19"/>
  <c r="D233" i="19"/>
  <c r="E233" i="19"/>
  <c r="D234" i="19"/>
  <c r="E234" i="19"/>
  <c r="D235" i="19"/>
  <c r="E235" i="19"/>
  <c r="D236" i="19"/>
  <c r="E236" i="19"/>
  <c r="D237" i="19"/>
  <c r="E237" i="19"/>
  <c r="D239" i="19"/>
  <c r="E239" i="19"/>
  <c r="D240" i="19"/>
  <c r="E240" i="19"/>
  <c r="D241" i="19"/>
  <c r="E241" i="19"/>
  <c r="D242" i="19"/>
  <c r="E242" i="19"/>
  <c r="D243" i="19"/>
  <c r="E243" i="19"/>
  <c r="D244" i="19"/>
  <c r="E244" i="19"/>
  <c r="D247" i="19"/>
  <c r="E247" i="19"/>
  <c r="D250" i="19"/>
  <c r="E250" i="19"/>
  <c r="D251" i="19"/>
  <c r="E251" i="19"/>
  <c r="D252" i="19"/>
  <c r="E252" i="19"/>
  <c r="D253" i="19"/>
  <c r="E253" i="19"/>
  <c r="D254" i="19"/>
  <c r="E254" i="19"/>
  <c r="D255" i="19"/>
  <c r="E255" i="19"/>
  <c r="D256" i="19"/>
  <c r="E256" i="19"/>
  <c r="D257" i="19"/>
  <c r="E257" i="19"/>
  <c r="D258" i="19"/>
  <c r="E258" i="19"/>
  <c r="D259" i="19"/>
  <c r="E259" i="19"/>
  <c r="D260" i="19"/>
  <c r="E260" i="19"/>
  <c r="D261" i="19"/>
  <c r="E261" i="19"/>
  <c r="D262" i="19"/>
  <c r="E262" i="19"/>
  <c r="D263" i="19"/>
  <c r="E263" i="19"/>
  <c r="D264" i="19"/>
  <c r="E264" i="19"/>
  <c r="D265" i="19"/>
  <c r="E265" i="19"/>
  <c r="D266" i="19"/>
  <c r="E266" i="19"/>
  <c r="D267" i="19"/>
  <c r="E267" i="19"/>
  <c r="D268" i="19"/>
  <c r="E268" i="19"/>
  <c r="D269" i="19"/>
  <c r="E269" i="19"/>
  <c r="D270" i="19"/>
  <c r="E270" i="19"/>
  <c r="D271" i="19"/>
  <c r="E271" i="19"/>
  <c r="F270" i="19"/>
  <c r="F267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7" i="19"/>
  <c r="F244" i="19"/>
  <c r="F243" i="19"/>
  <c r="F242" i="19"/>
  <c r="F241" i="19"/>
  <c r="F240" i="19"/>
  <c r="F239" i="19"/>
  <c r="F237" i="19"/>
  <c r="F236" i="19"/>
  <c r="F235" i="19"/>
  <c r="F234" i="19"/>
  <c r="G1512" i="7"/>
  <c r="G720" i="7"/>
  <c r="G211" i="19"/>
  <c r="D170" i="19"/>
  <c r="E170" i="19"/>
  <c r="D171" i="19"/>
  <c r="E171" i="19"/>
  <c r="D172" i="19"/>
  <c r="E172" i="19"/>
  <c r="D173" i="19"/>
  <c r="E173" i="19"/>
  <c r="D174" i="19"/>
  <c r="E174" i="19"/>
  <c r="D175" i="19"/>
  <c r="E175" i="19"/>
  <c r="D176" i="19"/>
  <c r="E176" i="19"/>
  <c r="D177" i="19"/>
  <c r="E177" i="19"/>
  <c r="D178" i="19"/>
  <c r="E178" i="19"/>
  <c r="D180" i="19"/>
  <c r="E180" i="19"/>
  <c r="D182" i="19"/>
  <c r="E182" i="19"/>
  <c r="D183" i="19"/>
  <c r="E183" i="19"/>
  <c r="D184" i="19"/>
  <c r="E184" i="19"/>
  <c r="D185" i="19"/>
  <c r="E185" i="19"/>
  <c r="D188" i="19"/>
  <c r="E188" i="19"/>
  <c r="D191" i="19"/>
  <c r="E191" i="19"/>
  <c r="D192" i="19"/>
  <c r="E192" i="19"/>
  <c r="D193" i="19"/>
  <c r="E193" i="19"/>
  <c r="D194" i="19"/>
  <c r="E194" i="19"/>
  <c r="D195" i="19"/>
  <c r="E195" i="19"/>
  <c r="D196" i="19"/>
  <c r="E196" i="19"/>
  <c r="D197" i="19"/>
  <c r="E197" i="19"/>
  <c r="D198" i="19"/>
  <c r="E198" i="19"/>
  <c r="D199" i="19"/>
  <c r="E199" i="19"/>
  <c r="D200" i="19"/>
  <c r="E200" i="19"/>
  <c r="D201" i="19"/>
  <c r="E201" i="19"/>
  <c r="D202" i="19"/>
  <c r="E202" i="19"/>
  <c r="D203" i="19"/>
  <c r="E203" i="19"/>
  <c r="D204" i="19"/>
  <c r="E204" i="19"/>
  <c r="D205" i="19"/>
  <c r="E205" i="19"/>
  <c r="D206" i="19"/>
  <c r="E206" i="19"/>
  <c r="D207" i="19"/>
  <c r="E207" i="19"/>
  <c r="D208" i="19"/>
  <c r="E208" i="19"/>
  <c r="D210" i="19"/>
  <c r="E210" i="19"/>
  <c r="D211" i="19"/>
  <c r="E211" i="19"/>
  <c r="D212" i="19"/>
  <c r="E212" i="19"/>
  <c r="D213" i="19"/>
  <c r="E213" i="19"/>
  <c r="D214" i="19"/>
  <c r="E214" i="19"/>
  <c r="D215" i="19"/>
  <c r="E215" i="19"/>
  <c r="D216" i="19"/>
  <c r="E216" i="19"/>
  <c r="D217" i="19"/>
  <c r="E217" i="19"/>
  <c r="F230" i="19"/>
  <c r="F231" i="19"/>
  <c r="F232" i="19"/>
  <c r="F233" i="19"/>
  <c r="F229" i="19"/>
  <c r="F217" i="19"/>
  <c r="F216" i="19"/>
  <c r="F212" i="19"/>
  <c r="F208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88" i="19"/>
  <c r="F185" i="19"/>
  <c r="F184" i="19"/>
  <c r="F183" i="19"/>
  <c r="F182" i="19"/>
  <c r="F180" i="19"/>
  <c r="F178" i="19"/>
  <c r="F177" i="19"/>
  <c r="F175" i="19"/>
  <c r="F173" i="19"/>
  <c r="F174" i="19"/>
  <c r="F171" i="19"/>
  <c r="F170" i="19"/>
  <c r="D67" i="19"/>
  <c r="E67" i="19"/>
  <c r="D69" i="19"/>
  <c r="E69" i="19"/>
  <c r="D71" i="19"/>
  <c r="E71" i="19"/>
  <c r="D72" i="19"/>
  <c r="E72" i="19"/>
  <c r="D74" i="19"/>
  <c r="E74" i="19"/>
  <c r="D75" i="19"/>
  <c r="E75" i="19"/>
  <c r="D76" i="19"/>
  <c r="E76" i="19"/>
  <c r="D77" i="19"/>
  <c r="E77" i="19"/>
  <c r="D78" i="19"/>
  <c r="E78" i="19"/>
  <c r="D79" i="19"/>
  <c r="E79" i="19"/>
  <c r="D80" i="19"/>
  <c r="E80" i="19"/>
  <c r="D83" i="19"/>
  <c r="E83" i="19"/>
  <c r="D87" i="19"/>
  <c r="E87" i="19"/>
  <c r="D88" i="19"/>
  <c r="E88" i="19"/>
  <c r="D89" i="19"/>
  <c r="E89" i="19"/>
  <c r="D90" i="19"/>
  <c r="E90" i="19"/>
  <c r="D91" i="19"/>
  <c r="E91" i="19"/>
  <c r="D92" i="19"/>
  <c r="E92" i="19"/>
  <c r="D93" i="19"/>
  <c r="E93" i="19"/>
  <c r="D94" i="19"/>
  <c r="E94" i="19"/>
  <c r="D95" i="19"/>
  <c r="E95" i="19"/>
  <c r="D96" i="19"/>
  <c r="E96" i="19"/>
  <c r="D97" i="19"/>
  <c r="E97" i="19"/>
  <c r="D98" i="19"/>
  <c r="E98" i="19"/>
  <c r="D99" i="19"/>
  <c r="E99" i="19"/>
  <c r="D100" i="19"/>
  <c r="E100" i="19"/>
  <c r="D101" i="19"/>
  <c r="E101" i="19"/>
  <c r="D102" i="19"/>
  <c r="E102" i="19"/>
  <c r="D103" i="19"/>
  <c r="E103" i="19"/>
  <c r="D104" i="19"/>
  <c r="E104" i="19"/>
  <c r="D105" i="19"/>
  <c r="E105" i="19"/>
  <c r="D106" i="19"/>
  <c r="E106" i="19"/>
  <c r="D107" i="19"/>
  <c r="E107" i="19"/>
  <c r="D108" i="19"/>
  <c r="E108" i="19"/>
  <c r="D109" i="19"/>
  <c r="E109" i="19"/>
  <c r="F109" i="19"/>
  <c r="F103" i="19"/>
  <c r="F102" i="19"/>
  <c r="F101" i="19"/>
  <c r="F100" i="19"/>
  <c r="F98" i="19"/>
  <c r="F97" i="19"/>
  <c r="F96" i="19"/>
  <c r="F95" i="19"/>
  <c r="F94" i="19"/>
  <c r="F93" i="19"/>
  <c r="F92" i="19"/>
  <c r="D121" i="19"/>
  <c r="E121" i="19"/>
  <c r="D122" i="19"/>
  <c r="E122" i="19"/>
  <c r="D123" i="19"/>
  <c r="E123" i="19"/>
  <c r="D124" i="19"/>
  <c r="E124" i="19"/>
  <c r="D125" i="19"/>
  <c r="E125" i="19"/>
  <c r="D126" i="19"/>
  <c r="E126" i="19"/>
  <c r="D127" i="19"/>
  <c r="E127" i="19"/>
  <c r="D128" i="19"/>
  <c r="E128" i="19"/>
  <c r="D129" i="19"/>
  <c r="E129" i="19"/>
  <c r="D130" i="19"/>
  <c r="E130" i="19"/>
  <c r="D131" i="19"/>
  <c r="E131" i="19"/>
  <c r="D132" i="19"/>
  <c r="E132" i="19"/>
  <c r="D133" i="19"/>
  <c r="E133" i="19"/>
  <c r="D134" i="19"/>
  <c r="E134" i="19"/>
  <c r="D135" i="19"/>
  <c r="E135" i="19"/>
  <c r="D136" i="19"/>
  <c r="E136" i="19"/>
  <c r="D137" i="19"/>
  <c r="E137" i="19"/>
  <c r="D138" i="19"/>
  <c r="E138" i="19"/>
  <c r="D139" i="19"/>
  <c r="E139" i="19"/>
  <c r="D142" i="19"/>
  <c r="E142" i="19"/>
  <c r="D143" i="19"/>
  <c r="E143" i="19"/>
  <c r="D144" i="19"/>
  <c r="E144" i="19"/>
  <c r="D145" i="19"/>
  <c r="E145" i="19"/>
  <c r="D146" i="19"/>
  <c r="E146" i="19"/>
  <c r="D147" i="19"/>
  <c r="E147" i="19"/>
  <c r="D148" i="19"/>
  <c r="E148" i="19"/>
  <c r="D149" i="19"/>
  <c r="E149" i="19"/>
  <c r="D150" i="19"/>
  <c r="E150" i="19"/>
  <c r="D151" i="19"/>
  <c r="E151" i="19"/>
  <c r="D153" i="19"/>
  <c r="E153" i="19"/>
  <c r="D154" i="19"/>
  <c r="E154" i="19"/>
  <c r="D155" i="19"/>
  <c r="E155" i="19"/>
  <c r="D156" i="19"/>
  <c r="E156" i="19"/>
  <c r="D157" i="19"/>
  <c r="E157" i="19"/>
  <c r="D158" i="19"/>
  <c r="E158" i="19"/>
  <c r="F158" i="19"/>
  <c r="F157" i="19"/>
  <c r="F156" i="19"/>
  <c r="F155" i="19"/>
  <c r="F154" i="19"/>
  <c r="F153" i="19"/>
  <c r="F150" i="19"/>
  <c r="F151" i="19"/>
  <c r="F149" i="19"/>
  <c r="F148" i="19"/>
  <c r="F147" i="19"/>
  <c r="F146" i="19"/>
  <c r="F145" i="19"/>
  <c r="F144" i="19"/>
  <c r="F143" i="19"/>
  <c r="F142" i="19"/>
  <c r="F139" i="19"/>
  <c r="F138" i="19"/>
  <c r="F137" i="19"/>
  <c r="F136" i="19"/>
  <c r="F135" i="19"/>
  <c r="F134" i="19"/>
  <c r="F133" i="19"/>
  <c r="F131" i="19"/>
  <c r="F130" i="19"/>
  <c r="F129" i="19"/>
  <c r="F128" i="19"/>
  <c r="F127" i="19"/>
  <c r="F126" i="19"/>
  <c r="F125" i="19"/>
  <c r="F124" i="19"/>
  <c r="F123" i="19"/>
  <c r="F122" i="19"/>
  <c r="F121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5" i="19"/>
  <c r="F46" i="19"/>
  <c r="F47" i="19"/>
  <c r="F48" i="19"/>
  <c r="F49" i="19"/>
  <c r="F50" i="19"/>
  <c r="F51" i="19"/>
  <c r="F8" i="19"/>
  <c r="G4" i="25"/>
  <c r="F372" i="19" l="1"/>
  <c r="G2235" i="7" l="1"/>
  <c r="P1572" i="7" s="1"/>
  <c r="G2226" i="7"/>
  <c r="G32" i="23" l="1"/>
  <c r="G31" i="23"/>
  <c r="G30" i="23"/>
  <c r="H30" i="23" s="1"/>
  <c r="G29" i="23"/>
  <c r="H29" i="23" s="1"/>
  <c r="G28" i="23"/>
  <c r="L83" i="6"/>
  <c r="G23" i="23"/>
  <c r="G27" i="23"/>
  <c r="E28" i="23"/>
  <c r="E33" i="23" s="1"/>
  <c r="E29" i="23"/>
  <c r="E30" i="23"/>
  <c r="E31" i="23"/>
  <c r="E32" i="23"/>
  <c r="E27" i="23"/>
  <c r="H27" i="23" s="1"/>
  <c r="B33" i="23"/>
  <c r="E35" i="23" l="1"/>
  <c r="H31" i="23"/>
  <c r="H28" i="23"/>
  <c r="H33" i="23" s="1"/>
  <c r="H32" i="23"/>
  <c r="K10" i="23"/>
  <c r="L10" i="23" s="1"/>
  <c r="H5" i="23"/>
  <c r="H6" i="23"/>
  <c r="H7" i="23"/>
  <c r="H8" i="23"/>
  <c r="B11" i="23" s="1"/>
  <c r="H9" i="23"/>
  <c r="H10" i="23"/>
  <c r="H4" i="23"/>
  <c r="E3" i="23"/>
  <c r="E5" i="23"/>
  <c r="E6" i="23"/>
  <c r="E7" i="23"/>
  <c r="E8" i="23"/>
  <c r="E9" i="23"/>
  <c r="E10" i="23"/>
  <c r="E4" i="23"/>
  <c r="C5" i="23"/>
  <c r="C6" i="23"/>
  <c r="C7" i="23"/>
  <c r="C8" i="23"/>
  <c r="C9" i="23"/>
  <c r="C10" i="23"/>
  <c r="C4" i="23"/>
  <c r="I11" i="23" l="1"/>
  <c r="E11" i="23"/>
  <c r="H11" i="23"/>
  <c r="B12" i="23"/>
  <c r="I33" i="23"/>
  <c r="B13" i="23" l="1"/>
  <c r="E12" i="23"/>
  <c r="I12" i="23"/>
  <c r="I13" i="23" s="1"/>
  <c r="E13" i="23" l="1"/>
  <c r="B14" i="23"/>
  <c r="E14" i="23" s="1"/>
  <c r="I14" i="23" l="1"/>
  <c r="B17" i="23" l="1"/>
  <c r="B21" i="23"/>
  <c r="E21" i="23" s="1"/>
  <c r="B18" i="23"/>
  <c r="E18" i="23" s="1"/>
  <c r="B22" i="23"/>
  <c r="E22" i="23" s="1"/>
  <c r="B19" i="23"/>
  <c r="E19" i="23" s="1"/>
  <c r="B20" i="23"/>
  <c r="E20" i="23" s="1"/>
  <c r="Q2204" i="7"/>
  <c r="E17" i="23" l="1"/>
  <c r="E23" i="23" s="1"/>
  <c r="I35" i="23" s="1"/>
  <c r="I37" i="23" s="1"/>
  <c r="B23" i="23"/>
  <c r="H35" i="23" s="1"/>
  <c r="H37" i="23" s="1"/>
  <c r="T177" i="6"/>
  <c r="S177" i="6"/>
  <c r="S181" i="6" s="1"/>
  <c r="O177" i="6"/>
  <c r="O181" i="6" s="1"/>
  <c r="J37" i="23" l="1"/>
  <c r="F271" i="19"/>
  <c r="F266" i="19"/>
  <c r="F272" i="19" l="1"/>
  <c r="G2019" i="7"/>
  <c r="G1943" i="7"/>
  <c r="G1909" i="7"/>
  <c r="G1873" i="7"/>
  <c r="G1834" i="7"/>
  <c r="G1749" i="7"/>
  <c r="G2362" i="7" s="1"/>
  <c r="G1546" i="7"/>
  <c r="G2356" i="7"/>
  <c r="G2370" i="7"/>
  <c r="G260" i="7"/>
  <c r="G2366" i="7" l="1"/>
  <c r="M272" i="19"/>
  <c r="G2365" i="7"/>
  <c r="G2372" i="7"/>
  <c r="G2363" i="7"/>
  <c r="H1922" i="7" l="1"/>
  <c r="F472" i="19" l="1"/>
  <c r="F471" i="19"/>
  <c r="F470" i="19"/>
  <c r="F469" i="19"/>
  <c r="F468" i="19"/>
  <c r="F467" i="19"/>
  <c r="F465" i="19"/>
  <c r="F464" i="19"/>
  <c r="F463" i="19"/>
  <c r="F462" i="19"/>
  <c r="F461" i="19"/>
  <c r="F460" i="19"/>
  <c r="F459" i="19"/>
  <c r="F458" i="19"/>
  <c r="F457" i="19"/>
  <c r="F456" i="19"/>
  <c r="F455" i="19"/>
  <c r="F454" i="19"/>
  <c r="F453" i="19"/>
  <c r="F452" i="19"/>
  <c r="F451" i="19"/>
  <c r="F450" i="19"/>
  <c r="F449" i="19"/>
  <c r="F569" i="19" l="1"/>
  <c r="F571" i="19"/>
  <c r="F572" i="19"/>
  <c r="F573" i="19"/>
  <c r="F574" i="19"/>
  <c r="F575" i="19"/>
  <c r="F576" i="19"/>
  <c r="F577" i="19"/>
  <c r="F578" i="19"/>
  <c r="F579" i="19"/>
  <c r="F580" i="19"/>
  <c r="F581" i="19"/>
  <c r="F582" i="19"/>
  <c r="F583" i="19"/>
  <c r="F584" i="19"/>
  <c r="F585" i="19"/>
  <c r="F586" i="19"/>
  <c r="F587" i="19"/>
  <c r="F588" i="19"/>
  <c r="F589" i="19"/>
  <c r="F590" i="19"/>
  <c r="F591" i="19"/>
  <c r="F592" i="19"/>
  <c r="F593" i="19"/>
  <c r="F594" i="19"/>
  <c r="F595" i="19"/>
  <c r="F596" i="19"/>
  <c r="F597" i="19"/>
  <c r="F568" i="19"/>
  <c r="F557" i="19"/>
  <c r="G553" i="19"/>
  <c r="F524" i="19"/>
  <c r="F525" i="19"/>
  <c r="F526" i="19"/>
  <c r="F527" i="19"/>
  <c r="F528" i="19"/>
  <c r="F529" i="19"/>
  <c r="F530" i="19"/>
  <c r="F531" i="19"/>
  <c r="F532" i="19"/>
  <c r="F533" i="19"/>
  <c r="F534" i="19"/>
  <c r="F535" i="19"/>
  <c r="F536" i="19"/>
  <c r="F537" i="19"/>
  <c r="F538" i="19"/>
  <c r="F539" i="19"/>
  <c r="F540" i="19"/>
  <c r="F541" i="19"/>
  <c r="F542" i="19"/>
  <c r="F543" i="19"/>
  <c r="F544" i="19"/>
  <c r="F545" i="19"/>
  <c r="F546" i="19"/>
  <c r="F547" i="19"/>
  <c r="F548" i="19"/>
  <c r="F549" i="19"/>
  <c r="F550" i="19"/>
  <c r="F551" i="19"/>
  <c r="F552" i="19"/>
  <c r="F553" i="19"/>
  <c r="F554" i="19"/>
  <c r="F555" i="19"/>
  <c r="F556" i="19"/>
  <c r="F523" i="19"/>
  <c r="G1179" i="7"/>
  <c r="F466" i="19"/>
  <c r="F419" i="19"/>
  <c r="F420" i="19"/>
  <c r="F421" i="19"/>
  <c r="F422" i="19"/>
  <c r="F423" i="19"/>
  <c r="F424" i="19"/>
  <c r="F425" i="19"/>
  <c r="F426" i="19"/>
  <c r="F427" i="19"/>
  <c r="F428" i="19"/>
  <c r="F429" i="19"/>
  <c r="F430" i="19"/>
  <c r="F431" i="19"/>
  <c r="F432" i="19"/>
  <c r="F433" i="19"/>
  <c r="F434" i="19"/>
  <c r="F435" i="19"/>
  <c r="F436" i="19"/>
  <c r="F437" i="19"/>
  <c r="F418" i="19"/>
  <c r="C433" i="19"/>
  <c r="C432" i="19"/>
  <c r="G846" i="7"/>
  <c r="D405" i="19"/>
  <c r="F384" i="19"/>
  <c r="F385" i="19"/>
  <c r="F386" i="19"/>
  <c r="F387" i="19"/>
  <c r="F388" i="19"/>
  <c r="F389" i="19"/>
  <c r="F390" i="19"/>
  <c r="F391" i="19"/>
  <c r="F392" i="19"/>
  <c r="F393" i="19"/>
  <c r="F394" i="19"/>
  <c r="F395" i="19"/>
  <c r="F396" i="19"/>
  <c r="F397" i="19"/>
  <c r="F398" i="19"/>
  <c r="F399" i="19"/>
  <c r="F400" i="19"/>
  <c r="F401" i="19"/>
  <c r="F402" i="19"/>
  <c r="F403" i="19"/>
  <c r="F404" i="19"/>
  <c r="F405" i="19"/>
  <c r="F383" i="19"/>
  <c r="G2234" i="7"/>
  <c r="G2233" i="7"/>
  <c r="G2232" i="7"/>
  <c r="F207" i="19"/>
  <c r="H342" i="7"/>
  <c r="F176" i="19"/>
  <c r="H340" i="7"/>
  <c r="H341" i="7"/>
  <c r="F558" i="19" l="1"/>
  <c r="F406" i="19"/>
  <c r="F132" i="19" l="1"/>
  <c r="F485" i="19" l="1"/>
  <c r="F486" i="19"/>
  <c r="F488" i="19"/>
  <c r="F489" i="19"/>
  <c r="F490" i="19"/>
  <c r="F491" i="19"/>
  <c r="F492" i="19"/>
  <c r="F493" i="19"/>
  <c r="F494" i="19"/>
  <c r="F495" i="19"/>
  <c r="F496" i="19"/>
  <c r="F497" i="19"/>
  <c r="F498" i="19"/>
  <c r="F499" i="19"/>
  <c r="F500" i="19"/>
  <c r="F501" i="19"/>
  <c r="F502" i="19"/>
  <c r="F503" i="19"/>
  <c r="F504" i="19"/>
  <c r="F505" i="19"/>
  <c r="F506" i="19"/>
  <c r="F507" i="19"/>
  <c r="F508" i="19"/>
  <c r="F509" i="19"/>
  <c r="F510" i="19"/>
  <c r="F511" i="19"/>
  <c r="F484" i="19"/>
  <c r="H1429" i="7"/>
  <c r="G2253" i="7"/>
  <c r="H1423" i="7"/>
  <c r="G2251" i="7"/>
  <c r="H1422" i="7"/>
  <c r="G2227" i="7"/>
  <c r="H1420" i="7"/>
  <c r="H1409" i="7"/>
  <c r="Q1942" i="7" l="1"/>
  <c r="H1110" i="7"/>
  <c r="G489" i="19" s="1"/>
  <c r="H1810" i="7" l="1"/>
  <c r="F108" i="19" l="1"/>
  <c r="F104" i="19"/>
  <c r="F150" i="7" l="1"/>
  <c r="F193" i="7"/>
  <c r="F228" i="7" s="1"/>
  <c r="F286" i="7" s="1"/>
  <c r="F141" i="7"/>
  <c r="H139" i="7"/>
  <c r="G51" i="19" l="1"/>
  <c r="G50" i="19"/>
  <c r="G49" i="19"/>
  <c r="G48" i="19"/>
  <c r="G47" i="19"/>
  <c r="G46" i="19"/>
  <c r="G45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E512" i="19" l="1"/>
  <c r="E757" i="19" s="1"/>
  <c r="D512" i="19"/>
  <c r="D757" i="19" s="1"/>
  <c r="F610" i="19"/>
  <c r="F611" i="19"/>
  <c r="F612" i="19"/>
  <c r="F613" i="19"/>
  <c r="F614" i="19"/>
  <c r="F615" i="19"/>
  <c r="F616" i="19"/>
  <c r="F617" i="19"/>
  <c r="F618" i="19"/>
  <c r="F619" i="19"/>
  <c r="F620" i="19"/>
  <c r="F621" i="19"/>
  <c r="F622" i="19"/>
  <c r="F623" i="19"/>
  <c r="F624" i="19"/>
  <c r="F625" i="19"/>
  <c r="F626" i="19"/>
  <c r="F627" i="19"/>
  <c r="F628" i="19"/>
  <c r="F629" i="19"/>
  <c r="F630" i="19"/>
  <c r="F631" i="19"/>
  <c r="F632" i="19"/>
  <c r="F633" i="19"/>
  <c r="F634" i="19"/>
  <c r="F635" i="19"/>
  <c r="F636" i="19"/>
  <c r="F637" i="19"/>
  <c r="F638" i="19"/>
  <c r="F639" i="19"/>
  <c r="F640" i="19"/>
  <c r="F641" i="19"/>
  <c r="F642" i="19"/>
  <c r="F643" i="19"/>
  <c r="F644" i="19"/>
  <c r="F645" i="19"/>
  <c r="F609" i="19"/>
  <c r="E646" i="19"/>
  <c r="D646" i="19"/>
  <c r="I609" i="19"/>
  <c r="H609" i="19"/>
  <c r="F646" i="19" l="1"/>
  <c r="H1207" i="7"/>
  <c r="G646" i="19" l="1"/>
  <c r="F759" i="19"/>
  <c r="H1965" i="7"/>
  <c r="H1964" i="7"/>
  <c r="H650" i="7" l="1"/>
  <c r="H649" i="7"/>
  <c r="G2301" i="7" l="1"/>
  <c r="H629" i="7"/>
  <c r="H494" i="7"/>
  <c r="H493" i="7"/>
  <c r="H509" i="7"/>
  <c r="H432" i="7"/>
  <c r="H395" i="7"/>
  <c r="H358" i="7"/>
  <c r="H2097" i="7" l="1"/>
  <c r="E2098" i="7"/>
  <c r="G2098" i="7"/>
  <c r="H2091" i="7"/>
  <c r="G2273" i="7"/>
  <c r="H1170" i="7"/>
  <c r="G549" i="19" s="1"/>
  <c r="G2239" i="7"/>
  <c r="P538" i="7" s="1"/>
  <c r="H1161" i="7"/>
  <c r="G540" i="19" s="1"/>
  <c r="H1157" i="7"/>
  <c r="G536" i="19" s="1"/>
  <c r="H1156" i="7"/>
  <c r="G535" i="19" s="1"/>
  <c r="H1155" i="7"/>
  <c r="G534" i="19" s="1"/>
  <c r="G2252" i="7" l="1"/>
  <c r="G2250" i="7"/>
  <c r="H545" i="7"/>
  <c r="H532" i="7"/>
  <c r="H533" i="7"/>
  <c r="H534" i="7"/>
  <c r="H535" i="7"/>
  <c r="H1580" i="7"/>
  <c r="G147" i="19" s="1"/>
  <c r="H470" i="7" l="1"/>
  <c r="G2306" i="7"/>
  <c r="G2299" i="7"/>
  <c r="H2299" i="7" s="1"/>
  <c r="G2316" i="7" l="1"/>
  <c r="G812" i="7"/>
  <c r="G772" i="7"/>
  <c r="G555" i="7"/>
  <c r="G512" i="7"/>
  <c r="G473" i="7"/>
  <c r="G435" i="7"/>
  <c r="G398" i="7"/>
  <c r="G361" i="7"/>
  <c r="G317" i="7"/>
  <c r="G2357" i="7" s="1"/>
  <c r="G220" i="7"/>
  <c r="G184" i="7"/>
  <c r="G104" i="7"/>
  <c r="H1153" i="7"/>
  <c r="G532" i="19" s="1"/>
  <c r="G2336" i="7" l="1"/>
  <c r="M749" i="19"/>
  <c r="G2339" i="7"/>
  <c r="G1638" i="7" l="1"/>
  <c r="H1633" i="7"/>
  <c r="G641" i="19" s="1"/>
  <c r="H1634" i="7"/>
  <c r="G642" i="19" s="1"/>
  <c r="H1635" i="7"/>
  <c r="G643" i="19" s="1"/>
  <c r="H1636" i="7"/>
  <c r="G644" i="19" s="1"/>
  <c r="H1637" i="7"/>
  <c r="G645" i="19" s="1"/>
  <c r="G2264" i="7"/>
  <c r="H1627" i="7"/>
  <c r="G635" i="19" s="1"/>
  <c r="H1625" i="7"/>
  <c r="G633" i="19" s="1"/>
  <c r="H1624" i="7"/>
  <c r="G632" i="19" s="1"/>
  <c r="G2231" i="7"/>
  <c r="H1613" i="7"/>
  <c r="G621" i="19" s="1"/>
  <c r="H1612" i="7"/>
  <c r="H1610" i="7"/>
  <c r="H1607" i="7"/>
  <c r="G2222" i="7"/>
  <c r="H1606" i="7"/>
  <c r="G614" i="19" l="1"/>
  <c r="G615" i="19"/>
  <c r="G618" i="19"/>
  <c r="G620" i="19"/>
  <c r="H2012" i="7"/>
  <c r="H1956" i="7" l="1"/>
  <c r="G2272" i="7" l="1"/>
  <c r="H136" i="7"/>
  <c r="G103" i="19" s="1"/>
  <c r="G2237" i="7" l="1"/>
  <c r="H128" i="7"/>
  <c r="G879" i="7" l="1"/>
  <c r="F487" i="19" l="1"/>
  <c r="F512" i="19" s="1"/>
  <c r="F757" i="19" l="1"/>
  <c r="G757" i="19" s="1"/>
  <c r="G512" i="19"/>
  <c r="G630" i="7" l="1"/>
  <c r="G592" i="7" l="1"/>
  <c r="Q2095" i="7"/>
  <c r="Q2132" i="7"/>
  <c r="R2132" i="7" l="1"/>
  <c r="B338" i="19"/>
  <c r="B697" i="19" l="1"/>
  <c r="B711" i="19" s="1"/>
  <c r="B728" i="19" s="1"/>
  <c r="B670" i="19"/>
  <c r="B649" i="19"/>
  <c r="B603" i="19"/>
  <c r="B562" i="19"/>
  <c r="B517" i="19"/>
  <c r="B478" i="19"/>
  <c r="B443" i="19"/>
  <c r="B412" i="19"/>
  <c r="B377" i="19"/>
  <c r="B277" i="19"/>
  <c r="B223" i="19"/>
  <c r="B164" i="19"/>
  <c r="B115" i="19"/>
  <c r="B56" i="19"/>
  <c r="E60" i="19" l="1"/>
  <c r="G60" i="19"/>
  <c r="C884" i="7" l="1"/>
  <c r="C633" i="7"/>
  <c r="C595" i="7"/>
  <c r="C558" i="7"/>
  <c r="C515" i="7"/>
  <c r="C476" i="7"/>
  <c r="C439" i="7"/>
  <c r="C401" i="7"/>
  <c r="C364" i="7"/>
  <c r="H193" i="7" l="1"/>
  <c r="H405" i="7"/>
  <c r="H443" i="7"/>
  <c r="H480" i="7"/>
  <c r="H519" i="7"/>
  <c r="H562" i="7"/>
  <c r="H599" i="7"/>
  <c r="H637" i="7"/>
  <c r="H61" i="7"/>
  <c r="H113" i="7"/>
  <c r="H150" i="7"/>
  <c r="H228" i="7"/>
  <c r="H286" i="7"/>
  <c r="H368" i="7"/>
  <c r="F332" i="19" l="1"/>
  <c r="F2311" i="7"/>
  <c r="G2311" i="7"/>
  <c r="E2311" i="7"/>
  <c r="E2297" i="7"/>
  <c r="G670" i="7"/>
  <c r="E1391" i="7"/>
  <c r="H1390" i="7"/>
  <c r="G332" i="19" s="1"/>
  <c r="F210" i="19" l="1"/>
  <c r="F211" i="19"/>
  <c r="F215" i="19"/>
  <c r="F2244" i="7"/>
  <c r="G2244" i="7"/>
  <c r="F2245" i="7"/>
  <c r="G2245" i="7"/>
  <c r="F2246" i="7"/>
  <c r="G2246" i="7"/>
  <c r="E2246" i="7"/>
  <c r="E2245" i="7"/>
  <c r="E2244" i="7"/>
  <c r="F2237" i="7"/>
  <c r="F2238" i="7"/>
  <c r="G2238" i="7"/>
  <c r="E2238" i="7"/>
  <c r="E2237" i="7"/>
  <c r="F331" i="19" l="1"/>
  <c r="F333" i="19" s="1"/>
  <c r="G45" i="7" l="1"/>
  <c r="F44" i="19" s="1"/>
  <c r="G44" i="19" s="1"/>
  <c r="F2272" i="7"/>
  <c r="E2272" i="7"/>
  <c r="H1584" i="7"/>
  <c r="G2300" i="7" l="1"/>
  <c r="G1391" i="7"/>
  <c r="G2353" i="7" s="1"/>
  <c r="L162" i="21"/>
  <c r="K162" i="21"/>
  <c r="J162" i="21"/>
  <c r="D148" i="21"/>
  <c r="G148" i="21" s="1"/>
  <c r="D147" i="21"/>
  <c r="G147" i="21" s="1"/>
  <c r="G144" i="21"/>
  <c r="H146" i="21" s="1"/>
  <c r="G132" i="21"/>
  <c r="D132" i="21"/>
  <c r="D131" i="21"/>
  <c r="G131" i="21" s="1"/>
  <c r="G130" i="21"/>
  <c r="G129" i="21"/>
  <c r="G128" i="21"/>
  <c r="G127" i="21"/>
  <c r="G126" i="21"/>
  <c r="G125" i="21"/>
  <c r="C115" i="21"/>
  <c r="B113" i="21"/>
  <c r="C113" i="21" s="1"/>
  <c r="C108" i="21"/>
  <c r="D108" i="21" s="1"/>
  <c r="B106" i="21"/>
  <c r="C106" i="21" s="1"/>
  <c r="D106" i="21" s="1"/>
  <c r="D105" i="21"/>
  <c r="D102" i="21"/>
  <c r="G89" i="21"/>
  <c r="G91" i="21" s="1"/>
  <c r="G82" i="21"/>
  <c r="H82" i="21" s="1"/>
  <c r="C82" i="21"/>
  <c r="D82" i="21" s="1"/>
  <c r="C76" i="21"/>
  <c r="C77" i="21" s="1"/>
  <c r="C64" i="21"/>
  <c r="B64" i="21"/>
  <c r="A64" i="21"/>
  <c r="C1203" i="10"/>
  <c r="C1147" i="10"/>
  <c r="A37" i="10"/>
  <c r="A35" i="10"/>
  <c r="C1204" i="9"/>
  <c r="C1148" i="9"/>
  <c r="A40" i="9"/>
  <c r="A38" i="9"/>
  <c r="E2414" i="7"/>
  <c r="E2413" i="7"/>
  <c r="G2391" i="7"/>
  <c r="G2383" i="7"/>
  <c r="F2383" i="7"/>
  <c r="E2383" i="7"/>
  <c r="C2328" i="7"/>
  <c r="E2324" i="7"/>
  <c r="G2321" i="7"/>
  <c r="G2320" i="7" s="1"/>
  <c r="F2321" i="7"/>
  <c r="F2320" i="7" s="1"/>
  <c r="E2321" i="7"/>
  <c r="E2320" i="7" s="1"/>
  <c r="G2318" i="7"/>
  <c r="G2317" i="7" s="1"/>
  <c r="F2318" i="7"/>
  <c r="F2317" i="7" s="1"/>
  <c r="E2318" i="7"/>
  <c r="E2317" i="7" s="1"/>
  <c r="F2316" i="7"/>
  <c r="E2316" i="7"/>
  <c r="G2314" i="7"/>
  <c r="F2314" i="7"/>
  <c r="E2314" i="7"/>
  <c r="G2313" i="7"/>
  <c r="F2313" i="7"/>
  <c r="E2313" i="7"/>
  <c r="G2312" i="7"/>
  <c r="F2312" i="7"/>
  <c r="E2312" i="7"/>
  <c r="N2309" i="7"/>
  <c r="M2309" i="7"/>
  <c r="L2309" i="7"/>
  <c r="K2309" i="7"/>
  <c r="J2309" i="7"/>
  <c r="I2309" i="7"/>
  <c r="F2307" i="7"/>
  <c r="E2307" i="7"/>
  <c r="G2305" i="7"/>
  <c r="F2306" i="7"/>
  <c r="F2305" i="7" s="1"/>
  <c r="E2306" i="7"/>
  <c r="H2304" i="7"/>
  <c r="H2303" i="7" s="1"/>
  <c r="G2303" i="7"/>
  <c r="F2303" i="7"/>
  <c r="E2303" i="7"/>
  <c r="N2302" i="7"/>
  <c r="M2302" i="7"/>
  <c r="L2302" i="7"/>
  <c r="K2302" i="7"/>
  <c r="J2302" i="7"/>
  <c r="I2302" i="7"/>
  <c r="G2302" i="7"/>
  <c r="F2302" i="7"/>
  <c r="E2302" i="7"/>
  <c r="F2301" i="7"/>
  <c r="E2301" i="7"/>
  <c r="F2300" i="7"/>
  <c r="E2300" i="7"/>
  <c r="F2298" i="7"/>
  <c r="E2298" i="7"/>
  <c r="F2297" i="7"/>
  <c r="G2296" i="7"/>
  <c r="F2296" i="7"/>
  <c r="E2296" i="7"/>
  <c r="G2294" i="7"/>
  <c r="H2294" i="7" s="1"/>
  <c r="G2293" i="7"/>
  <c r="F2293" i="7"/>
  <c r="E2293" i="7"/>
  <c r="G2292" i="7"/>
  <c r="F2292" i="7"/>
  <c r="E2292" i="7"/>
  <c r="H2290" i="7"/>
  <c r="G2289" i="7"/>
  <c r="F2289" i="7"/>
  <c r="E2289" i="7"/>
  <c r="G2288" i="7"/>
  <c r="F2288" i="7"/>
  <c r="E2288" i="7"/>
  <c r="G2287" i="7"/>
  <c r="F2287" i="7"/>
  <c r="E2287" i="7"/>
  <c r="G2285" i="7"/>
  <c r="F2285" i="7"/>
  <c r="E2285" i="7"/>
  <c r="E2282" i="7" s="1"/>
  <c r="M2281" i="7"/>
  <c r="L2281" i="7"/>
  <c r="K2281" i="7"/>
  <c r="J2281" i="7"/>
  <c r="I2281" i="7"/>
  <c r="G2281" i="7"/>
  <c r="F2281" i="7"/>
  <c r="E2281" i="7"/>
  <c r="E2280" i="7" s="1"/>
  <c r="G2279" i="7"/>
  <c r="F2279" i="7"/>
  <c r="E2279" i="7"/>
  <c r="F2277" i="7"/>
  <c r="G2275" i="7"/>
  <c r="F2275" i="7"/>
  <c r="F2274" i="7" s="1"/>
  <c r="E2275" i="7"/>
  <c r="E2274" i="7" s="1"/>
  <c r="F2273" i="7"/>
  <c r="E2273" i="7"/>
  <c r="H2272" i="7"/>
  <c r="F2271" i="7"/>
  <c r="E2271" i="7"/>
  <c r="G2270" i="7"/>
  <c r="F2270" i="7"/>
  <c r="E2270" i="7"/>
  <c r="G2269" i="7"/>
  <c r="F2269" i="7"/>
  <c r="E2269" i="7"/>
  <c r="G2268" i="7"/>
  <c r="F2268" i="7"/>
  <c r="E2268" i="7"/>
  <c r="G2266" i="7"/>
  <c r="F2266" i="7"/>
  <c r="E2266" i="7"/>
  <c r="G2265" i="7"/>
  <c r="F2265" i="7"/>
  <c r="E2265" i="7"/>
  <c r="F2264" i="7"/>
  <c r="E2264" i="7"/>
  <c r="F2263" i="7"/>
  <c r="E2263" i="7"/>
  <c r="F2261" i="7"/>
  <c r="E2261" i="7"/>
  <c r="G2260" i="7"/>
  <c r="F2260" i="7"/>
  <c r="E2260" i="7"/>
  <c r="F2259" i="7"/>
  <c r="E2259" i="7"/>
  <c r="F2258" i="7"/>
  <c r="E2258" i="7"/>
  <c r="N2257" i="7"/>
  <c r="M2257" i="7"/>
  <c r="L2257" i="7"/>
  <c r="K2257" i="7"/>
  <c r="J2257" i="7"/>
  <c r="I2257" i="7"/>
  <c r="G2257" i="7"/>
  <c r="F2257" i="7"/>
  <c r="E2257" i="7"/>
  <c r="G2256" i="7"/>
  <c r="F2256" i="7"/>
  <c r="E2256" i="7"/>
  <c r="G2255" i="7"/>
  <c r="F2255" i="7"/>
  <c r="E2255" i="7"/>
  <c r="G2254" i="7"/>
  <c r="F2254" i="7"/>
  <c r="E2254" i="7"/>
  <c r="F2253" i="7"/>
  <c r="E2253" i="7"/>
  <c r="F2252" i="7"/>
  <c r="E2252" i="7"/>
  <c r="F2251" i="7"/>
  <c r="E2251" i="7"/>
  <c r="F2250" i="7"/>
  <c r="E2250" i="7"/>
  <c r="G2248" i="7"/>
  <c r="F2248" i="7"/>
  <c r="E2248" i="7"/>
  <c r="G2247" i="7"/>
  <c r="F2247" i="7"/>
  <c r="E2247" i="7"/>
  <c r="F2242" i="7"/>
  <c r="E2242" i="7"/>
  <c r="G2241" i="7"/>
  <c r="F2241" i="7"/>
  <c r="E2241" i="7"/>
  <c r="G2240" i="7"/>
  <c r="P539" i="7" s="1"/>
  <c r="F2240" i="7"/>
  <c r="E2240" i="7"/>
  <c r="F2239" i="7"/>
  <c r="E2239" i="7"/>
  <c r="G2236" i="7"/>
  <c r="F2236" i="7"/>
  <c r="E2236" i="7"/>
  <c r="F2235" i="7"/>
  <c r="E2235" i="7"/>
  <c r="F2234" i="7"/>
  <c r="E2234" i="7"/>
  <c r="F2233" i="7"/>
  <c r="E2233" i="7"/>
  <c r="F2232" i="7"/>
  <c r="E2232" i="7"/>
  <c r="F2231" i="7"/>
  <c r="E2231" i="7"/>
  <c r="G2230" i="7"/>
  <c r="F2230" i="7"/>
  <c r="E2230" i="7"/>
  <c r="F2229" i="7"/>
  <c r="E2229" i="7"/>
  <c r="F2228" i="7"/>
  <c r="E2228" i="7"/>
  <c r="F2227" i="7"/>
  <c r="E2227" i="7"/>
  <c r="F2226" i="7"/>
  <c r="E2226" i="7"/>
  <c r="G2225" i="7"/>
  <c r="F2225" i="7"/>
  <c r="E2225" i="7"/>
  <c r="F2224" i="7"/>
  <c r="E2224" i="7"/>
  <c r="F2222" i="7"/>
  <c r="E2222" i="7"/>
  <c r="G2219" i="7"/>
  <c r="F2219" i="7"/>
  <c r="E2219" i="7"/>
  <c r="G2218" i="7"/>
  <c r="G2217" i="7" s="1"/>
  <c r="F2218" i="7"/>
  <c r="F2217" i="7" s="1"/>
  <c r="E2218" i="7"/>
  <c r="E2217" i="7" s="1"/>
  <c r="G2216" i="7"/>
  <c r="G2215" i="7" s="1"/>
  <c r="F2216" i="7"/>
  <c r="E2216" i="7"/>
  <c r="E2215" i="7" s="1"/>
  <c r="F2213" i="7"/>
  <c r="E2213" i="7"/>
  <c r="F2212" i="7"/>
  <c r="F2211" i="7" s="1"/>
  <c r="E2212" i="7"/>
  <c r="E2211" i="7" s="1"/>
  <c r="H2210" i="7"/>
  <c r="G2209" i="7"/>
  <c r="G2208" i="7" s="1"/>
  <c r="F2209" i="7"/>
  <c r="E2209" i="7"/>
  <c r="N2208" i="7"/>
  <c r="M2208" i="7"/>
  <c r="L2208" i="7"/>
  <c r="K2208" i="7"/>
  <c r="J2208" i="7"/>
  <c r="I2208" i="7"/>
  <c r="F2208" i="7"/>
  <c r="E2208" i="7"/>
  <c r="F2207" i="7"/>
  <c r="E2207" i="7"/>
  <c r="G2206" i="7"/>
  <c r="F2206" i="7"/>
  <c r="E2206" i="7"/>
  <c r="F2205" i="7"/>
  <c r="E2205" i="7"/>
  <c r="H2201" i="7"/>
  <c r="F2201" i="7"/>
  <c r="C2198" i="7"/>
  <c r="G2193" i="7"/>
  <c r="F2193" i="7"/>
  <c r="E2193" i="7"/>
  <c r="H2192" i="7"/>
  <c r="H2191" i="7"/>
  <c r="H2189" i="7"/>
  <c r="F2189" i="7"/>
  <c r="C2186" i="7"/>
  <c r="C2185" i="7"/>
  <c r="G2180" i="7"/>
  <c r="G2369" i="7" s="1"/>
  <c r="F2180" i="7"/>
  <c r="F2369" i="7" s="1"/>
  <c r="E2180" i="7"/>
  <c r="H2179" i="7"/>
  <c r="G722" i="19" s="1"/>
  <c r="H2178" i="7"/>
  <c r="G721" i="19" s="1"/>
  <c r="H2177" i="7"/>
  <c r="G720" i="19" s="1"/>
  <c r="H2176" i="7"/>
  <c r="G719" i="19" s="1"/>
  <c r="H2175" i="7"/>
  <c r="G718" i="19" s="1"/>
  <c r="H2174" i="7"/>
  <c r="G717" i="19" s="1"/>
  <c r="H2172" i="7"/>
  <c r="F2172" i="7"/>
  <c r="C2169" i="7"/>
  <c r="C2168" i="7"/>
  <c r="G2163" i="7"/>
  <c r="G2382" i="7" s="1"/>
  <c r="F2163" i="7"/>
  <c r="F2382" i="7" s="1"/>
  <c r="E2163" i="7"/>
  <c r="H2162" i="7"/>
  <c r="H2161" i="7"/>
  <c r="H2160" i="7"/>
  <c r="H2159" i="7"/>
  <c r="H2157" i="7"/>
  <c r="F2157" i="7"/>
  <c r="C2154" i="7"/>
  <c r="C2153" i="7"/>
  <c r="G2381" i="7"/>
  <c r="F2148" i="7"/>
  <c r="F2381" i="7" s="1"/>
  <c r="E2148" i="7"/>
  <c r="E2381" i="7" s="1"/>
  <c r="H2147" i="7"/>
  <c r="H2142" i="7"/>
  <c r="F2142" i="7"/>
  <c r="C2139" i="7"/>
  <c r="C2138" i="7"/>
  <c r="G2133" i="7"/>
  <c r="G2368" i="7" s="1"/>
  <c r="F2133" i="7"/>
  <c r="F2368" i="7" s="1"/>
  <c r="E2133" i="7"/>
  <c r="E2368" i="7" s="1"/>
  <c r="H2132" i="7"/>
  <c r="H2131" i="7"/>
  <c r="H2130" i="7"/>
  <c r="H2128" i="7"/>
  <c r="F2128" i="7"/>
  <c r="C2125" i="7"/>
  <c r="C2124" i="7"/>
  <c r="G2119" i="7"/>
  <c r="G2367" i="7" s="1"/>
  <c r="F2119" i="7"/>
  <c r="F2367" i="7" s="1"/>
  <c r="E2119" i="7"/>
  <c r="H2118" i="7"/>
  <c r="G664" i="19" s="1"/>
  <c r="H2117" i="7"/>
  <c r="G663" i="19" s="1"/>
  <c r="H2116" i="7"/>
  <c r="G662" i="19" s="1"/>
  <c r="H2115" i="7"/>
  <c r="G661" i="19" s="1"/>
  <c r="H2114" i="7"/>
  <c r="G660" i="19" s="1"/>
  <c r="H2113" i="7"/>
  <c r="G659" i="19" s="1"/>
  <c r="H2112" i="7"/>
  <c r="G658" i="19" s="1"/>
  <c r="H2111" i="7"/>
  <c r="G657" i="19" s="1"/>
  <c r="H2110" i="7"/>
  <c r="G656" i="19" s="1"/>
  <c r="H2109" i="7"/>
  <c r="G655" i="19" s="1"/>
  <c r="H2107" i="7"/>
  <c r="F2107" i="7"/>
  <c r="C2104" i="7"/>
  <c r="C2103" i="7"/>
  <c r="G2364" i="7"/>
  <c r="F2098" i="7"/>
  <c r="F2364" i="7" s="1"/>
  <c r="E2364" i="7"/>
  <c r="H2096" i="7"/>
  <c r="H2095" i="7"/>
  <c r="H2093" i="7"/>
  <c r="H2092" i="7"/>
  <c r="H2090" i="7"/>
  <c r="H2089" i="7"/>
  <c r="H2088" i="7"/>
  <c r="H2087" i="7"/>
  <c r="H2086" i="7"/>
  <c r="H2085" i="7"/>
  <c r="H2084" i="7"/>
  <c r="H2083" i="7"/>
  <c r="H2082" i="7"/>
  <c r="H2081" i="7"/>
  <c r="H2080" i="7"/>
  <c r="H2079" i="7"/>
  <c r="H2078" i="7"/>
  <c r="H2077" i="7"/>
  <c r="H2076" i="7"/>
  <c r="H2075" i="7"/>
  <c r="H2074" i="7"/>
  <c r="H2073" i="7"/>
  <c r="H2072" i="7"/>
  <c r="H2071" i="7"/>
  <c r="H2070" i="7"/>
  <c r="H2069" i="7"/>
  <c r="H2067" i="7"/>
  <c r="F2067" i="7"/>
  <c r="C2064" i="7"/>
  <c r="C2063" i="7"/>
  <c r="F2058" i="7"/>
  <c r="E2058" i="7"/>
  <c r="H2056" i="7"/>
  <c r="H2055" i="7"/>
  <c r="H2054" i="7"/>
  <c r="H2053" i="7"/>
  <c r="H2052" i="7"/>
  <c r="H2051" i="7"/>
  <c r="H2050" i="7"/>
  <c r="H2049" i="7"/>
  <c r="H2048" i="7"/>
  <c r="H2047" i="7"/>
  <c r="H2046" i="7"/>
  <c r="H2045" i="7"/>
  <c r="H2044" i="7"/>
  <c r="H2043" i="7"/>
  <c r="H2042" i="7"/>
  <c r="H2041" i="7"/>
  <c r="H2040" i="7"/>
  <c r="H2039" i="7"/>
  <c r="H2038" i="7"/>
  <c r="H2037" i="7"/>
  <c r="H2036" i="7"/>
  <c r="H2035" i="7"/>
  <c r="H2034" i="7"/>
  <c r="H2033" i="7"/>
  <c r="H2032" i="7"/>
  <c r="H2031" i="7"/>
  <c r="H2030" i="7"/>
  <c r="H2028" i="7"/>
  <c r="F2028" i="7"/>
  <c r="F2019" i="7"/>
  <c r="F2365" i="7" s="1"/>
  <c r="E2019" i="7"/>
  <c r="E2365" i="7" s="1"/>
  <c r="H2018" i="7"/>
  <c r="H2017" i="7"/>
  <c r="H2016" i="7"/>
  <c r="H2015" i="7"/>
  <c r="H2014" i="7"/>
  <c r="H2013" i="7"/>
  <c r="H2011" i="7"/>
  <c r="H2010" i="7"/>
  <c r="H2009" i="7"/>
  <c r="H2008" i="7"/>
  <c r="H2007" i="7"/>
  <c r="H2006" i="7"/>
  <c r="H2005" i="7"/>
  <c r="H2004" i="7"/>
  <c r="H2003" i="7"/>
  <c r="H2002" i="7"/>
  <c r="H2001" i="7"/>
  <c r="H2000" i="7"/>
  <c r="H1999" i="7"/>
  <c r="H1998" i="7"/>
  <c r="H1997" i="7"/>
  <c r="H1996" i="7"/>
  <c r="H1995" i="7"/>
  <c r="H1994" i="7"/>
  <c r="H1993" i="7"/>
  <c r="H1992" i="7"/>
  <c r="H1991" i="7"/>
  <c r="H1990" i="7"/>
  <c r="H1989" i="7"/>
  <c r="H1988" i="7"/>
  <c r="H1986" i="7"/>
  <c r="F1986" i="7"/>
  <c r="C1983" i="7"/>
  <c r="C1982" i="7"/>
  <c r="F1977" i="7"/>
  <c r="E1977" i="7"/>
  <c r="H1975" i="7"/>
  <c r="H1974" i="7"/>
  <c r="H1972" i="7"/>
  <c r="H1971" i="7"/>
  <c r="H1970" i="7"/>
  <c r="H1969" i="7"/>
  <c r="H1968" i="7"/>
  <c r="H1967" i="7"/>
  <c r="H1966" i="7"/>
  <c r="H1963" i="7"/>
  <c r="H1962" i="7"/>
  <c r="H1961" i="7"/>
  <c r="H1960" i="7"/>
  <c r="H1959" i="7"/>
  <c r="H1958" i="7"/>
  <c r="H1957" i="7"/>
  <c r="H1955" i="7"/>
  <c r="H1954" i="7"/>
  <c r="H1952" i="7"/>
  <c r="F1952" i="7"/>
  <c r="C1949" i="7"/>
  <c r="C1948" i="7"/>
  <c r="F1943" i="7"/>
  <c r="E1943" i="7"/>
  <c r="H1942" i="7"/>
  <c r="H1941" i="7"/>
  <c r="H1940" i="7"/>
  <c r="H1939" i="7"/>
  <c r="H1938" i="7"/>
  <c r="H1936" i="7"/>
  <c r="H1935" i="7"/>
  <c r="H1934" i="7"/>
  <c r="H1933" i="7"/>
  <c r="H1932" i="7"/>
  <c r="H1931" i="7"/>
  <c r="H1930" i="7"/>
  <c r="H1929" i="7"/>
  <c r="H1928" i="7"/>
  <c r="H1927" i="7"/>
  <c r="H1926" i="7"/>
  <c r="H1925" i="7"/>
  <c r="H1924" i="7"/>
  <c r="H1923" i="7"/>
  <c r="H1921" i="7"/>
  <c r="H1920" i="7"/>
  <c r="H1918" i="7"/>
  <c r="F1918" i="7"/>
  <c r="C1915" i="7"/>
  <c r="C1914" i="7"/>
  <c r="F1909" i="7"/>
  <c r="E1909" i="7"/>
  <c r="H1908" i="7"/>
  <c r="H1907" i="7"/>
  <c r="H1906" i="7"/>
  <c r="H1905" i="7"/>
  <c r="H1904" i="7"/>
  <c r="H1903" i="7"/>
  <c r="H1902" i="7"/>
  <c r="H1901" i="7"/>
  <c r="H1900" i="7"/>
  <c r="H1899" i="7"/>
  <c r="H1898" i="7"/>
  <c r="H1897" i="7"/>
  <c r="H1896" i="7"/>
  <c r="H1895" i="7"/>
  <c r="H1894" i="7"/>
  <c r="H1893" i="7"/>
  <c r="H1892" i="7"/>
  <c r="H1891" i="7"/>
  <c r="H1890" i="7"/>
  <c r="H1889" i="7"/>
  <c r="H1888" i="7"/>
  <c r="H1887" i="7"/>
  <c r="H1886" i="7"/>
  <c r="H1885" i="7"/>
  <c r="H1884" i="7"/>
  <c r="H1882" i="7"/>
  <c r="F1882" i="7"/>
  <c r="C1879" i="7"/>
  <c r="C1878" i="7"/>
  <c r="F1873" i="7"/>
  <c r="E1873" i="7"/>
  <c r="H1872" i="7"/>
  <c r="H1871" i="7"/>
  <c r="H1870" i="7"/>
  <c r="H1869" i="7"/>
  <c r="H1868" i="7"/>
  <c r="H1867" i="7"/>
  <c r="H1866" i="7"/>
  <c r="H1865" i="7"/>
  <c r="H1864" i="7"/>
  <c r="H1863" i="7"/>
  <c r="H1862" i="7"/>
  <c r="H1861" i="7"/>
  <c r="H1860" i="7"/>
  <c r="H1859" i="7"/>
  <c r="H1858" i="7"/>
  <c r="H1857" i="7"/>
  <c r="H1856" i="7"/>
  <c r="H1855" i="7"/>
  <c r="H1854" i="7"/>
  <c r="H1853" i="7"/>
  <c r="H1852" i="7"/>
  <c r="H1851" i="7"/>
  <c r="H1850" i="7"/>
  <c r="H1849" i="7"/>
  <c r="H1848" i="7"/>
  <c r="H1847" i="7"/>
  <c r="H1846" i="7"/>
  <c r="H1845" i="7"/>
  <c r="H1843" i="7"/>
  <c r="F1843" i="7"/>
  <c r="C1840" i="7"/>
  <c r="C1839" i="7"/>
  <c r="F1834" i="7"/>
  <c r="E1834" i="7"/>
  <c r="H1833" i="7"/>
  <c r="H1832" i="7"/>
  <c r="H1831" i="7"/>
  <c r="H1830" i="7"/>
  <c r="H1829" i="7"/>
  <c r="H1828" i="7"/>
  <c r="H1827" i="7"/>
  <c r="H1826" i="7"/>
  <c r="H1825" i="7"/>
  <c r="H1824" i="7"/>
  <c r="H1823" i="7"/>
  <c r="H1822" i="7"/>
  <c r="H1821" i="7"/>
  <c r="H1820" i="7"/>
  <c r="H1819" i="7"/>
  <c r="H1818" i="7"/>
  <c r="H1817" i="7"/>
  <c r="H1816" i="7"/>
  <c r="H1815" i="7"/>
  <c r="H1814" i="7"/>
  <c r="H1813" i="7"/>
  <c r="H1812" i="7"/>
  <c r="H1811" i="7"/>
  <c r="H1809" i="7"/>
  <c r="H1808" i="7"/>
  <c r="H1807" i="7"/>
  <c r="H1806" i="7"/>
  <c r="H1805" i="7"/>
  <c r="H1804" i="7"/>
  <c r="H1803" i="7"/>
  <c r="H1802" i="7"/>
  <c r="H1800" i="7"/>
  <c r="C1797" i="7"/>
  <c r="C1796" i="7"/>
  <c r="G1791" i="7"/>
  <c r="G2350" i="7" s="1"/>
  <c r="H2350" i="7" s="1"/>
  <c r="F1791" i="7"/>
  <c r="F2363" i="7" s="1"/>
  <c r="E1791" i="7"/>
  <c r="E2363" i="7" s="1"/>
  <c r="H1790" i="7"/>
  <c r="H1789" i="7"/>
  <c r="H1788" i="7"/>
  <c r="H1787" i="7"/>
  <c r="H1786" i="7"/>
  <c r="H1785" i="7"/>
  <c r="H1784" i="7"/>
  <c r="H1783" i="7"/>
  <c r="H1782" i="7"/>
  <c r="H1780" i="7"/>
  <c r="H1779" i="7"/>
  <c r="H1778" i="7"/>
  <c r="H1777" i="7"/>
  <c r="H1776" i="7"/>
  <c r="H1775" i="7"/>
  <c r="H1774" i="7"/>
  <c r="H1773" i="7"/>
  <c r="H1772" i="7"/>
  <c r="H1771" i="7"/>
  <c r="H1770" i="7"/>
  <c r="H1769" i="7"/>
  <c r="H1768" i="7"/>
  <c r="H1767" i="7"/>
  <c r="H1766" i="7"/>
  <c r="H1765" i="7"/>
  <c r="H1764" i="7"/>
  <c r="H1763" i="7"/>
  <c r="H1762" i="7"/>
  <c r="H1761" i="7"/>
  <c r="H1760" i="7"/>
  <c r="H1759" i="7"/>
  <c r="H1757" i="7"/>
  <c r="F1757" i="7"/>
  <c r="C1754" i="7"/>
  <c r="C1753" i="7"/>
  <c r="F1749" i="7"/>
  <c r="F2362" i="7" s="1"/>
  <c r="E1749" i="7"/>
  <c r="E2362" i="7" s="1"/>
  <c r="H1748" i="7"/>
  <c r="H1747" i="7"/>
  <c r="H1746" i="7"/>
  <c r="H1745" i="7"/>
  <c r="G266" i="19" s="1"/>
  <c r="H1744" i="7"/>
  <c r="H1743" i="7"/>
  <c r="H1742" i="7"/>
  <c r="H1741" i="7"/>
  <c r="H1740" i="7"/>
  <c r="H1739" i="7"/>
  <c r="H1738" i="7"/>
  <c r="H1737" i="7"/>
  <c r="H1736" i="7"/>
  <c r="H1735" i="7"/>
  <c r="H1734" i="7"/>
  <c r="H1733" i="7"/>
  <c r="H1732" i="7"/>
  <c r="H1731" i="7"/>
  <c r="H1730" i="7"/>
  <c r="H1729" i="7"/>
  <c r="H1728" i="7"/>
  <c r="H1727" i="7"/>
  <c r="H1726" i="7"/>
  <c r="H1725" i="7"/>
  <c r="H1723" i="7"/>
  <c r="F1723" i="7"/>
  <c r="C1720" i="7"/>
  <c r="C1719" i="7"/>
  <c r="G1714" i="7"/>
  <c r="G2361" i="7" s="1"/>
  <c r="F1714" i="7"/>
  <c r="F2361" i="7" s="1"/>
  <c r="E1714" i="7"/>
  <c r="E2361" i="7" s="1"/>
  <c r="H1713" i="7"/>
  <c r="H1712" i="7"/>
  <c r="H1711" i="7"/>
  <c r="H1710" i="7"/>
  <c r="H1709" i="7"/>
  <c r="G321" i="19" s="1"/>
  <c r="H1708" i="7"/>
  <c r="H1707" i="7"/>
  <c r="H1706" i="7"/>
  <c r="H1705" i="7"/>
  <c r="H1704" i="7"/>
  <c r="H1703" i="7"/>
  <c r="H1702" i="7"/>
  <c r="H1701" i="7"/>
  <c r="H1700" i="7"/>
  <c r="H1699" i="7"/>
  <c r="H1698" i="7"/>
  <c r="H1697" i="7"/>
  <c r="H1696" i="7"/>
  <c r="H1695" i="7"/>
  <c r="H1694" i="7"/>
  <c r="H1693" i="7"/>
  <c r="H1692" i="7"/>
  <c r="H1691" i="7"/>
  <c r="H1690" i="7"/>
  <c r="H1689" i="7"/>
  <c r="H1688" i="7"/>
  <c r="H1687" i="7"/>
  <c r="H1686" i="7"/>
  <c r="H1685" i="7"/>
  <c r="H1684" i="7"/>
  <c r="H1683" i="7"/>
  <c r="H1681" i="7"/>
  <c r="F1681" i="7"/>
  <c r="C1678" i="7"/>
  <c r="C1677" i="7"/>
  <c r="G1672" i="7"/>
  <c r="F1672" i="7"/>
  <c r="F2360" i="7" s="1"/>
  <c r="E1672" i="7"/>
  <c r="E2360" i="7" s="1"/>
  <c r="H1671" i="7"/>
  <c r="G158" i="19" s="1"/>
  <c r="H1670" i="7"/>
  <c r="G156" i="19" s="1"/>
  <c r="H1669" i="7"/>
  <c r="H1668" i="7"/>
  <c r="H1667" i="7"/>
  <c r="H1666" i="7"/>
  <c r="G151" i="19" s="1"/>
  <c r="H1665" i="7"/>
  <c r="H1664" i="7"/>
  <c r="H1663" i="7"/>
  <c r="H1662" i="7"/>
  <c r="H1661" i="7"/>
  <c r="H1660" i="7"/>
  <c r="H1659" i="7"/>
  <c r="H1658" i="7"/>
  <c r="H1657" i="7"/>
  <c r="H1656" i="7"/>
  <c r="H1655" i="7"/>
  <c r="H1654" i="7"/>
  <c r="H1653" i="7"/>
  <c r="H1652" i="7"/>
  <c r="H1651" i="7"/>
  <c r="H1650" i="7"/>
  <c r="H1649" i="7"/>
  <c r="H1648" i="7"/>
  <c r="H1646" i="7"/>
  <c r="F1646" i="7"/>
  <c r="C1643" i="7"/>
  <c r="C1642" i="7"/>
  <c r="G2359" i="7"/>
  <c r="F1638" i="7"/>
  <c r="F2359" i="7" s="1"/>
  <c r="E1638" i="7"/>
  <c r="E2359" i="7" s="1"/>
  <c r="H1632" i="7"/>
  <c r="G640" i="19" s="1"/>
  <c r="H1631" i="7"/>
  <c r="G639" i="19" s="1"/>
  <c r="H1630" i="7"/>
  <c r="G638" i="19" s="1"/>
  <c r="H1629" i="7"/>
  <c r="G637" i="19" s="1"/>
  <c r="H1628" i="7"/>
  <c r="G636" i="19" s="1"/>
  <c r="H1626" i="7"/>
  <c r="G634" i="19" s="1"/>
  <c r="H1623" i="7"/>
  <c r="G631" i="19" s="1"/>
  <c r="H1622" i="7"/>
  <c r="G630" i="19" s="1"/>
  <c r="H1621" i="7"/>
  <c r="G629" i="19" s="1"/>
  <c r="H1620" i="7"/>
  <c r="G628" i="19" s="1"/>
  <c r="H1619" i="7"/>
  <c r="G627" i="19" s="1"/>
  <c r="H1618" i="7"/>
  <c r="G626" i="19" s="1"/>
  <c r="H1617" i="7"/>
  <c r="G625" i="19" s="1"/>
  <c r="H1616" i="7"/>
  <c r="G624" i="19" s="1"/>
  <c r="H1615" i="7"/>
  <c r="G623" i="19" s="1"/>
  <c r="H1614" i="7"/>
  <c r="G622" i="19" s="1"/>
  <c r="H1611" i="7"/>
  <c r="H1609" i="7"/>
  <c r="H1608" i="7"/>
  <c r="H1605" i="7"/>
  <c r="H1604" i="7"/>
  <c r="H1603" i="7"/>
  <c r="H1602" i="7"/>
  <c r="H1601" i="7"/>
  <c r="H1599" i="7"/>
  <c r="F1599" i="7"/>
  <c r="C1596" i="7"/>
  <c r="C1595" i="7"/>
  <c r="G1590" i="7"/>
  <c r="F1590" i="7"/>
  <c r="F2358" i="7" s="1"/>
  <c r="E1590" i="7"/>
  <c r="E2358" i="7" s="1"/>
  <c r="H1589" i="7"/>
  <c r="H1588" i="7"/>
  <c r="H1587" i="7"/>
  <c r="H1586" i="7"/>
  <c r="H1583" i="7"/>
  <c r="G150" i="19" s="1"/>
  <c r="H1582" i="7"/>
  <c r="H1581" i="7"/>
  <c r="H1579" i="7"/>
  <c r="G146" i="19" s="1"/>
  <c r="H1578" i="7"/>
  <c r="H1577" i="7"/>
  <c r="H1576" i="7"/>
  <c r="H1575" i="7"/>
  <c r="H1574" i="7"/>
  <c r="H1573" i="7"/>
  <c r="H1572" i="7"/>
  <c r="H1571" i="7"/>
  <c r="H1570" i="7"/>
  <c r="H1569" i="7"/>
  <c r="H1568" i="7"/>
  <c r="H1567" i="7"/>
  <c r="G132" i="19" s="1"/>
  <c r="H1566" i="7"/>
  <c r="H1565" i="7"/>
  <c r="H1564" i="7"/>
  <c r="H1563" i="7"/>
  <c r="H1562" i="7"/>
  <c r="H1561" i="7"/>
  <c r="H1560" i="7"/>
  <c r="H1559" i="7"/>
  <c r="H1558" i="7"/>
  <c r="H1557" i="7"/>
  <c r="H1555" i="7"/>
  <c r="F1555" i="7"/>
  <c r="C1552" i="7"/>
  <c r="C1551" i="7"/>
  <c r="F1546" i="7"/>
  <c r="F2366" i="7" s="1"/>
  <c r="E1546" i="7"/>
  <c r="E2366" i="7" s="1"/>
  <c r="H1545" i="7"/>
  <c r="H1544" i="7"/>
  <c r="H1543" i="7"/>
  <c r="H1542" i="7"/>
  <c r="H1541" i="7"/>
  <c r="H1540" i="7"/>
  <c r="H1539" i="7"/>
  <c r="H1538" i="7"/>
  <c r="H1537" i="7"/>
  <c r="H1536" i="7"/>
  <c r="H1535" i="7"/>
  <c r="H1534" i="7"/>
  <c r="H1533" i="7"/>
  <c r="H1532" i="7"/>
  <c r="H1531" i="7"/>
  <c r="H1530" i="7"/>
  <c r="H1529" i="7"/>
  <c r="H1528" i="7"/>
  <c r="H1527" i="7"/>
  <c r="H1526" i="7"/>
  <c r="H1525" i="7"/>
  <c r="H1524" i="7"/>
  <c r="H1523" i="7"/>
  <c r="H1522" i="7"/>
  <c r="H1520" i="7"/>
  <c r="F1520" i="7"/>
  <c r="C1517" i="7"/>
  <c r="C1516" i="7"/>
  <c r="F1512" i="7"/>
  <c r="F2356" i="7" s="1"/>
  <c r="E1512" i="7"/>
  <c r="E2356" i="7" s="1"/>
  <c r="H1511" i="7"/>
  <c r="H1510" i="7"/>
  <c r="H1509" i="7"/>
  <c r="H1508" i="7"/>
  <c r="H1507" i="7"/>
  <c r="H1506" i="7"/>
  <c r="H1505" i="7"/>
  <c r="H1504" i="7"/>
  <c r="H1503" i="7"/>
  <c r="H1502" i="7"/>
  <c r="H1501" i="7"/>
  <c r="H1500" i="7"/>
  <c r="H1499" i="7"/>
  <c r="H1498" i="7"/>
  <c r="H1497" i="7"/>
  <c r="H1496" i="7"/>
  <c r="H1495" i="7"/>
  <c r="H1494" i="7"/>
  <c r="H1493" i="7"/>
  <c r="H1492" i="7"/>
  <c r="H1491" i="7"/>
  <c r="H1490" i="7"/>
  <c r="H1489" i="7"/>
  <c r="H1488" i="7"/>
  <c r="H1487" i="7"/>
  <c r="H1486" i="7"/>
  <c r="H1485" i="7"/>
  <c r="H1484" i="7"/>
  <c r="H1483" i="7"/>
  <c r="H1482" i="7"/>
  <c r="H1480" i="7"/>
  <c r="F1480" i="7"/>
  <c r="C1477" i="7"/>
  <c r="C1476" i="7"/>
  <c r="F1472" i="7"/>
  <c r="F2355" i="7" s="1"/>
  <c r="E1472" i="7"/>
  <c r="E2355" i="7" s="1"/>
  <c r="H1471" i="7"/>
  <c r="H1470" i="7"/>
  <c r="H1469" i="7"/>
  <c r="H1468" i="7"/>
  <c r="H1467" i="7"/>
  <c r="H1466" i="7"/>
  <c r="H1465" i="7"/>
  <c r="H1464" i="7"/>
  <c r="H1463" i="7"/>
  <c r="H1462" i="7"/>
  <c r="H1461" i="7"/>
  <c r="H1460" i="7"/>
  <c r="H1459" i="7"/>
  <c r="H1458" i="7"/>
  <c r="H1457" i="7"/>
  <c r="H1456" i="7"/>
  <c r="H1455" i="7"/>
  <c r="H1454" i="7"/>
  <c r="H1453" i="7"/>
  <c r="H1452" i="7"/>
  <c r="H1451" i="7"/>
  <c r="H1450" i="7"/>
  <c r="H1449" i="7"/>
  <c r="H1448" i="7"/>
  <c r="H1447" i="7"/>
  <c r="H1446" i="7"/>
  <c r="H1445" i="7"/>
  <c r="H1443" i="7"/>
  <c r="H1442" i="7"/>
  <c r="H1440" i="7"/>
  <c r="F1440" i="7"/>
  <c r="C1437" i="7"/>
  <c r="C1436" i="7"/>
  <c r="G1431" i="7"/>
  <c r="G2354" i="7" s="1"/>
  <c r="F1431" i="7"/>
  <c r="F2354" i="7" s="1"/>
  <c r="E1431" i="7"/>
  <c r="E2354" i="7" s="1"/>
  <c r="H1430" i="7"/>
  <c r="H1428" i="7"/>
  <c r="H1427" i="7"/>
  <c r="H1426" i="7"/>
  <c r="H1425" i="7"/>
  <c r="H1424" i="7"/>
  <c r="H1421" i="7"/>
  <c r="H1419" i="7"/>
  <c r="H1418" i="7"/>
  <c r="H1417" i="7"/>
  <c r="H1416" i="7"/>
  <c r="H1415" i="7"/>
  <c r="H1414" i="7"/>
  <c r="H1413" i="7"/>
  <c r="H1412" i="7"/>
  <c r="H1411" i="7"/>
  <c r="H1410" i="7"/>
  <c r="H1408" i="7"/>
  <c r="H1407" i="7"/>
  <c r="H1406" i="7"/>
  <c r="H1405" i="7"/>
  <c r="H1404" i="7"/>
  <c r="H1403" i="7"/>
  <c r="H1402" i="7"/>
  <c r="H1400" i="7"/>
  <c r="F1400" i="7"/>
  <c r="C1397" i="7"/>
  <c r="C1396" i="7"/>
  <c r="F1391" i="7"/>
  <c r="F2353" i="7" s="1"/>
  <c r="E2353" i="7"/>
  <c r="H1389" i="7"/>
  <c r="H1388" i="7"/>
  <c r="H1387" i="7"/>
  <c r="H1386" i="7"/>
  <c r="H1385" i="7"/>
  <c r="H1384" i="7"/>
  <c r="G324" i="19" s="1"/>
  <c r="H1382" i="7"/>
  <c r="H1381" i="7"/>
  <c r="H1380" i="7"/>
  <c r="H1379" i="7"/>
  <c r="H1378" i="7"/>
  <c r="H1377" i="7"/>
  <c r="H1376" i="7"/>
  <c r="H1375" i="7"/>
  <c r="H1374" i="7"/>
  <c r="H1373" i="7"/>
  <c r="H1372" i="7"/>
  <c r="H1371" i="7"/>
  <c r="H1370" i="7"/>
  <c r="H1369" i="7"/>
  <c r="H1368" i="7"/>
  <c r="H1367" i="7"/>
  <c r="H1366" i="7"/>
  <c r="H1365" i="7"/>
  <c r="H1364" i="7"/>
  <c r="H1363" i="7"/>
  <c r="H1362" i="7"/>
  <c r="H1361" i="7"/>
  <c r="H1360" i="7"/>
  <c r="H1359" i="7"/>
  <c r="H1358" i="7"/>
  <c r="H1357" i="7"/>
  <c r="H1356" i="7"/>
  <c r="H1355" i="7"/>
  <c r="H1354" i="7"/>
  <c r="H1353" i="7"/>
  <c r="H1352" i="7"/>
  <c r="H1351" i="7"/>
  <c r="H1350" i="7"/>
  <c r="H1349" i="7"/>
  <c r="H1348" i="7"/>
  <c r="H1347" i="7"/>
  <c r="H1345" i="7"/>
  <c r="F1345" i="7"/>
  <c r="C1342" i="7"/>
  <c r="C1341" i="7"/>
  <c r="F1336" i="7"/>
  <c r="F2352" i="7" s="1"/>
  <c r="E1336" i="7"/>
  <c r="E2352" i="7" s="1"/>
  <c r="H1335" i="7"/>
  <c r="H1334" i="7"/>
  <c r="H1333" i="7"/>
  <c r="H1332" i="7"/>
  <c r="H1331" i="7"/>
  <c r="H1330" i="7"/>
  <c r="H1329" i="7"/>
  <c r="H1328" i="7"/>
  <c r="H1327" i="7"/>
  <c r="H1326" i="7"/>
  <c r="H1325" i="7"/>
  <c r="H1324" i="7"/>
  <c r="H1323" i="7"/>
  <c r="H1321" i="7"/>
  <c r="H1322" i="7"/>
  <c r="H1320" i="7"/>
  <c r="H1319" i="7"/>
  <c r="H1318" i="7"/>
  <c r="H1315" i="7"/>
  <c r="H1313" i="7"/>
  <c r="H1312" i="7"/>
  <c r="H1311" i="7"/>
  <c r="H1310" i="7"/>
  <c r="H1309" i="7"/>
  <c r="H1307" i="7"/>
  <c r="H1306" i="7"/>
  <c r="H1304" i="7"/>
  <c r="F1304" i="7"/>
  <c r="C1301" i="7"/>
  <c r="C1300" i="7"/>
  <c r="F1295" i="7"/>
  <c r="F2351" i="7" s="1"/>
  <c r="E1295" i="7"/>
  <c r="E2351" i="7" s="1"/>
  <c r="H1294" i="7"/>
  <c r="H1293" i="7"/>
  <c r="H1292" i="7"/>
  <c r="H1291" i="7"/>
  <c r="G317" i="19" s="1"/>
  <c r="H1290" i="7"/>
  <c r="H1289" i="7"/>
  <c r="H1288" i="7"/>
  <c r="H1287" i="7"/>
  <c r="H1286" i="7"/>
  <c r="H1285" i="7"/>
  <c r="H1284" i="7"/>
  <c r="H1283" i="7"/>
  <c r="H1282" i="7"/>
  <c r="H1281" i="7"/>
  <c r="H1280" i="7"/>
  <c r="H1279" i="7"/>
  <c r="H1278" i="7"/>
  <c r="H1277" i="7"/>
  <c r="H1276" i="7"/>
  <c r="H1275" i="7"/>
  <c r="H1274" i="7"/>
  <c r="H1273" i="7"/>
  <c r="H1272" i="7"/>
  <c r="H1271" i="7"/>
  <c r="H1270" i="7"/>
  <c r="H1269" i="7"/>
  <c r="H1268" i="7"/>
  <c r="H1267" i="7"/>
  <c r="H1266" i="7"/>
  <c r="H1265" i="7"/>
  <c r="H1263" i="7"/>
  <c r="H1262" i="7"/>
  <c r="H1260" i="7"/>
  <c r="F1260" i="7"/>
  <c r="C1257" i="7"/>
  <c r="C1256" i="7"/>
  <c r="G1251" i="7"/>
  <c r="G2349" i="7" s="1"/>
  <c r="F1251" i="7"/>
  <c r="F2349" i="7" s="1"/>
  <c r="E1251" i="7"/>
  <c r="E2349" i="7" s="1"/>
  <c r="H1250" i="7"/>
  <c r="H1249" i="7"/>
  <c r="H1248" i="7"/>
  <c r="H1247" i="7"/>
  <c r="H1246" i="7"/>
  <c r="H1245" i="7"/>
  <c r="H1244" i="7"/>
  <c r="H1243" i="7"/>
  <c r="H1242" i="7"/>
  <c r="H1241" i="7"/>
  <c r="H1240" i="7"/>
  <c r="H1239" i="7"/>
  <c r="H1238" i="7"/>
  <c r="H1237" i="7"/>
  <c r="H1236" i="7"/>
  <c r="H1235" i="7"/>
  <c r="H1234" i="7"/>
  <c r="H1233" i="7"/>
  <c r="H1232" i="7"/>
  <c r="H1231" i="7"/>
  <c r="H1229" i="7"/>
  <c r="F1229" i="7"/>
  <c r="C1226" i="7"/>
  <c r="C1225" i="7"/>
  <c r="G1220" i="7"/>
  <c r="G2348" i="7" s="1"/>
  <c r="F1220" i="7"/>
  <c r="F2348" i="7" s="1"/>
  <c r="E1220" i="7"/>
  <c r="E2348" i="7" s="1"/>
  <c r="H1219" i="7"/>
  <c r="H1218" i="7"/>
  <c r="H1216" i="7"/>
  <c r="H1215" i="7"/>
  <c r="H1214" i="7"/>
  <c r="G206" i="19" s="1"/>
  <c r="H1213" i="7"/>
  <c r="H1212" i="7"/>
  <c r="H1211" i="7"/>
  <c r="H1210" i="7"/>
  <c r="H1209" i="7"/>
  <c r="H1208" i="7"/>
  <c r="H1206" i="7"/>
  <c r="H1205" i="7"/>
  <c r="H1204" i="7"/>
  <c r="H1203" i="7"/>
  <c r="H1202" i="7"/>
  <c r="H1201" i="7"/>
  <c r="H1200" i="7"/>
  <c r="H1199" i="7"/>
  <c r="H1198" i="7"/>
  <c r="H1197" i="7"/>
  <c r="H1196" i="7"/>
  <c r="H1195" i="7"/>
  <c r="H1194" i="7"/>
  <c r="H1193" i="7"/>
  <c r="H1192" i="7"/>
  <c r="H1191" i="7"/>
  <c r="H1190" i="7"/>
  <c r="H1189" i="7"/>
  <c r="H1187" i="7"/>
  <c r="F1187" i="7"/>
  <c r="C1184" i="7"/>
  <c r="C1183" i="7"/>
  <c r="G2371" i="7"/>
  <c r="F1179" i="7"/>
  <c r="F2371" i="7" s="1"/>
  <c r="E1179" i="7"/>
  <c r="E2371" i="7" s="1"/>
  <c r="H1178" i="7"/>
  <c r="G557" i="19" s="1"/>
  <c r="H1177" i="7"/>
  <c r="G556" i="19" s="1"/>
  <c r="H1176" i="7"/>
  <c r="G555" i="19" s="1"/>
  <c r="H1175" i="7"/>
  <c r="G554" i="19" s="1"/>
  <c r="H1173" i="7"/>
  <c r="G552" i="19" s="1"/>
  <c r="H1172" i="7"/>
  <c r="G551" i="19" s="1"/>
  <c r="H1171" i="7"/>
  <c r="G550" i="19" s="1"/>
  <c r="H1169" i="7"/>
  <c r="G548" i="19" s="1"/>
  <c r="H1168" i="7"/>
  <c r="G547" i="19" s="1"/>
  <c r="H1167" i="7"/>
  <c r="G546" i="19" s="1"/>
  <c r="H1166" i="7"/>
  <c r="G545" i="19" s="1"/>
  <c r="H1165" i="7"/>
  <c r="G544" i="19" s="1"/>
  <c r="H1164" i="7"/>
  <c r="G543" i="19" s="1"/>
  <c r="H1163" i="7"/>
  <c r="G542" i="19" s="1"/>
  <c r="H1162" i="7"/>
  <c r="G541" i="19" s="1"/>
  <c r="H1160" i="7"/>
  <c r="G539" i="19" s="1"/>
  <c r="H1159" i="7"/>
  <c r="G538" i="19" s="1"/>
  <c r="H1158" i="7"/>
  <c r="G537" i="19" s="1"/>
  <c r="H1154" i="7"/>
  <c r="G533" i="19" s="1"/>
  <c r="H1152" i="7"/>
  <c r="G531" i="19" s="1"/>
  <c r="H1151" i="7"/>
  <c r="G530" i="19" s="1"/>
  <c r="H1150" i="7"/>
  <c r="G529" i="19" s="1"/>
  <c r="H1149" i="7"/>
  <c r="G528" i="19" s="1"/>
  <c r="H1148" i="7"/>
  <c r="G527" i="19" s="1"/>
  <c r="H1147" i="7"/>
  <c r="G526" i="19" s="1"/>
  <c r="H1146" i="7"/>
  <c r="G525" i="19" s="1"/>
  <c r="H1145" i="7"/>
  <c r="G524" i="19" s="1"/>
  <c r="H1144" i="7"/>
  <c r="G523" i="19" s="1"/>
  <c r="H1142" i="7"/>
  <c r="F1142" i="7"/>
  <c r="C1139" i="7"/>
  <c r="C1138" i="7"/>
  <c r="G1133" i="7"/>
  <c r="G2347" i="7" s="1"/>
  <c r="F1133" i="7"/>
  <c r="F2347" i="7" s="1"/>
  <c r="E1133" i="7"/>
  <c r="E2347" i="7" s="1"/>
  <c r="H1132" i="7"/>
  <c r="G511" i="19" s="1"/>
  <c r="H1131" i="7"/>
  <c r="G510" i="19" s="1"/>
  <c r="H1130" i="7"/>
  <c r="G509" i="19" s="1"/>
  <c r="H1129" i="7"/>
  <c r="G508" i="19" s="1"/>
  <c r="H1128" i="7"/>
  <c r="G507" i="19" s="1"/>
  <c r="H1127" i="7"/>
  <c r="G506" i="19" s="1"/>
  <c r="H1126" i="7"/>
  <c r="G505" i="19" s="1"/>
  <c r="H1125" i="7"/>
  <c r="G504" i="19" s="1"/>
  <c r="H1124" i="7"/>
  <c r="G503" i="19" s="1"/>
  <c r="H1123" i="7"/>
  <c r="G502" i="19" s="1"/>
  <c r="H1122" i="7"/>
  <c r="G501" i="19" s="1"/>
  <c r="H1121" i="7"/>
  <c r="G500" i="19" s="1"/>
  <c r="H1120" i="7"/>
  <c r="G499" i="19" s="1"/>
  <c r="H1119" i="7"/>
  <c r="G498" i="19" s="1"/>
  <c r="H1118" i="7"/>
  <c r="G497" i="19" s="1"/>
  <c r="H1117" i="7"/>
  <c r="G496" i="19" s="1"/>
  <c r="H1116" i="7"/>
  <c r="G495" i="19" s="1"/>
  <c r="H1115" i="7"/>
  <c r="G494" i="19" s="1"/>
  <c r="H1114" i="7"/>
  <c r="G493" i="19" s="1"/>
  <c r="H1113" i="7"/>
  <c r="G492" i="19" s="1"/>
  <c r="H1112" i="7"/>
  <c r="G491" i="19" s="1"/>
  <c r="H1111" i="7"/>
  <c r="G490" i="19" s="1"/>
  <c r="H1109" i="7"/>
  <c r="G488" i="19" s="1"/>
  <c r="H1108" i="7"/>
  <c r="G487" i="19" s="1"/>
  <c r="H1107" i="7"/>
  <c r="G486" i="19" s="1"/>
  <c r="H1106" i="7"/>
  <c r="G485" i="19" s="1"/>
  <c r="H1105" i="7"/>
  <c r="G484" i="19" s="1"/>
  <c r="H1103" i="7"/>
  <c r="F1103" i="7"/>
  <c r="C1100" i="7"/>
  <c r="C1099" i="7"/>
  <c r="G1092" i="7"/>
  <c r="E1092" i="7"/>
  <c r="H1091" i="7"/>
  <c r="H1090" i="7"/>
  <c r="H1089" i="7"/>
  <c r="H1088" i="7"/>
  <c r="H1087" i="7"/>
  <c r="H1086" i="7"/>
  <c r="H1085" i="7"/>
  <c r="H1084" i="7"/>
  <c r="H1083" i="7"/>
  <c r="H1082" i="7"/>
  <c r="H1081" i="7"/>
  <c r="H1080" i="7"/>
  <c r="H1079" i="7"/>
  <c r="H1078" i="7"/>
  <c r="H1077" i="7"/>
  <c r="H1076" i="7"/>
  <c r="H1075" i="7"/>
  <c r="H1074" i="7"/>
  <c r="H1073" i="7"/>
  <c r="H1072" i="7"/>
  <c r="H1071" i="7"/>
  <c r="H1070" i="7"/>
  <c r="H1069" i="7"/>
  <c r="H1068" i="7"/>
  <c r="H1066" i="7"/>
  <c r="C1062" i="7"/>
  <c r="G1058" i="7"/>
  <c r="F1058" i="7"/>
  <c r="F2346" i="7" s="1"/>
  <c r="E1058" i="7"/>
  <c r="H1057" i="7"/>
  <c r="H1056" i="7"/>
  <c r="H1055" i="7"/>
  <c r="H1054" i="7"/>
  <c r="H1053" i="7"/>
  <c r="H1052" i="7"/>
  <c r="H1051" i="7"/>
  <c r="G466" i="19" s="1"/>
  <c r="H1050" i="7"/>
  <c r="H1049" i="7"/>
  <c r="H1048" i="7"/>
  <c r="H1047" i="7"/>
  <c r="H1046" i="7"/>
  <c r="H1045" i="7"/>
  <c r="H1044" i="7"/>
  <c r="H1043" i="7"/>
  <c r="H1042" i="7"/>
  <c r="H1041" i="7"/>
  <c r="H1040" i="7"/>
  <c r="H1039" i="7"/>
  <c r="H1038" i="7"/>
  <c r="H1037" i="7"/>
  <c r="H1036" i="7"/>
  <c r="H1035" i="7"/>
  <c r="H1034" i="7"/>
  <c r="H1032" i="7"/>
  <c r="F1032" i="7"/>
  <c r="C1029" i="7"/>
  <c r="C1028" i="7"/>
  <c r="G1023" i="7"/>
  <c r="G2345" i="7" s="1"/>
  <c r="F1023" i="7"/>
  <c r="F2345" i="7" s="1"/>
  <c r="E1023" i="7"/>
  <c r="E2345" i="7" s="1"/>
  <c r="H1022" i="7"/>
  <c r="G437" i="19" s="1"/>
  <c r="H1021" i="7"/>
  <c r="G436" i="19" s="1"/>
  <c r="H1020" i="7"/>
  <c r="G435" i="19" s="1"/>
  <c r="H1019" i="7"/>
  <c r="G433" i="19" s="1"/>
  <c r="H1018" i="7"/>
  <c r="G434" i="19" s="1"/>
  <c r="D1018" i="7"/>
  <c r="H1017" i="7"/>
  <c r="G432" i="19" s="1"/>
  <c r="D1017" i="7"/>
  <c r="H1016" i="7"/>
  <c r="G431" i="19" s="1"/>
  <c r="H1015" i="7"/>
  <c r="G430" i="19" s="1"/>
  <c r="H1014" i="7"/>
  <c r="G429" i="19" s="1"/>
  <c r="H1013" i="7"/>
  <c r="G428" i="19" s="1"/>
  <c r="H1012" i="7"/>
  <c r="G427" i="19" s="1"/>
  <c r="H1011" i="7"/>
  <c r="G426" i="19" s="1"/>
  <c r="H1010" i="7"/>
  <c r="G425" i="19" s="1"/>
  <c r="H1009" i="7"/>
  <c r="G424" i="19" s="1"/>
  <c r="H1008" i="7"/>
  <c r="G423" i="19" s="1"/>
  <c r="H1007" i="7"/>
  <c r="G422" i="19" s="1"/>
  <c r="H1006" i="7"/>
  <c r="H1005" i="7"/>
  <c r="G420" i="19" s="1"/>
  <c r="H1004" i="7"/>
  <c r="G419" i="19" s="1"/>
  <c r="H1003" i="7"/>
  <c r="G418" i="19" s="1"/>
  <c r="H1001" i="7"/>
  <c r="F1001" i="7"/>
  <c r="C998" i="7"/>
  <c r="C997" i="7"/>
  <c r="G992" i="7"/>
  <c r="G2344" i="7" s="1"/>
  <c r="F992" i="7"/>
  <c r="F2344" i="7" s="1"/>
  <c r="E992" i="7"/>
  <c r="E2344" i="7" s="1"/>
  <c r="H991" i="7"/>
  <c r="H990" i="7"/>
  <c r="H989" i="7"/>
  <c r="H988" i="7"/>
  <c r="H987" i="7"/>
  <c r="H986" i="7"/>
  <c r="H985" i="7"/>
  <c r="H984" i="7"/>
  <c r="H983" i="7"/>
  <c r="H982" i="7"/>
  <c r="H981" i="7"/>
  <c r="H980" i="7"/>
  <c r="H979" i="7"/>
  <c r="H978" i="7"/>
  <c r="H977" i="7"/>
  <c r="H976" i="7"/>
  <c r="H975" i="7"/>
  <c r="H974" i="7"/>
  <c r="H973" i="7"/>
  <c r="H971" i="7"/>
  <c r="H970" i="7"/>
  <c r="H969" i="7"/>
  <c r="H968" i="7"/>
  <c r="H967" i="7"/>
  <c r="H966" i="7"/>
  <c r="H965" i="7"/>
  <c r="H964" i="7"/>
  <c r="H963" i="7"/>
  <c r="H962" i="7"/>
  <c r="H960" i="7"/>
  <c r="F960" i="7"/>
  <c r="C957" i="7"/>
  <c r="C956" i="7"/>
  <c r="F951" i="7"/>
  <c r="F2343" i="7" s="1"/>
  <c r="E951" i="7"/>
  <c r="E2343" i="7" s="1"/>
  <c r="H950" i="7"/>
  <c r="H949" i="7"/>
  <c r="H948" i="7"/>
  <c r="H947" i="7"/>
  <c r="H946" i="7"/>
  <c r="H945" i="7"/>
  <c r="H944" i="7"/>
  <c r="H943" i="7"/>
  <c r="H942" i="7"/>
  <c r="H941" i="7"/>
  <c r="H940" i="7"/>
  <c r="H939" i="7"/>
  <c r="H938" i="7"/>
  <c r="H937" i="7"/>
  <c r="H936" i="7"/>
  <c r="H935" i="7"/>
  <c r="H934" i="7"/>
  <c r="H933" i="7"/>
  <c r="H932" i="7"/>
  <c r="H931" i="7"/>
  <c r="H930" i="7"/>
  <c r="Q929" i="7"/>
  <c r="Q932" i="7" s="1"/>
  <c r="H928" i="7"/>
  <c r="H927" i="7"/>
  <c r="H925" i="7"/>
  <c r="F925" i="7"/>
  <c r="C922" i="7"/>
  <c r="C921" i="7"/>
  <c r="F916" i="7"/>
  <c r="E916" i="7"/>
  <c r="H915" i="7"/>
  <c r="H914" i="7"/>
  <c r="G215" i="19" s="1"/>
  <c r="H913" i="7"/>
  <c r="H912" i="7"/>
  <c r="H911" i="7"/>
  <c r="H910" i="7"/>
  <c r="H909" i="7"/>
  <c r="H908" i="7"/>
  <c r="H907" i="7"/>
  <c r="H906" i="7"/>
  <c r="H905" i="7"/>
  <c r="H904" i="7"/>
  <c r="H903" i="7"/>
  <c r="H902" i="7"/>
  <c r="H901" i="7"/>
  <c r="H900" i="7"/>
  <c r="H899" i="7"/>
  <c r="H898" i="7"/>
  <c r="H897" i="7"/>
  <c r="H896" i="7"/>
  <c r="H895" i="7"/>
  <c r="H894" i="7"/>
  <c r="H893" i="7"/>
  <c r="F172" i="19"/>
  <c r="F218" i="19" s="1"/>
  <c r="H891" i="7"/>
  <c r="H890" i="7"/>
  <c r="H888" i="7"/>
  <c r="F888" i="7"/>
  <c r="F879" i="7"/>
  <c r="F2341" i="7" s="1"/>
  <c r="E879" i="7"/>
  <c r="E2341" i="7" s="1"/>
  <c r="H878" i="7"/>
  <c r="H877" i="7"/>
  <c r="H876" i="7"/>
  <c r="H875" i="7"/>
  <c r="H874" i="7"/>
  <c r="H873" i="7"/>
  <c r="H872" i="7"/>
  <c r="H871" i="7"/>
  <c r="H870" i="7"/>
  <c r="H869" i="7"/>
  <c r="H868" i="7"/>
  <c r="H867" i="7"/>
  <c r="H866" i="7"/>
  <c r="H865" i="7"/>
  <c r="H864" i="7"/>
  <c r="H863" i="7"/>
  <c r="H862" i="7"/>
  <c r="H861" i="7"/>
  <c r="H860" i="7"/>
  <c r="H858" i="7"/>
  <c r="H857" i="7"/>
  <c r="H855" i="7"/>
  <c r="F855" i="7"/>
  <c r="C852" i="7"/>
  <c r="C851" i="7"/>
  <c r="G2340" i="7"/>
  <c r="F846" i="7"/>
  <c r="F2340" i="7" s="1"/>
  <c r="E846" i="7"/>
  <c r="H845" i="7"/>
  <c r="G405" i="19" s="1"/>
  <c r="H844" i="7"/>
  <c r="G404" i="19" s="1"/>
  <c r="H843" i="7"/>
  <c r="G403" i="19" s="1"/>
  <c r="H842" i="7"/>
  <c r="G402" i="19" s="1"/>
  <c r="H841" i="7"/>
  <c r="G401" i="19" s="1"/>
  <c r="H840" i="7"/>
  <c r="G400" i="19" s="1"/>
  <c r="H839" i="7"/>
  <c r="G399" i="19" s="1"/>
  <c r="H838" i="7"/>
  <c r="G398" i="19" s="1"/>
  <c r="H837" i="7"/>
  <c r="G397" i="19" s="1"/>
  <c r="H836" i="7"/>
  <c r="G396" i="19" s="1"/>
  <c r="H835" i="7"/>
  <c r="G395" i="19" s="1"/>
  <c r="H834" i="7"/>
  <c r="G394" i="19" s="1"/>
  <c r="H833" i="7"/>
  <c r="G393" i="19" s="1"/>
  <c r="H832" i="7"/>
  <c r="G392" i="19" s="1"/>
  <c r="H831" i="7"/>
  <c r="G391" i="19" s="1"/>
  <c r="H830" i="7"/>
  <c r="G390" i="19" s="1"/>
  <c r="H829" i="7"/>
  <c r="G389" i="19" s="1"/>
  <c r="H828" i="7"/>
  <c r="G388" i="19" s="1"/>
  <c r="H827" i="7"/>
  <c r="G387" i="19" s="1"/>
  <c r="H826" i="7"/>
  <c r="G386" i="19" s="1"/>
  <c r="H825" i="7"/>
  <c r="G385" i="19" s="1"/>
  <c r="H824" i="7"/>
  <c r="G384" i="19" s="1"/>
  <c r="H823" i="7"/>
  <c r="G383" i="19" s="1"/>
  <c r="H821" i="7"/>
  <c r="F821" i="7"/>
  <c r="C818" i="7"/>
  <c r="C817" i="7"/>
  <c r="F812" i="7"/>
  <c r="F2339" i="7" s="1"/>
  <c r="E812" i="7"/>
  <c r="E2339" i="7" s="1"/>
  <c r="H811" i="7"/>
  <c r="G371" i="19" s="1"/>
  <c r="H810" i="7"/>
  <c r="G370" i="19" s="1"/>
  <c r="H809" i="7"/>
  <c r="G369" i="19" s="1"/>
  <c r="H808" i="7"/>
  <c r="G368" i="19" s="1"/>
  <c r="H806" i="7"/>
  <c r="G366" i="19" s="1"/>
  <c r="H805" i="7"/>
  <c r="G365" i="19" s="1"/>
  <c r="H804" i="7"/>
  <c r="G364" i="19" s="1"/>
  <c r="H803" i="7"/>
  <c r="G363" i="19" s="1"/>
  <c r="H802" i="7"/>
  <c r="G362" i="19" s="1"/>
  <c r="H801" i="7"/>
  <c r="G361" i="19" s="1"/>
  <c r="H800" i="7"/>
  <c r="G360" i="19" s="1"/>
  <c r="H799" i="7"/>
  <c r="G359" i="19" s="1"/>
  <c r="H798" i="7"/>
  <c r="G358" i="19" s="1"/>
  <c r="H797" i="7"/>
  <c r="G357" i="19" s="1"/>
  <c r="H796" i="7"/>
  <c r="G356" i="19" s="1"/>
  <c r="H795" i="7"/>
  <c r="G355" i="19" s="1"/>
  <c r="H794" i="7"/>
  <c r="G354" i="19" s="1"/>
  <c r="H793" i="7"/>
  <c r="G353" i="19" s="1"/>
  <c r="H792" i="7"/>
  <c r="G352" i="19" s="1"/>
  <c r="H791" i="7"/>
  <c r="G351" i="19" s="1"/>
  <c r="H790" i="7"/>
  <c r="G350" i="19" s="1"/>
  <c r="H789" i="7"/>
  <c r="G349" i="19" s="1"/>
  <c r="H788" i="7"/>
  <c r="G348" i="19" s="1"/>
  <c r="H787" i="7"/>
  <c r="G347" i="19" s="1"/>
  <c r="H786" i="7"/>
  <c r="G346" i="19" s="1"/>
  <c r="H785" i="7"/>
  <c r="G345" i="19" s="1"/>
  <c r="H784" i="7"/>
  <c r="G344" i="19" s="1"/>
  <c r="H782" i="7"/>
  <c r="F782" i="7"/>
  <c r="C779" i="7"/>
  <c r="C778" i="7"/>
  <c r="G2338" i="7"/>
  <c r="F772" i="7"/>
  <c r="F2338" i="7" s="1"/>
  <c r="E772" i="7"/>
  <c r="E2338" i="7" s="1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I758" i="7" s="1"/>
  <c r="H757" i="7"/>
  <c r="I757" i="7" s="1"/>
  <c r="H310" i="19" s="1"/>
  <c r="H756" i="7"/>
  <c r="H755" i="7"/>
  <c r="H754" i="7"/>
  <c r="H753" i="7"/>
  <c r="H752" i="7"/>
  <c r="H751" i="7"/>
  <c r="H750" i="7"/>
  <c r="I750" i="7" s="1"/>
  <c r="H749" i="7"/>
  <c r="I749" i="7" s="1"/>
  <c r="H748" i="7"/>
  <c r="I748" i="7" s="1"/>
  <c r="H747" i="7"/>
  <c r="I747" i="7" s="1"/>
  <c r="H746" i="7"/>
  <c r="H745" i="7"/>
  <c r="H744" i="7"/>
  <c r="I744" i="7" s="1"/>
  <c r="H297" i="19" s="1"/>
  <c r="H743" i="7"/>
  <c r="H742" i="7"/>
  <c r="H741" i="7"/>
  <c r="I741" i="7" s="1"/>
  <c r="H740" i="7"/>
  <c r="H739" i="7"/>
  <c r="I739" i="7" s="1"/>
  <c r="H738" i="7"/>
  <c r="I738" i="7" s="1"/>
  <c r="H737" i="7"/>
  <c r="H736" i="7"/>
  <c r="I736" i="7" s="1"/>
  <c r="H735" i="7"/>
  <c r="I735" i="7" s="1"/>
  <c r="H734" i="7"/>
  <c r="H733" i="7"/>
  <c r="I733" i="7" s="1"/>
  <c r="H732" i="7"/>
  <c r="H731" i="7"/>
  <c r="I731" i="7" s="1"/>
  <c r="H729" i="7"/>
  <c r="F729" i="7"/>
  <c r="C726" i="7"/>
  <c r="C725" i="7"/>
  <c r="F720" i="7"/>
  <c r="F2370" i="7" s="1"/>
  <c r="E720" i="7"/>
  <c r="E2370" i="7" s="1"/>
  <c r="H719" i="7"/>
  <c r="H718" i="7"/>
  <c r="H717" i="7"/>
  <c r="H716" i="7"/>
  <c r="H715" i="7"/>
  <c r="H714" i="7"/>
  <c r="H713" i="7"/>
  <c r="H712" i="7"/>
  <c r="H711" i="7"/>
  <c r="H710" i="7"/>
  <c r="H709" i="7"/>
  <c r="H708" i="7"/>
  <c r="H707" i="7"/>
  <c r="H706" i="7"/>
  <c r="H705" i="7"/>
  <c r="H704" i="7"/>
  <c r="H703" i="7"/>
  <c r="H702" i="7"/>
  <c r="H701" i="7"/>
  <c r="H700" i="7"/>
  <c r="H699" i="7"/>
  <c r="H698" i="7"/>
  <c r="H697" i="7"/>
  <c r="H696" i="7"/>
  <c r="H695" i="7"/>
  <c r="H694" i="7"/>
  <c r="H693" i="7"/>
  <c r="H692" i="7"/>
  <c r="H691" i="7"/>
  <c r="H690" i="7"/>
  <c r="H689" i="7"/>
  <c r="H688" i="7"/>
  <c r="H687" i="7"/>
  <c r="H686" i="7"/>
  <c r="H685" i="7"/>
  <c r="H684" i="7"/>
  <c r="H683" i="7"/>
  <c r="H681" i="7"/>
  <c r="H682" i="7"/>
  <c r="H680" i="7"/>
  <c r="H678" i="7"/>
  <c r="F678" i="7"/>
  <c r="C675" i="7"/>
  <c r="C674" i="7"/>
  <c r="F670" i="7"/>
  <c r="F2380" i="7" s="1"/>
  <c r="E670" i="7"/>
  <c r="E2380" i="7" s="1"/>
  <c r="H669" i="7"/>
  <c r="G331" i="19" s="1"/>
  <c r="H668" i="7"/>
  <c r="H667" i="7"/>
  <c r="H665" i="7"/>
  <c r="H664" i="7"/>
  <c r="H663" i="7"/>
  <c r="H662" i="7"/>
  <c r="H661" i="7"/>
  <c r="H660" i="7"/>
  <c r="H659" i="7"/>
  <c r="H658" i="7"/>
  <c r="H657" i="7"/>
  <c r="H656" i="7"/>
  <c r="H655" i="7"/>
  <c r="H654" i="7"/>
  <c r="H653" i="7"/>
  <c r="H652" i="7"/>
  <c r="H651" i="7"/>
  <c r="H648" i="7"/>
  <c r="H647" i="7"/>
  <c r="H646" i="7"/>
  <c r="H645" i="7"/>
  <c r="H644" i="7"/>
  <c r="H643" i="7"/>
  <c r="H642" i="7"/>
  <c r="H641" i="7"/>
  <c r="H640" i="7"/>
  <c r="F630" i="7"/>
  <c r="F2379" i="7" s="1"/>
  <c r="E630" i="7"/>
  <c r="H628" i="7"/>
  <c r="H627" i="7"/>
  <c r="H625" i="7"/>
  <c r="H624" i="7"/>
  <c r="H623" i="7"/>
  <c r="H622" i="7"/>
  <c r="H621" i="7"/>
  <c r="H620" i="7"/>
  <c r="H619" i="7"/>
  <c r="H618" i="7"/>
  <c r="H617" i="7"/>
  <c r="H616" i="7"/>
  <c r="H615" i="7"/>
  <c r="H614" i="7"/>
  <c r="H613" i="7"/>
  <c r="H612" i="7"/>
  <c r="H611" i="7"/>
  <c r="H610" i="7"/>
  <c r="H609" i="7"/>
  <c r="H608" i="7"/>
  <c r="H607" i="7"/>
  <c r="H606" i="7"/>
  <c r="H605" i="7"/>
  <c r="H604" i="7"/>
  <c r="H603" i="7"/>
  <c r="H602" i="7"/>
  <c r="H601" i="7"/>
  <c r="F592" i="7"/>
  <c r="F2378" i="7" s="1"/>
  <c r="E592" i="7"/>
  <c r="E2378" i="7" s="1"/>
  <c r="H591" i="7"/>
  <c r="H590" i="7"/>
  <c r="H588" i="7"/>
  <c r="H587" i="7"/>
  <c r="H586" i="7"/>
  <c r="H585" i="7"/>
  <c r="H584" i="7"/>
  <c r="H583" i="7"/>
  <c r="H582" i="7"/>
  <c r="H581" i="7"/>
  <c r="H580" i="7"/>
  <c r="H579" i="7"/>
  <c r="H578" i="7"/>
  <c r="H577" i="7"/>
  <c r="H576" i="7"/>
  <c r="H575" i="7"/>
  <c r="H574" i="7"/>
  <c r="H573" i="7"/>
  <c r="H572" i="7"/>
  <c r="H571" i="7"/>
  <c r="H570" i="7"/>
  <c r="H569" i="7"/>
  <c r="H568" i="7"/>
  <c r="H567" i="7"/>
  <c r="H566" i="7"/>
  <c r="H565" i="7"/>
  <c r="H564" i="7"/>
  <c r="F555" i="7"/>
  <c r="F2377" i="7" s="1"/>
  <c r="E555" i="7"/>
  <c r="E2377" i="7" s="1"/>
  <c r="H554" i="7"/>
  <c r="H553" i="7"/>
  <c r="H551" i="7"/>
  <c r="H550" i="7"/>
  <c r="H547" i="7"/>
  <c r="H546" i="7"/>
  <c r="H544" i="7"/>
  <c r="H543" i="7"/>
  <c r="H542" i="7"/>
  <c r="H541" i="7"/>
  <c r="H540" i="7"/>
  <c r="H539" i="7"/>
  <c r="H538" i="7"/>
  <c r="H537" i="7"/>
  <c r="H536" i="7"/>
  <c r="H531" i="7"/>
  <c r="H530" i="7"/>
  <c r="H529" i="7"/>
  <c r="H528" i="7"/>
  <c r="H526" i="7"/>
  <c r="F512" i="7"/>
  <c r="F2376" i="7" s="1"/>
  <c r="E512" i="7"/>
  <c r="E2376" i="7" s="1"/>
  <c r="H511" i="7"/>
  <c r="H510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2" i="7"/>
  <c r="H491" i="7"/>
  <c r="H490" i="7"/>
  <c r="H489" i="7"/>
  <c r="H488" i="7"/>
  <c r="H487" i="7"/>
  <c r="H486" i="7"/>
  <c r="H485" i="7"/>
  <c r="H484" i="7"/>
  <c r="H483" i="7"/>
  <c r="H482" i="7"/>
  <c r="F473" i="7"/>
  <c r="F2375" i="7" s="1"/>
  <c r="E473" i="7"/>
  <c r="E2375" i="7" s="1"/>
  <c r="H472" i="7"/>
  <c r="H471" i="7"/>
  <c r="H469" i="7"/>
  <c r="H468" i="7"/>
  <c r="H467" i="7"/>
  <c r="H466" i="7"/>
  <c r="H465" i="7"/>
  <c r="H464" i="7"/>
  <c r="H463" i="7"/>
  <c r="H462" i="7"/>
  <c r="H461" i="7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F435" i="7"/>
  <c r="F2374" i="7" s="1"/>
  <c r="E435" i="7"/>
  <c r="E2374" i="7" s="1"/>
  <c r="H434" i="7"/>
  <c r="H433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F398" i="7"/>
  <c r="F2373" i="7" s="1"/>
  <c r="E398" i="7"/>
  <c r="E2373" i="7" s="1"/>
  <c r="H397" i="7"/>
  <c r="H396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G2337" i="7"/>
  <c r="F361" i="7"/>
  <c r="F2337" i="7" s="1"/>
  <c r="E361" i="7"/>
  <c r="E2337" i="7" s="1"/>
  <c r="H360" i="7"/>
  <c r="H359" i="7"/>
  <c r="D358" i="7"/>
  <c r="H357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39" i="7"/>
  <c r="H338" i="7"/>
  <c r="H337" i="7"/>
  <c r="H336" i="7"/>
  <c r="H335" i="7"/>
  <c r="H334" i="7"/>
  <c r="H333" i="7"/>
  <c r="H332" i="7"/>
  <c r="H331" i="7"/>
  <c r="H330" i="7"/>
  <c r="H329" i="7"/>
  <c r="H327" i="7"/>
  <c r="F327" i="7"/>
  <c r="F368" i="7" s="1"/>
  <c r="F405" i="7" s="1"/>
  <c r="F443" i="7" s="1"/>
  <c r="F480" i="7" s="1"/>
  <c r="F519" i="7" s="1"/>
  <c r="F562" i="7" s="1"/>
  <c r="F599" i="7" s="1"/>
  <c r="F637" i="7" s="1"/>
  <c r="C324" i="7"/>
  <c r="C323" i="7"/>
  <c r="F317" i="7"/>
  <c r="F2357" i="7" s="1"/>
  <c r="E317" i="7"/>
  <c r="E2357" i="7" s="1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G127" i="19" s="1"/>
  <c r="H293" i="7"/>
  <c r="H292" i="7"/>
  <c r="H291" i="7"/>
  <c r="H290" i="7"/>
  <c r="H289" i="7"/>
  <c r="H288" i="7"/>
  <c r="C283" i="7"/>
  <c r="C282" i="7"/>
  <c r="F260" i="7"/>
  <c r="E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C225" i="7"/>
  <c r="C224" i="7"/>
  <c r="F220" i="7"/>
  <c r="E220" i="7"/>
  <c r="H219" i="7"/>
  <c r="H218" i="7"/>
  <c r="H217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C190" i="7"/>
  <c r="C189" i="7"/>
  <c r="F184" i="7"/>
  <c r="E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G74" i="19" s="1"/>
  <c r="H159" i="7"/>
  <c r="H158" i="7"/>
  <c r="H157" i="7"/>
  <c r="H156" i="7"/>
  <c r="H155" i="7"/>
  <c r="H154" i="7"/>
  <c r="H153" i="7"/>
  <c r="H152" i="7"/>
  <c r="C147" i="7"/>
  <c r="C146" i="7"/>
  <c r="E141" i="7"/>
  <c r="H140" i="7"/>
  <c r="H138" i="7"/>
  <c r="H137" i="7"/>
  <c r="H135" i="7"/>
  <c r="H134" i="7"/>
  <c r="G101" i="19" s="1"/>
  <c r="H132" i="7"/>
  <c r="H131" i="7"/>
  <c r="H130" i="7"/>
  <c r="H129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C110" i="7"/>
  <c r="C109" i="7"/>
  <c r="F104" i="7"/>
  <c r="E104" i="7"/>
  <c r="H103" i="7"/>
  <c r="G108" i="19" s="1"/>
  <c r="H102" i="7"/>
  <c r="H101" i="7"/>
  <c r="H100" i="7"/>
  <c r="H99" i="7"/>
  <c r="G104" i="19" s="1"/>
  <c r="H98" i="7"/>
  <c r="H97" i="7"/>
  <c r="H96" i="7"/>
  <c r="H95" i="7"/>
  <c r="H94" i="7"/>
  <c r="H93" i="7"/>
  <c r="H92" i="7"/>
  <c r="H91" i="7"/>
  <c r="G92" i="19" s="1"/>
  <c r="H90" i="7"/>
  <c r="H89" i="7"/>
  <c r="G90" i="19" s="1"/>
  <c r="H88" i="7"/>
  <c r="H87" i="7"/>
  <c r="G88" i="19" s="1"/>
  <c r="H86" i="7"/>
  <c r="H85" i="7"/>
  <c r="H84" i="7"/>
  <c r="H83" i="7"/>
  <c r="H82" i="7"/>
  <c r="H81" i="7"/>
  <c r="H80" i="7"/>
  <c r="H79" i="7"/>
  <c r="H78" i="7"/>
  <c r="H77" i="7"/>
  <c r="H76" i="7"/>
  <c r="H75" i="7"/>
  <c r="G76" i="19" s="1"/>
  <c r="H74" i="7"/>
  <c r="H73" i="7"/>
  <c r="H72" i="7"/>
  <c r="H71" i="7"/>
  <c r="G70" i="19" s="1"/>
  <c r="H70" i="7"/>
  <c r="H69" i="7"/>
  <c r="G68" i="19" s="1"/>
  <c r="H68" i="7"/>
  <c r="G67" i="19" s="1"/>
  <c r="H67" i="7"/>
  <c r="H66" i="7"/>
  <c r="H65" i="7"/>
  <c r="H64" i="7"/>
  <c r="H63" i="7"/>
  <c r="F61" i="7"/>
  <c r="C58" i="7"/>
  <c r="C57" i="7"/>
  <c r="I53" i="7"/>
  <c r="F53" i="7"/>
  <c r="F2335" i="7" s="1"/>
  <c r="E53" i="7"/>
  <c r="E2335" i="7" s="1"/>
  <c r="H52" i="7"/>
  <c r="H51" i="7"/>
  <c r="H50" i="7"/>
  <c r="H49" i="7"/>
  <c r="H48" i="7"/>
  <c r="H47" i="7"/>
  <c r="H46" i="7"/>
  <c r="H268" i="7" s="1"/>
  <c r="H45" i="7"/>
  <c r="N45" i="7" s="1"/>
  <c r="N2281" i="7" s="1"/>
  <c r="H44" i="7"/>
  <c r="H43" i="7"/>
  <c r="H42" i="7"/>
  <c r="H41" i="7"/>
  <c r="H40" i="7"/>
  <c r="H39" i="7"/>
  <c r="H38" i="7"/>
  <c r="H37" i="7"/>
  <c r="H36" i="7"/>
  <c r="H34" i="7"/>
  <c r="H33" i="7"/>
  <c r="H32" i="7"/>
  <c r="H31" i="7"/>
  <c r="H30" i="7"/>
  <c r="H29" i="7"/>
  <c r="N29" i="7" s="1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T181" i="6"/>
  <c r="U177" i="6"/>
  <c r="U181" i="6" s="1"/>
  <c r="R177" i="6"/>
  <c r="R181" i="6" s="1"/>
  <c r="Q177" i="6"/>
  <c r="Q181" i="6" s="1"/>
  <c r="P177" i="6"/>
  <c r="Q2161" i="7" s="1"/>
  <c r="N177" i="6"/>
  <c r="N181" i="6" s="1"/>
  <c r="N186" i="6" s="1"/>
  <c r="M177" i="6"/>
  <c r="M181" i="6" s="1"/>
  <c r="Q2096" i="7" s="1"/>
  <c r="R2096" i="7" s="1"/>
  <c r="L177" i="6"/>
  <c r="N91" i="6"/>
  <c r="M90" i="6"/>
  <c r="M89" i="6" s="1"/>
  <c r="L90" i="6"/>
  <c r="N86" i="6"/>
  <c r="M85" i="6"/>
  <c r="L85" i="6"/>
  <c r="N83" i="6"/>
  <c r="L82" i="6"/>
  <c r="N82" i="6" s="1"/>
  <c r="E82" i="6"/>
  <c r="M81" i="6"/>
  <c r="T79" i="6"/>
  <c r="T78" i="6"/>
  <c r="M77" i="6"/>
  <c r="N76" i="6"/>
  <c r="E76" i="6"/>
  <c r="M75" i="6"/>
  <c r="L75" i="6"/>
  <c r="D781" i="19" s="1"/>
  <c r="L70" i="6"/>
  <c r="N70" i="6" s="1"/>
  <c r="E70" i="6"/>
  <c r="M69" i="6"/>
  <c r="C69" i="6"/>
  <c r="E69" i="6" s="1"/>
  <c r="E67" i="6"/>
  <c r="N66" i="6"/>
  <c r="E66" i="6"/>
  <c r="E65" i="6"/>
  <c r="E64" i="6"/>
  <c r="N61" i="6"/>
  <c r="E61" i="6"/>
  <c r="E59" i="6" s="1"/>
  <c r="N60" i="6"/>
  <c r="E60" i="6"/>
  <c r="M59" i="6"/>
  <c r="C18" i="10" s="1"/>
  <c r="D18" i="10" s="1"/>
  <c r="L59" i="6"/>
  <c r="C59" i="6"/>
  <c r="N57" i="6"/>
  <c r="E57" i="6"/>
  <c r="N56" i="6"/>
  <c r="E56" i="6"/>
  <c r="M55" i="6"/>
  <c r="C17" i="10" s="1"/>
  <c r="D17" i="10" s="1"/>
  <c r="L55" i="6"/>
  <c r="N53" i="6"/>
  <c r="E53" i="6"/>
  <c r="N52" i="6"/>
  <c r="E52" i="6"/>
  <c r="N51" i="6"/>
  <c r="E51" i="6"/>
  <c r="N50" i="6"/>
  <c r="E50" i="6"/>
  <c r="N49" i="6"/>
  <c r="N48" i="6"/>
  <c r="E48" i="6"/>
  <c r="N47" i="6"/>
  <c r="E47" i="6"/>
  <c r="N46" i="6"/>
  <c r="E46" i="6"/>
  <c r="N45" i="6"/>
  <c r="E45" i="6"/>
  <c r="M44" i="6"/>
  <c r="L44" i="6"/>
  <c r="C44" i="6"/>
  <c r="N41" i="6"/>
  <c r="E41" i="6"/>
  <c r="N40" i="6"/>
  <c r="E40" i="6"/>
  <c r="M39" i="6"/>
  <c r="C15" i="10" s="1"/>
  <c r="D15" i="10" s="1"/>
  <c r="L39" i="6"/>
  <c r="C39" i="6"/>
  <c r="E39" i="6" s="1"/>
  <c r="N37" i="6"/>
  <c r="E37" i="6"/>
  <c r="N36" i="6"/>
  <c r="E36" i="6"/>
  <c r="N35" i="6"/>
  <c r="E35" i="6"/>
  <c r="N34" i="6"/>
  <c r="E34" i="6"/>
  <c r="N33" i="6"/>
  <c r="E33" i="6"/>
  <c r="N32" i="6"/>
  <c r="E32" i="6"/>
  <c r="N31" i="6"/>
  <c r="E31" i="6"/>
  <c r="N30" i="6"/>
  <c r="E30" i="6"/>
  <c r="N29" i="6"/>
  <c r="E29" i="6"/>
  <c r="N28" i="6"/>
  <c r="E28" i="6"/>
  <c r="N27" i="6"/>
  <c r="E27" i="6"/>
  <c r="N26" i="6"/>
  <c r="E26" i="6"/>
  <c r="N25" i="6"/>
  <c r="E25" i="6"/>
  <c r="N24" i="6"/>
  <c r="E24" i="6"/>
  <c r="N23" i="6"/>
  <c r="E23" i="6"/>
  <c r="M22" i="6"/>
  <c r="C14" i="10" s="1"/>
  <c r="D14" i="10" s="1"/>
  <c r="L22" i="6"/>
  <c r="C22" i="6"/>
  <c r="E22" i="6" s="1"/>
  <c r="N19" i="6"/>
  <c r="E19" i="6"/>
  <c r="N18" i="6"/>
  <c r="E18" i="6"/>
  <c r="N17" i="6"/>
  <c r="E17" i="6"/>
  <c r="N16" i="6"/>
  <c r="E16" i="6"/>
  <c r="N15" i="6"/>
  <c r="E15" i="6"/>
  <c r="N14" i="6"/>
  <c r="E14" i="6"/>
  <c r="N13" i="6"/>
  <c r="E13" i="6"/>
  <c r="N12" i="6"/>
  <c r="E12" i="6"/>
  <c r="M10" i="6"/>
  <c r="C13" i="10" s="1"/>
  <c r="L10" i="6"/>
  <c r="L9" i="6" s="1"/>
  <c r="C10" i="6"/>
  <c r="E10" i="6" s="1"/>
  <c r="D799" i="19"/>
  <c r="D798" i="19"/>
  <c r="F776" i="19"/>
  <c r="B741" i="19"/>
  <c r="G735" i="19"/>
  <c r="F734" i="19"/>
  <c r="F736" i="19" s="1"/>
  <c r="E734" i="19"/>
  <c r="E767" i="19" s="1"/>
  <c r="D734" i="19"/>
  <c r="D767" i="19" s="1"/>
  <c r="G732" i="19"/>
  <c r="E732" i="19"/>
  <c r="B729" i="19"/>
  <c r="F722" i="19"/>
  <c r="E722" i="19"/>
  <c r="D722" i="19"/>
  <c r="C722" i="19"/>
  <c r="B722" i="19"/>
  <c r="F721" i="19"/>
  <c r="E721" i="19"/>
  <c r="D721" i="19"/>
  <c r="C721" i="19"/>
  <c r="B721" i="19"/>
  <c r="F720" i="19"/>
  <c r="E720" i="19"/>
  <c r="D720" i="19"/>
  <c r="C720" i="19"/>
  <c r="B720" i="19"/>
  <c r="F719" i="19"/>
  <c r="E719" i="19"/>
  <c r="D719" i="19"/>
  <c r="C719" i="19"/>
  <c r="B719" i="19"/>
  <c r="F718" i="19"/>
  <c r="E718" i="19"/>
  <c r="D718" i="19"/>
  <c r="C718" i="19"/>
  <c r="B718" i="19"/>
  <c r="F717" i="19"/>
  <c r="E717" i="19"/>
  <c r="D717" i="19"/>
  <c r="C717" i="19"/>
  <c r="B717" i="19"/>
  <c r="G715" i="19"/>
  <c r="E715" i="19"/>
  <c r="B712" i="19"/>
  <c r="F706" i="19"/>
  <c r="E706" i="19"/>
  <c r="D706" i="19"/>
  <c r="C706" i="19"/>
  <c r="B706" i="19"/>
  <c r="F705" i="19"/>
  <c r="E705" i="19"/>
  <c r="D705" i="19"/>
  <c r="C705" i="19"/>
  <c r="B705" i="19"/>
  <c r="F704" i="19"/>
  <c r="E704" i="19"/>
  <c r="D704" i="19"/>
  <c r="C704" i="19"/>
  <c r="B704" i="19"/>
  <c r="F703" i="19"/>
  <c r="E703" i="19"/>
  <c r="D703" i="19"/>
  <c r="C703" i="19"/>
  <c r="B703" i="19"/>
  <c r="G701" i="19"/>
  <c r="E701" i="19"/>
  <c r="B698" i="19"/>
  <c r="F765" i="19"/>
  <c r="E765" i="19"/>
  <c r="D765" i="19"/>
  <c r="G692" i="19"/>
  <c r="G687" i="19"/>
  <c r="E687" i="19"/>
  <c r="B684" i="19"/>
  <c r="B683" i="19"/>
  <c r="F678" i="19"/>
  <c r="E678" i="19"/>
  <c r="D678" i="19"/>
  <c r="C678" i="19"/>
  <c r="B678" i="19"/>
  <c r="F677" i="19"/>
  <c r="E677" i="19"/>
  <c r="D677" i="19"/>
  <c r="C677" i="19"/>
  <c r="B677" i="19"/>
  <c r="F676" i="19"/>
  <c r="E676" i="19"/>
  <c r="D676" i="19"/>
  <c r="C676" i="19"/>
  <c r="B676" i="19"/>
  <c r="G674" i="19"/>
  <c r="E674" i="19"/>
  <c r="B671" i="19"/>
  <c r="J664" i="19"/>
  <c r="I664" i="19"/>
  <c r="H664" i="19"/>
  <c r="F664" i="19"/>
  <c r="E664" i="19"/>
  <c r="D664" i="19"/>
  <c r="C664" i="19"/>
  <c r="B664" i="19"/>
  <c r="I663" i="19"/>
  <c r="F663" i="19"/>
  <c r="E663" i="19"/>
  <c r="D663" i="19"/>
  <c r="C663" i="19"/>
  <c r="B663" i="19"/>
  <c r="F662" i="19"/>
  <c r="E662" i="19"/>
  <c r="D662" i="19"/>
  <c r="C662" i="19"/>
  <c r="B662" i="19"/>
  <c r="L661" i="19"/>
  <c r="K661" i="19"/>
  <c r="J661" i="19"/>
  <c r="F661" i="19"/>
  <c r="E661" i="19"/>
  <c r="D661" i="19"/>
  <c r="C661" i="19"/>
  <c r="B661" i="19"/>
  <c r="L660" i="19"/>
  <c r="I660" i="19"/>
  <c r="F660" i="19"/>
  <c r="E660" i="19"/>
  <c r="D660" i="19"/>
  <c r="C660" i="19"/>
  <c r="B660" i="19"/>
  <c r="L659" i="19"/>
  <c r="K659" i="19"/>
  <c r="J659" i="19"/>
  <c r="I659" i="19"/>
  <c r="H659" i="19"/>
  <c r="F659" i="19"/>
  <c r="E659" i="19"/>
  <c r="D659" i="19"/>
  <c r="C659" i="19"/>
  <c r="B659" i="19"/>
  <c r="H658" i="19"/>
  <c r="F658" i="19"/>
  <c r="E658" i="19"/>
  <c r="D658" i="19"/>
  <c r="C658" i="19"/>
  <c r="B658" i="19"/>
  <c r="F657" i="19"/>
  <c r="E657" i="19"/>
  <c r="D657" i="19"/>
  <c r="C657" i="19"/>
  <c r="B657" i="19"/>
  <c r="F656" i="19"/>
  <c r="E656" i="19"/>
  <c r="D656" i="19"/>
  <c r="C656" i="19"/>
  <c r="B656" i="19"/>
  <c r="F655" i="19"/>
  <c r="E655" i="19"/>
  <c r="D655" i="19"/>
  <c r="C655" i="19"/>
  <c r="B655" i="19"/>
  <c r="G653" i="19"/>
  <c r="E653" i="19"/>
  <c r="B650" i="19"/>
  <c r="E759" i="19"/>
  <c r="D759" i="19"/>
  <c r="J637" i="19"/>
  <c r="I620" i="19"/>
  <c r="H620" i="19"/>
  <c r="G607" i="19"/>
  <c r="E607" i="19"/>
  <c r="B604" i="19"/>
  <c r="E598" i="19"/>
  <c r="E758" i="19" s="1"/>
  <c r="D598" i="19"/>
  <c r="D758" i="19" s="1"/>
  <c r="G597" i="19"/>
  <c r="G596" i="19"/>
  <c r="G595" i="19"/>
  <c r="G594" i="19"/>
  <c r="G593" i="19"/>
  <c r="G592" i="19"/>
  <c r="G591" i="19"/>
  <c r="I590" i="19"/>
  <c r="H590" i="19"/>
  <c r="G590" i="19"/>
  <c r="G589" i="19"/>
  <c r="G588" i="19"/>
  <c r="G587" i="19"/>
  <c r="G586" i="19"/>
  <c r="G585" i="19"/>
  <c r="G584" i="19"/>
  <c r="G583" i="19"/>
  <c r="G582" i="19"/>
  <c r="J581" i="19"/>
  <c r="G581" i="19"/>
  <c r="G580" i="19"/>
  <c r="G579" i="19"/>
  <c r="G578" i="19"/>
  <c r="G577" i="19"/>
  <c r="G576" i="19"/>
  <c r="G575" i="19"/>
  <c r="G574" i="19"/>
  <c r="G573" i="19"/>
  <c r="G572" i="19"/>
  <c r="G571" i="19"/>
  <c r="J570" i="19"/>
  <c r="I570" i="19"/>
  <c r="G569" i="19"/>
  <c r="G566" i="19"/>
  <c r="E566" i="19"/>
  <c r="B563" i="19"/>
  <c r="E556" i="19"/>
  <c r="E558" i="19" s="1"/>
  <c r="E764" i="19" s="1"/>
  <c r="D556" i="19"/>
  <c r="D523" i="19"/>
  <c r="G521" i="19"/>
  <c r="E521" i="19"/>
  <c r="B518" i="19"/>
  <c r="G482" i="19"/>
  <c r="E482" i="19"/>
  <c r="B479" i="19"/>
  <c r="E472" i="19"/>
  <c r="D472" i="19"/>
  <c r="L470" i="19"/>
  <c r="K470" i="19"/>
  <c r="J470" i="19"/>
  <c r="I470" i="19"/>
  <c r="H470" i="19"/>
  <c r="E470" i="19"/>
  <c r="D470" i="19"/>
  <c r="E469" i="19"/>
  <c r="D469" i="19"/>
  <c r="E468" i="19"/>
  <c r="D468" i="19"/>
  <c r="E466" i="19"/>
  <c r="D466" i="19"/>
  <c r="E465" i="19"/>
  <c r="D465" i="19"/>
  <c r="D463" i="19"/>
  <c r="E462" i="19"/>
  <c r="D462" i="19"/>
  <c r="E460" i="19"/>
  <c r="D460" i="19"/>
  <c r="E459" i="19"/>
  <c r="D459" i="19"/>
  <c r="D458" i="19"/>
  <c r="E457" i="19"/>
  <c r="D457" i="19"/>
  <c r="E456" i="19"/>
  <c r="D456" i="19"/>
  <c r="L455" i="19"/>
  <c r="K455" i="19"/>
  <c r="J455" i="19"/>
  <c r="I455" i="19"/>
  <c r="H455" i="19"/>
  <c r="E455" i="19"/>
  <c r="D455" i="19"/>
  <c r="E454" i="19"/>
  <c r="D454" i="19"/>
  <c r="E453" i="19"/>
  <c r="D453" i="19"/>
  <c r="E452" i="19"/>
  <c r="D452" i="19"/>
  <c r="E451" i="19"/>
  <c r="D451" i="19"/>
  <c r="E450" i="19"/>
  <c r="D450" i="19"/>
  <c r="E449" i="19"/>
  <c r="D449" i="19"/>
  <c r="G447" i="19"/>
  <c r="E447" i="19"/>
  <c r="B444" i="19"/>
  <c r="E437" i="19"/>
  <c r="D437" i="19"/>
  <c r="E436" i="19"/>
  <c r="D436" i="19"/>
  <c r="E435" i="19"/>
  <c r="D435" i="19"/>
  <c r="E433" i="19"/>
  <c r="D433" i="19"/>
  <c r="E431" i="19"/>
  <c r="D431" i="19"/>
  <c r="E430" i="19"/>
  <c r="D430" i="19"/>
  <c r="E429" i="19"/>
  <c r="D429" i="19"/>
  <c r="D428" i="19"/>
  <c r="D427" i="19"/>
  <c r="D426" i="19"/>
  <c r="E425" i="19"/>
  <c r="D425" i="19"/>
  <c r="E424" i="19"/>
  <c r="D424" i="19"/>
  <c r="D423" i="19"/>
  <c r="E422" i="19"/>
  <c r="D422" i="19"/>
  <c r="E421" i="19"/>
  <c r="D421" i="19"/>
  <c r="E420" i="19"/>
  <c r="D420" i="19"/>
  <c r="E419" i="19"/>
  <c r="D419" i="19"/>
  <c r="E418" i="19"/>
  <c r="D418" i="19"/>
  <c r="G416" i="19"/>
  <c r="E416" i="19"/>
  <c r="B413" i="19"/>
  <c r="E403" i="19"/>
  <c r="D403" i="19"/>
  <c r="E402" i="19"/>
  <c r="D402" i="19"/>
  <c r="E400" i="19"/>
  <c r="D400" i="19"/>
  <c r="E399" i="19"/>
  <c r="D399" i="19"/>
  <c r="E398" i="19"/>
  <c r="D398" i="19"/>
  <c r="E397" i="19"/>
  <c r="D397" i="19"/>
  <c r="E396" i="19"/>
  <c r="D396" i="19"/>
  <c r="E395" i="19"/>
  <c r="D395" i="19"/>
  <c r="E394" i="19"/>
  <c r="D394" i="19"/>
  <c r="E393" i="19"/>
  <c r="D393" i="19"/>
  <c r="E392" i="19"/>
  <c r="D392" i="19"/>
  <c r="E391" i="19"/>
  <c r="D391" i="19"/>
  <c r="E390" i="19"/>
  <c r="D390" i="19"/>
  <c r="E389" i="19"/>
  <c r="D389" i="19"/>
  <c r="E388" i="19"/>
  <c r="D388" i="19"/>
  <c r="E387" i="19"/>
  <c r="D387" i="19"/>
  <c r="E386" i="19"/>
  <c r="D386" i="19"/>
  <c r="E385" i="19"/>
  <c r="D385" i="19"/>
  <c r="E384" i="19"/>
  <c r="D384" i="19"/>
  <c r="L383" i="19"/>
  <c r="K383" i="19"/>
  <c r="J383" i="19"/>
  <c r="I383" i="19"/>
  <c r="H383" i="19"/>
  <c r="E383" i="19"/>
  <c r="D383" i="19"/>
  <c r="G381" i="19"/>
  <c r="E381" i="19"/>
  <c r="B378" i="19"/>
  <c r="J350" i="19"/>
  <c r="G342" i="19"/>
  <c r="E342" i="19"/>
  <c r="B339" i="19"/>
  <c r="L331" i="19"/>
  <c r="K331" i="19"/>
  <c r="J331" i="19"/>
  <c r="I331" i="19"/>
  <c r="H331" i="19"/>
  <c r="C329" i="19"/>
  <c r="B329" i="19"/>
  <c r="C328" i="19"/>
  <c r="B328" i="19"/>
  <c r="L327" i="19"/>
  <c r="K327" i="19"/>
  <c r="J327" i="19"/>
  <c r="I327" i="19"/>
  <c r="H327" i="19"/>
  <c r="C327" i="19"/>
  <c r="B327" i="19"/>
  <c r="C326" i="19"/>
  <c r="B326" i="19"/>
  <c r="C325" i="19"/>
  <c r="B325" i="19"/>
  <c r="L324" i="19"/>
  <c r="K324" i="19"/>
  <c r="J324" i="19"/>
  <c r="I324" i="19"/>
  <c r="H324" i="19"/>
  <c r="C322" i="19"/>
  <c r="B322" i="19"/>
  <c r="L320" i="19"/>
  <c r="K320" i="19"/>
  <c r="J320" i="19"/>
  <c r="I320" i="19"/>
  <c r="H320" i="19"/>
  <c r="C319" i="19"/>
  <c r="B319" i="19"/>
  <c r="C318" i="19"/>
  <c r="B318" i="19"/>
  <c r="C316" i="19"/>
  <c r="B316" i="19"/>
  <c r="C315" i="19"/>
  <c r="B315" i="19"/>
  <c r="C314" i="19"/>
  <c r="B314" i="19"/>
  <c r="C313" i="19"/>
  <c r="B313" i="19"/>
  <c r="C312" i="19"/>
  <c r="B312" i="19"/>
  <c r="C311" i="19"/>
  <c r="B311" i="19"/>
  <c r="L310" i="19"/>
  <c r="K310" i="19"/>
  <c r="J310" i="19"/>
  <c r="I310" i="19"/>
  <c r="C310" i="19"/>
  <c r="B310" i="19"/>
  <c r="E333" i="19"/>
  <c r="C309" i="19"/>
  <c r="B309" i="19"/>
  <c r="C308" i="19"/>
  <c r="B308" i="19"/>
  <c r="L307" i="19"/>
  <c r="K307" i="19"/>
  <c r="J307" i="19"/>
  <c r="I307" i="19"/>
  <c r="H307" i="19"/>
  <c r="C307" i="19"/>
  <c r="B307" i="19"/>
  <c r="C306" i="19"/>
  <c r="B306" i="19"/>
  <c r="C305" i="19"/>
  <c r="B305" i="19"/>
  <c r="C304" i="19"/>
  <c r="B304" i="19"/>
  <c r="C303" i="19"/>
  <c r="B303" i="19"/>
  <c r="C301" i="19"/>
  <c r="B301" i="19"/>
  <c r="C300" i="19"/>
  <c r="B300" i="19"/>
  <c r="C299" i="19"/>
  <c r="B299" i="19"/>
  <c r="C298" i="19"/>
  <c r="B298" i="19"/>
  <c r="L297" i="19"/>
  <c r="K297" i="19"/>
  <c r="J297" i="19"/>
  <c r="I297" i="19"/>
  <c r="C297" i="19"/>
  <c r="B297" i="19"/>
  <c r="L296" i="19"/>
  <c r="K296" i="19"/>
  <c r="J296" i="19"/>
  <c r="I296" i="19"/>
  <c r="H296" i="19"/>
  <c r="C296" i="19"/>
  <c r="B296" i="19"/>
  <c r="C294" i="19"/>
  <c r="B294" i="19"/>
  <c r="C293" i="19"/>
  <c r="B293" i="19"/>
  <c r="C291" i="19"/>
  <c r="B291" i="19"/>
  <c r="L290" i="19"/>
  <c r="K290" i="19"/>
  <c r="J290" i="19"/>
  <c r="I290" i="19"/>
  <c r="H290" i="19"/>
  <c r="C290" i="19"/>
  <c r="B290" i="19"/>
  <c r="C288" i="19"/>
  <c r="B288" i="19"/>
  <c r="C287" i="19"/>
  <c r="B287" i="19"/>
  <c r="C286" i="19"/>
  <c r="B286" i="19"/>
  <c r="C285" i="19"/>
  <c r="B285" i="19"/>
  <c r="C284" i="19"/>
  <c r="B284" i="19"/>
  <c r="C283" i="19"/>
  <c r="B283" i="19"/>
  <c r="G281" i="19"/>
  <c r="E281" i="19"/>
  <c r="B278" i="19"/>
  <c r="C270" i="19"/>
  <c r="B270" i="19"/>
  <c r="C269" i="19"/>
  <c r="B269" i="19"/>
  <c r="C268" i="19"/>
  <c r="B268" i="19"/>
  <c r="C267" i="19"/>
  <c r="B267" i="19"/>
  <c r="C265" i="19"/>
  <c r="B265" i="19"/>
  <c r="C264" i="19"/>
  <c r="B264" i="19"/>
  <c r="C263" i="19"/>
  <c r="B263" i="19"/>
  <c r="L261" i="19"/>
  <c r="K261" i="19"/>
  <c r="J261" i="19"/>
  <c r="I261" i="19"/>
  <c r="H261" i="19"/>
  <c r="C261" i="19"/>
  <c r="B261" i="19"/>
  <c r="C260" i="19"/>
  <c r="B260" i="19"/>
  <c r="C259" i="19"/>
  <c r="B259" i="19"/>
  <c r="C256" i="19"/>
  <c r="B256" i="19"/>
  <c r="C255" i="19"/>
  <c r="B255" i="19"/>
  <c r="C254" i="19"/>
  <c r="B254" i="19"/>
  <c r="C250" i="19"/>
  <c r="B250" i="19"/>
  <c r="C247" i="19"/>
  <c r="B247" i="19"/>
  <c r="C244" i="19"/>
  <c r="B244" i="19"/>
  <c r="C243" i="19"/>
  <c r="B243" i="19"/>
  <c r="C242" i="19"/>
  <c r="B242" i="19"/>
  <c r="C241" i="19"/>
  <c r="B241" i="19"/>
  <c r="C240" i="19"/>
  <c r="B240" i="19"/>
  <c r="C239" i="19"/>
  <c r="B239" i="19"/>
  <c r="L237" i="19"/>
  <c r="K237" i="19"/>
  <c r="J237" i="19"/>
  <c r="I237" i="19"/>
  <c r="H237" i="19"/>
  <c r="C237" i="19"/>
  <c r="B237" i="19"/>
  <c r="C236" i="19"/>
  <c r="B236" i="19"/>
  <c r="L235" i="19"/>
  <c r="K235" i="19"/>
  <c r="J235" i="19"/>
  <c r="I235" i="19"/>
  <c r="H235" i="19"/>
  <c r="C235" i="19"/>
  <c r="B235" i="19"/>
  <c r="C234" i="19"/>
  <c r="B234" i="19"/>
  <c r="C233" i="19"/>
  <c r="B233" i="19"/>
  <c r="C232" i="19"/>
  <c r="B232" i="19"/>
  <c r="C230" i="19"/>
  <c r="B230" i="19"/>
  <c r="L229" i="19"/>
  <c r="K229" i="19"/>
  <c r="J229" i="19"/>
  <c r="I229" i="19"/>
  <c r="H229" i="19"/>
  <c r="C229" i="19"/>
  <c r="B229" i="19"/>
  <c r="G227" i="19"/>
  <c r="E227" i="19"/>
  <c r="B224" i="19"/>
  <c r="L217" i="19"/>
  <c r="K217" i="19"/>
  <c r="J217" i="19"/>
  <c r="I217" i="19"/>
  <c r="H217" i="19"/>
  <c r="C217" i="19"/>
  <c r="B217" i="19"/>
  <c r="C216" i="19"/>
  <c r="B216" i="19"/>
  <c r="L214" i="19"/>
  <c r="K214" i="19"/>
  <c r="J214" i="19"/>
  <c r="I214" i="19"/>
  <c r="H214" i="19"/>
  <c r="C214" i="19"/>
  <c r="B214" i="19"/>
  <c r="C212" i="19"/>
  <c r="B212" i="19"/>
  <c r="C208" i="19"/>
  <c r="B208" i="19"/>
  <c r="C205" i="19"/>
  <c r="B205" i="19"/>
  <c r="C204" i="19"/>
  <c r="C202" i="19"/>
  <c r="B202" i="19"/>
  <c r="C199" i="19"/>
  <c r="B199" i="19"/>
  <c r="C198" i="19"/>
  <c r="B198" i="19"/>
  <c r="C195" i="19"/>
  <c r="B195" i="19"/>
  <c r="C194" i="19"/>
  <c r="B194" i="19"/>
  <c r="C193" i="19"/>
  <c r="B193" i="19"/>
  <c r="C192" i="19"/>
  <c r="B192" i="19"/>
  <c r="C188" i="19"/>
  <c r="B188" i="19"/>
  <c r="L185" i="19"/>
  <c r="K185" i="19"/>
  <c r="J185" i="19"/>
  <c r="I185" i="19"/>
  <c r="H185" i="19"/>
  <c r="C182" i="19"/>
  <c r="C180" i="19"/>
  <c r="B180" i="19"/>
  <c r="C178" i="19"/>
  <c r="B178" i="19"/>
  <c r="C177" i="19"/>
  <c r="B177" i="19"/>
  <c r="L176" i="19"/>
  <c r="K176" i="19"/>
  <c r="J176" i="19"/>
  <c r="I176" i="19"/>
  <c r="H176" i="19"/>
  <c r="C176" i="19"/>
  <c r="B176" i="19"/>
  <c r="C174" i="19"/>
  <c r="B174" i="19"/>
  <c r="C173" i="19"/>
  <c r="B173" i="19"/>
  <c r="C171" i="19"/>
  <c r="B171" i="19"/>
  <c r="C170" i="19"/>
  <c r="B170" i="19"/>
  <c r="G168" i="19"/>
  <c r="E168" i="19"/>
  <c r="B165" i="19"/>
  <c r="C155" i="19"/>
  <c r="B155" i="19"/>
  <c r="C154" i="19"/>
  <c r="B154" i="19"/>
  <c r="L153" i="19"/>
  <c r="K153" i="19"/>
  <c r="J153" i="19"/>
  <c r="I153" i="19"/>
  <c r="H153" i="19"/>
  <c r="C153" i="19"/>
  <c r="B153" i="19"/>
  <c r="C149" i="19"/>
  <c r="B149" i="19"/>
  <c r="L144" i="19"/>
  <c r="K144" i="19"/>
  <c r="J144" i="19"/>
  <c r="I144" i="19"/>
  <c r="H144" i="19"/>
  <c r="C144" i="19"/>
  <c r="B144" i="19"/>
  <c r="C142" i="19"/>
  <c r="B142" i="19"/>
  <c r="L139" i="19"/>
  <c r="K139" i="19"/>
  <c r="J139" i="19"/>
  <c r="I139" i="19"/>
  <c r="H139" i="19"/>
  <c r="C139" i="19"/>
  <c r="B139" i="19"/>
  <c r="C138" i="19"/>
  <c r="B138" i="19"/>
  <c r="C137" i="19"/>
  <c r="B137" i="19"/>
  <c r="C131" i="19"/>
  <c r="B131" i="19"/>
  <c r="C130" i="19"/>
  <c r="B130" i="19"/>
  <c r="C129" i="19"/>
  <c r="B129" i="19"/>
  <c r="C128" i="19"/>
  <c r="B128" i="19"/>
  <c r="C126" i="19"/>
  <c r="B126" i="19"/>
  <c r="C125" i="19"/>
  <c r="B125" i="19"/>
  <c r="C124" i="19"/>
  <c r="B124" i="19"/>
  <c r="C123" i="19"/>
  <c r="B123" i="19"/>
  <c r="C122" i="19"/>
  <c r="B122" i="19"/>
  <c r="C121" i="19"/>
  <c r="B121" i="19"/>
  <c r="G119" i="19"/>
  <c r="B116" i="19"/>
  <c r="C109" i="19"/>
  <c r="B109" i="19"/>
  <c r="C106" i="19"/>
  <c r="B106" i="19"/>
  <c r="C105" i="19"/>
  <c r="B105" i="19"/>
  <c r="C104" i="19"/>
  <c r="B104" i="19"/>
  <c r="C102" i="19"/>
  <c r="B102" i="19"/>
  <c r="C101" i="19"/>
  <c r="B101" i="19"/>
  <c r="C100" i="19"/>
  <c r="B100" i="19"/>
  <c r="C99" i="19"/>
  <c r="B99" i="19"/>
  <c r="C95" i="19"/>
  <c r="B95" i="19"/>
  <c r="C93" i="19"/>
  <c r="B93" i="19"/>
  <c r="C92" i="19"/>
  <c r="B92" i="19"/>
  <c r="J90" i="19"/>
  <c r="C90" i="19"/>
  <c r="B90" i="19"/>
  <c r="C89" i="19"/>
  <c r="B89" i="19"/>
  <c r="C88" i="19"/>
  <c r="B88" i="19"/>
  <c r="C87" i="19"/>
  <c r="B87" i="19"/>
  <c r="L86" i="19"/>
  <c r="K86" i="19"/>
  <c r="J86" i="19"/>
  <c r="I86" i="19"/>
  <c r="H86" i="19"/>
  <c r="C86" i="19"/>
  <c r="B86" i="19"/>
  <c r="L83" i="19"/>
  <c r="K83" i="19"/>
  <c r="J83" i="19"/>
  <c r="I83" i="19"/>
  <c r="H83" i="19"/>
  <c r="C83" i="19"/>
  <c r="B83" i="19"/>
  <c r="C80" i="19"/>
  <c r="B80" i="19"/>
  <c r="C79" i="19"/>
  <c r="B79" i="19"/>
  <c r="C78" i="19"/>
  <c r="B78" i="19"/>
  <c r="C77" i="19"/>
  <c r="B77" i="19"/>
  <c r="L76" i="19"/>
  <c r="K76" i="19"/>
  <c r="J76" i="19"/>
  <c r="I76" i="19"/>
  <c r="H76" i="19"/>
  <c r="C75" i="19"/>
  <c r="B75" i="19"/>
  <c r="C72" i="19"/>
  <c r="B72" i="19"/>
  <c r="C70" i="19"/>
  <c r="B70" i="19"/>
  <c r="C69" i="19"/>
  <c r="B69" i="19"/>
  <c r="C68" i="19"/>
  <c r="B68" i="19"/>
  <c r="E119" i="19"/>
  <c r="C67" i="19"/>
  <c r="B67" i="19"/>
  <c r="C66" i="19"/>
  <c r="B66" i="19"/>
  <c r="C65" i="19"/>
  <c r="B65" i="19"/>
  <c r="C64" i="19"/>
  <c r="B64" i="19"/>
  <c r="C63" i="19"/>
  <c r="B63" i="19"/>
  <c r="C62" i="19"/>
  <c r="B62" i="19"/>
  <c r="B57" i="19"/>
  <c r="E52" i="19"/>
  <c r="E748" i="19" s="1"/>
  <c r="D52" i="19"/>
  <c r="K24" i="19"/>
  <c r="J24" i="19"/>
  <c r="I24" i="19"/>
  <c r="H24" i="19"/>
  <c r="L23" i="19"/>
  <c r="L52" i="19" s="1"/>
  <c r="K23" i="19"/>
  <c r="J23" i="19"/>
  <c r="I23" i="19"/>
  <c r="H23" i="19"/>
  <c r="J21" i="19"/>
  <c r="H21" i="19"/>
  <c r="G63" i="19" l="1"/>
  <c r="G64" i="19"/>
  <c r="G86" i="19"/>
  <c r="G65" i="19"/>
  <c r="G62" i="19"/>
  <c r="G66" i="19"/>
  <c r="G295" i="19"/>
  <c r="G327" i="19"/>
  <c r="M67" i="6"/>
  <c r="M65" i="6" s="1"/>
  <c r="M92" i="6" s="1"/>
  <c r="G214" i="19"/>
  <c r="G406" i="19"/>
  <c r="G213" i="19"/>
  <c r="E106" i="21"/>
  <c r="G115" i="21" s="1"/>
  <c r="G372" i="19"/>
  <c r="G316" i="19"/>
  <c r="G238" i="19"/>
  <c r="G210" i="19"/>
  <c r="G197" i="19"/>
  <c r="G2360" i="7"/>
  <c r="H2360" i="7" s="1"/>
  <c r="M750" i="19"/>
  <c r="G73" i="19"/>
  <c r="G268" i="19"/>
  <c r="G99" i="19"/>
  <c r="G265" i="19"/>
  <c r="G235" i="19"/>
  <c r="G257" i="19"/>
  <c r="G269" i="19"/>
  <c r="G200" i="19"/>
  <c r="G301" i="19"/>
  <c r="G300" i="19"/>
  <c r="G187" i="19"/>
  <c r="G292" i="19"/>
  <c r="G245" i="19"/>
  <c r="G249" i="19"/>
  <c r="G248" i="19"/>
  <c r="G246" i="19"/>
  <c r="G190" i="19"/>
  <c r="G189" i="19"/>
  <c r="G186" i="19"/>
  <c r="G141" i="19"/>
  <c r="G140" i="19"/>
  <c r="G81" i="19"/>
  <c r="G82" i="19"/>
  <c r="G84" i="19"/>
  <c r="G85" i="19"/>
  <c r="F110" i="19"/>
  <c r="G289" i="19"/>
  <c r="G253" i="19"/>
  <c r="G255" i="19"/>
  <c r="G259" i="19"/>
  <c r="G296" i="19"/>
  <c r="G185" i="19"/>
  <c r="G242" i="19"/>
  <c r="G261" i="19"/>
  <c r="G264" i="19"/>
  <c r="G329" i="19"/>
  <c r="G309" i="19"/>
  <c r="G313" i="19"/>
  <c r="G318" i="19"/>
  <c r="G176" i="19"/>
  <c r="G188" i="19"/>
  <c r="G193" i="19"/>
  <c r="G199" i="19"/>
  <c r="G330" i="19"/>
  <c r="G208" i="19"/>
  <c r="G183" i="19"/>
  <c r="H316" i="19"/>
  <c r="G196" i="19"/>
  <c r="G230" i="19"/>
  <c r="G250" i="19"/>
  <c r="G307" i="19"/>
  <c r="G293" i="19"/>
  <c r="H293" i="19" s="1"/>
  <c r="G303" i="19"/>
  <c r="H303" i="19" s="1"/>
  <c r="G315" i="19"/>
  <c r="G312" i="19"/>
  <c r="G239" i="19"/>
  <c r="G328" i="19"/>
  <c r="G320" i="19"/>
  <c r="G297" i="19"/>
  <c r="G291" i="19"/>
  <c r="G305" i="19"/>
  <c r="H305" i="19" s="1"/>
  <c r="G310" i="19"/>
  <c r="G290" i="19"/>
  <c r="G298" i="19"/>
  <c r="G314" i="19"/>
  <c r="H314" i="19" s="1"/>
  <c r="G319" i="19"/>
  <c r="G288" i="19"/>
  <c r="G294" i="19"/>
  <c r="G304" i="19"/>
  <c r="H304" i="19" s="1"/>
  <c r="G308" i="19"/>
  <c r="G302" i="19"/>
  <c r="G306" i="19"/>
  <c r="G311" i="19"/>
  <c r="G299" i="19"/>
  <c r="H299" i="19" s="1"/>
  <c r="G322" i="19"/>
  <c r="G241" i="19"/>
  <c r="G256" i="19"/>
  <c r="G271" i="19"/>
  <c r="G232" i="19"/>
  <c r="G236" i="19"/>
  <c r="G240" i="19"/>
  <c r="G243" i="19"/>
  <c r="G247" i="19"/>
  <c r="G254" i="19"/>
  <c r="G258" i="19"/>
  <c r="G262" i="19"/>
  <c r="G270" i="19"/>
  <c r="G229" i="19"/>
  <c r="G233" i="19"/>
  <c r="G244" i="19"/>
  <c r="G267" i="19"/>
  <c r="G251" i="19"/>
  <c r="G231" i="19"/>
  <c r="G234" i="19"/>
  <c r="G237" i="19"/>
  <c r="G260" i="19"/>
  <c r="G263" i="19"/>
  <c r="G252" i="19"/>
  <c r="G201" i="19"/>
  <c r="G194" i="19"/>
  <c r="G182" i="19"/>
  <c r="G203" i="19"/>
  <c r="G71" i="19"/>
  <c r="G94" i="19"/>
  <c r="G216" i="19"/>
  <c r="G177" i="19"/>
  <c r="G202" i="19"/>
  <c r="G195" i="19"/>
  <c r="G205" i="19"/>
  <c r="G204" i="19"/>
  <c r="G191" i="19"/>
  <c r="G178" i="19"/>
  <c r="G192" i="19"/>
  <c r="G198" i="19"/>
  <c r="G212" i="19"/>
  <c r="G175" i="19"/>
  <c r="G184" i="19"/>
  <c r="G217" i="19"/>
  <c r="G207" i="19"/>
  <c r="G135" i="19"/>
  <c r="G134" i="19"/>
  <c r="G154" i="19"/>
  <c r="G95" i="19"/>
  <c r="G87" i="19"/>
  <c r="G100" i="19"/>
  <c r="G78" i="19"/>
  <c r="G105" i="19"/>
  <c r="G109" i="19"/>
  <c r="G136" i="19"/>
  <c r="G75" i="19"/>
  <c r="G96" i="19"/>
  <c r="G97" i="19"/>
  <c r="G83" i="19"/>
  <c r="G91" i="19"/>
  <c r="G106" i="19"/>
  <c r="G102" i="19"/>
  <c r="G80" i="19"/>
  <c r="G69" i="19"/>
  <c r="G79" i="19"/>
  <c r="G107" i="19"/>
  <c r="G72" i="19"/>
  <c r="G77" i="19"/>
  <c r="G89" i="19"/>
  <c r="G93" i="19"/>
  <c r="G98" i="19"/>
  <c r="G124" i="19"/>
  <c r="G133" i="19"/>
  <c r="G155" i="19"/>
  <c r="G145" i="19"/>
  <c r="G128" i="19"/>
  <c r="G137" i="19"/>
  <c r="G122" i="19"/>
  <c r="G126" i="19"/>
  <c r="G139" i="19"/>
  <c r="G121" i="19"/>
  <c r="G125" i="19"/>
  <c r="G129" i="19"/>
  <c r="G138" i="19"/>
  <c r="G142" i="19"/>
  <c r="G148" i="19"/>
  <c r="G130" i="19"/>
  <c r="G143" i="19"/>
  <c r="G149" i="19"/>
  <c r="G157" i="19"/>
  <c r="G123" i="19"/>
  <c r="G131" i="19"/>
  <c r="G144" i="19"/>
  <c r="G153" i="19"/>
  <c r="G759" i="19"/>
  <c r="G2346" i="7"/>
  <c r="L43" i="6"/>
  <c r="L81" i="6"/>
  <c r="F781" i="19" s="1"/>
  <c r="G781" i="19" s="1"/>
  <c r="T80" i="6"/>
  <c r="L181" i="6"/>
  <c r="M74" i="6"/>
  <c r="L21" i="6"/>
  <c r="U209" i="6"/>
  <c r="L69" i="6"/>
  <c r="C20" i="10" s="1"/>
  <c r="D20" i="10" s="1"/>
  <c r="N59" i="6"/>
  <c r="M9" i="6"/>
  <c r="C11" i="9" s="1"/>
  <c r="D11" i="9" s="1"/>
  <c r="N22" i="6"/>
  <c r="M80" i="6"/>
  <c r="P181" i="6"/>
  <c r="E44" i="6"/>
  <c r="E72" i="6" s="1"/>
  <c r="G916" i="7"/>
  <c r="G2342" i="7" s="1"/>
  <c r="H2342" i="7" s="1"/>
  <c r="G2228" i="7"/>
  <c r="H2228" i="7" s="1"/>
  <c r="N81" i="6"/>
  <c r="N90" i="6"/>
  <c r="G133" i="21"/>
  <c r="G2258" i="7"/>
  <c r="G2249" i="7" s="1"/>
  <c r="G53" i="7"/>
  <c r="G1295" i="7"/>
  <c r="G2351" i="7" s="1"/>
  <c r="H2351" i="7" s="1"/>
  <c r="H1444" i="7"/>
  <c r="F570" i="19"/>
  <c r="G570" i="19" s="1"/>
  <c r="D558" i="19"/>
  <c r="G450" i="19"/>
  <c r="G452" i="19"/>
  <c r="G454" i="19"/>
  <c r="G456" i="19"/>
  <c r="G458" i="19"/>
  <c r="G460" i="19"/>
  <c r="G462" i="19"/>
  <c r="G464" i="19"/>
  <c r="G468" i="19"/>
  <c r="G470" i="19"/>
  <c r="G472" i="19"/>
  <c r="G558" i="19"/>
  <c r="G449" i="19"/>
  <c r="G451" i="19"/>
  <c r="G453" i="19"/>
  <c r="G455" i="19"/>
  <c r="G457" i="19"/>
  <c r="G459" i="19"/>
  <c r="G461" i="19"/>
  <c r="G463" i="19"/>
  <c r="G465" i="19"/>
  <c r="G467" i="19"/>
  <c r="G469" i="19"/>
  <c r="G471" i="19"/>
  <c r="E2340" i="7"/>
  <c r="H2340" i="7" s="1"/>
  <c r="D404" i="19"/>
  <c r="N789" i="7"/>
  <c r="F2336" i="7"/>
  <c r="H2336" i="7" s="1"/>
  <c r="H2363" i="7"/>
  <c r="K665" i="19"/>
  <c r="G609" i="19"/>
  <c r="G611" i="19"/>
  <c r="G613" i="19"/>
  <c r="G617" i="19"/>
  <c r="G610" i="19"/>
  <c r="G612" i="19"/>
  <c r="G616" i="19"/>
  <c r="G619" i="19"/>
  <c r="E2379" i="7"/>
  <c r="H630" i="7"/>
  <c r="G2243" i="7"/>
  <c r="G2267" i="7"/>
  <c r="G2286" i="7"/>
  <c r="G2291" i="7"/>
  <c r="G2309" i="7"/>
  <c r="G2262" i="7"/>
  <c r="G2276" i="7"/>
  <c r="G2282" i="7"/>
  <c r="G2295" i="7"/>
  <c r="F2262" i="7"/>
  <c r="F2291" i="7"/>
  <c r="G2274" i="7"/>
  <c r="C53" i="10" s="1"/>
  <c r="D53" i="10" s="1"/>
  <c r="E2276" i="7"/>
  <c r="G2341" i="7"/>
  <c r="H2341" i="7" s="1"/>
  <c r="E2382" i="7"/>
  <c r="H2382" i="7" s="1"/>
  <c r="Q2162" i="7"/>
  <c r="E2262" i="7"/>
  <c r="F2243" i="7"/>
  <c r="F2276" i="7"/>
  <c r="F2282" i="7"/>
  <c r="E2291" i="7"/>
  <c r="D333" i="19"/>
  <c r="D752" i="19" s="1"/>
  <c r="D801" i="19"/>
  <c r="G1472" i="7"/>
  <c r="H1308" i="7"/>
  <c r="G1336" i="7"/>
  <c r="G2352" i="7" s="1"/>
  <c r="H2352" i="7" s="1"/>
  <c r="H2279" i="7"/>
  <c r="N332" i="7"/>
  <c r="N333" i="7"/>
  <c r="H2227" i="7"/>
  <c r="H2244" i="7"/>
  <c r="H2245" i="7"/>
  <c r="H2246" i="7"/>
  <c r="H2247" i="7"/>
  <c r="E2249" i="7"/>
  <c r="G421" i="19"/>
  <c r="G438" i="19" s="1"/>
  <c r="H525" i="7"/>
  <c r="G287" i="19" s="1"/>
  <c r="I771" i="7"/>
  <c r="H523" i="7"/>
  <c r="H522" i="7"/>
  <c r="G284" i="19" s="1"/>
  <c r="H2229" i="7"/>
  <c r="H2230" i="7"/>
  <c r="H2231" i="7"/>
  <c r="F2249" i="7"/>
  <c r="H892" i="7"/>
  <c r="H1316" i="7"/>
  <c r="G180" i="19" s="1"/>
  <c r="F2221" i="7"/>
  <c r="H2205" i="7"/>
  <c r="G2377" i="7"/>
  <c r="H524" i="7"/>
  <c r="G286" i="19" s="1"/>
  <c r="H929" i="7"/>
  <c r="G951" i="7"/>
  <c r="F2203" i="7"/>
  <c r="H2248" i="7"/>
  <c r="H2298" i="7"/>
  <c r="H2338" i="7"/>
  <c r="H1264" i="7"/>
  <c r="H2252" i="7"/>
  <c r="H2253" i="7"/>
  <c r="H2254" i="7"/>
  <c r="H2255" i="7"/>
  <c r="H2256" i="7"/>
  <c r="H2257" i="7"/>
  <c r="H2259" i="7"/>
  <c r="H2260" i="7"/>
  <c r="H2261" i="7"/>
  <c r="E2295" i="7"/>
  <c r="H2306" i="7"/>
  <c r="H2305" i="7" s="1"/>
  <c r="H2366" i="7"/>
  <c r="H2362" i="7"/>
  <c r="H1977" i="7"/>
  <c r="R1978" i="7" s="1"/>
  <c r="H2216" i="7"/>
  <c r="H2223" i="7"/>
  <c r="H2224" i="7"/>
  <c r="E2267" i="7"/>
  <c r="H2270" i="7"/>
  <c r="H2311" i="7"/>
  <c r="H2312" i="7"/>
  <c r="E2416" i="7"/>
  <c r="F665" i="19"/>
  <c r="F760" i="19" s="1"/>
  <c r="I52" i="19"/>
  <c r="J52" i="19"/>
  <c r="D723" i="19"/>
  <c r="D762" i="19" s="1"/>
  <c r="D218" i="19"/>
  <c r="D751" i="19" s="1"/>
  <c r="N78" i="6"/>
  <c r="L77" i="6"/>
  <c r="K52" i="19"/>
  <c r="F754" i="19"/>
  <c r="H52" i="19"/>
  <c r="D159" i="19"/>
  <c r="D750" i="19" s="1"/>
  <c r="G693" i="19"/>
  <c r="G765" i="19" s="1"/>
  <c r="E723" i="19"/>
  <c r="E762" i="19" s="1"/>
  <c r="M21" i="6"/>
  <c r="N39" i="6"/>
  <c r="N85" i="6"/>
  <c r="H35" i="7"/>
  <c r="H2204" i="7"/>
  <c r="G2213" i="7"/>
  <c r="C44" i="10" s="1"/>
  <c r="D44" i="10" s="1"/>
  <c r="H473" i="7"/>
  <c r="H2375" i="7" s="1"/>
  <c r="H521" i="7"/>
  <c r="D406" i="19"/>
  <c r="D754" i="19" s="1"/>
  <c r="C72" i="6"/>
  <c r="C21" i="10"/>
  <c r="D21" i="10" s="1"/>
  <c r="E2396" i="7"/>
  <c r="D13" i="10"/>
  <c r="C16" i="10"/>
  <c r="D16" i="10" s="1"/>
  <c r="M43" i="6"/>
  <c r="G2396" i="7"/>
  <c r="C23" i="10"/>
  <c r="D23" i="10" s="1"/>
  <c r="M186" i="6"/>
  <c r="E473" i="19"/>
  <c r="E756" i="19" s="1"/>
  <c r="N10" i="6"/>
  <c r="N44" i="6"/>
  <c r="N55" i="6"/>
  <c r="N75" i="6"/>
  <c r="L89" i="6"/>
  <c r="N89" i="6" s="1"/>
  <c r="X177" i="6"/>
  <c r="H141" i="7"/>
  <c r="R142" i="7" s="1"/>
  <c r="H184" i="7"/>
  <c r="R185" i="7" s="1"/>
  <c r="G2380" i="7"/>
  <c r="H859" i="7"/>
  <c r="G150" i="21"/>
  <c r="F723" i="19"/>
  <c r="F762" i="19" s="1"/>
  <c r="N41" i="7"/>
  <c r="H2337" i="7"/>
  <c r="G2211" i="7"/>
  <c r="C43" i="10" s="1"/>
  <c r="D43" i="10" s="1"/>
  <c r="G2379" i="7"/>
  <c r="H2209" i="7"/>
  <c r="H2208" i="7" s="1"/>
  <c r="H2268" i="7"/>
  <c r="F2295" i="7"/>
  <c r="H2301" i="7"/>
  <c r="H2302" i="7"/>
  <c r="G2307" i="7"/>
  <c r="C61" i="10" s="1"/>
  <c r="D61" i="10" s="1"/>
  <c r="F2309" i="7"/>
  <c r="H2314" i="7"/>
  <c r="H2383" i="7"/>
  <c r="H2345" i="7"/>
  <c r="H1314" i="7"/>
  <c r="G179" i="19" s="1"/>
  <c r="H2119" i="7"/>
  <c r="H2264" i="7"/>
  <c r="H2266" i="7"/>
  <c r="H2288" i="7"/>
  <c r="G2280" i="7"/>
  <c r="H2281" i="7"/>
  <c r="H2280" i="7" s="1"/>
  <c r="E752" i="19"/>
  <c r="E159" i="19"/>
  <c r="E750" i="19" s="1"/>
  <c r="E272" i="19"/>
  <c r="E763" i="19" s="1"/>
  <c r="E372" i="19"/>
  <c r="E753" i="19" s="1"/>
  <c r="E406" i="19"/>
  <c r="E754" i="19" s="1"/>
  <c r="D438" i="19"/>
  <c r="D755" i="19" s="1"/>
  <c r="F438" i="19"/>
  <c r="F755" i="19" s="1"/>
  <c r="D473" i="19"/>
  <c r="D756" i="19" s="1"/>
  <c r="F473" i="19"/>
  <c r="F756" i="19" s="1"/>
  <c r="N788" i="7"/>
  <c r="E679" i="19"/>
  <c r="E761" i="19" s="1"/>
  <c r="G677" i="19"/>
  <c r="E707" i="19"/>
  <c r="E766" i="19" s="1"/>
  <c r="G705" i="19"/>
  <c r="G723" i="19"/>
  <c r="H220" i="7"/>
  <c r="H2339" i="7"/>
  <c r="H1092" i="7"/>
  <c r="H2371" i="7"/>
  <c r="H2353" i="7"/>
  <c r="H2356" i="7"/>
  <c r="H2361" i="7"/>
  <c r="H1834" i="7"/>
  <c r="R1835" i="7" s="1"/>
  <c r="H1873" i="7"/>
  <c r="E2372" i="7"/>
  <c r="H1943" i="7"/>
  <c r="R1944" i="7" s="1"/>
  <c r="H2058" i="7"/>
  <c r="R2059" i="7" s="1"/>
  <c r="H2193" i="7"/>
  <c r="E2203" i="7"/>
  <c r="H2206" i="7"/>
  <c r="C42" i="10"/>
  <c r="D42" i="10" s="1"/>
  <c r="F2215" i="7"/>
  <c r="C45" i="10" s="1"/>
  <c r="D45" i="10" s="1"/>
  <c r="H2218" i="7"/>
  <c r="H2220" i="7"/>
  <c r="H2222" i="7"/>
  <c r="H2232" i="7"/>
  <c r="H2233" i="7"/>
  <c r="H2234" i="7"/>
  <c r="H2235" i="7"/>
  <c r="H2236" i="7"/>
  <c r="H2237" i="7"/>
  <c r="H2238" i="7"/>
  <c r="H2239" i="7"/>
  <c r="H2240" i="7"/>
  <c r="H2241" i="7"/>
  <c r="H2242" i="7"/>
  <c r="E2243" i="7"/>
  <c r="H2250" i="7"/>
  <c r="H2251" i="7"/>
  <c r="C64" i="10"/>
  <c r="D64" i="10" s="1"/>
  <c r="H2263" i="7"/>
  <c r="H2265" i="7"/>
  <c r="F2267" i="7"/>
  <c r="H2269" i="7"/>
  <c r="H2271" i="7"/>
  <c r="H2273" i="7"/>
  <c r="H2275" i="7"/>
  <c r="H2274" i="7" s="1"/>
  <c r="H2277" i="7"/>
  <c r="F2280" i="7"/>
  <c r="H2283" i="7"/>
  <c r="H2284" i="7"/>
  <c r="H2285" i="7"/>
  <c r="E2286" i="7"/>
  <c r="H2287" i="7"/>
  <c r="H2289" i="7"/>
  <c r="H2292" i="7"/>
  <c r="H2293" i="7"/>
  <c r="H2296" i="7"/>
  <c r="H2297" i="7"/>
  <c r="H2300" i="7"/>
  <c r="E2305" i="7"/>
  <c r="H2308" i="7"/>
  <c r="H2307" i="7" s="1"/>
  <c r="H2313" i="7"/>
  <c r="H2315" i="7"/>
  <c r="H2318" i="7"/>
  <c r="H2317" i="7" s="1"/>
  <c r="C63" i="10" s="1"/>
  <c r="D63" i="10" s="1"/>
  <c r="H2321" i="7"/>
  <c r="H2320" i="7" s="1"/>
  <c r="E218" i="19"/>
  <c r="E751" i="19" s="1"/>
  <c r="D372" i="19"/>
  <c r="D753" i="19" s="1"/>
  <c r="F753" i="19"/>
  <c r="F764" i="19"/>
  <c r="G764" i="19" s="1"/>
  <c r="G676" i="19"/>
  <c r="F679" i="19"/>
  <c r="F761" i="19" s="1"/>
  <c r="G678" i="19"/>
  <c r="D707" i="19"/>
  <c r="D766" i="19" s="1"/>
  <c r="F707" i="19"/>
  <c r="F766" i="19" s="1"/>
  <c r="G704" i="19"/>
  <c r="G706" i="19"/>
  <c r="D736" i="19"/>
  <c r="F767" i="19"/>
  <c r="H104" i="7"/>
  <c r="H317" i="7"/>
  <c r="H720" i="7"/>
  <c r="H992" i="7"/>
  <c r="H1058" i="7"/>
  <c r="H1133" i="7"/>
  <c r="M512" i="19" s="1"/>
  <c r="H1220" i="7"/>
  <c r="H1251" i="7"/>
  <c r="H1431" i="7"/>
  <c r="H1638" i="7"/>
  <c r="H1672" i="7"/>
  <c r="H2019" i="7"/>
  <c r="H2098" i="7"/>
  <c r="H2133" i="7"/>
  <c r="H2148" i="7"/>
  <c r="H2381" i="7" s="1"/>
  <c r="E110" i="19"/>
  <c r="E749" i="19" s="1"/>
  <c r="E438" i="19"/>
  <c r="E755" i="19" s="1"/>
  <c r="N17" i="7"/>
  <c r="N44" i="7"/>
  <c r="G2422" i="7"/>
  <c r="G2424" i="7" s="1"/>
  <c r="H260" i="7"/>
  <c r="R262" i="7" s="1"/>
  <c r="H2357" i="7"/>
  <c r="N330" i="7"/>
  <c r="H361" i="7"/>
  <c r="H2370" i="7"/>
  <c r="N733" i="7"/>
  <c r="H772" i="7"/>
  <c r="H812" i="7"/>
  <c r="H846" i="7"/>
  <c r="H2344" i="7"/>
  <c r="H1023" i="7"/>
  <c r="E2346" i="7"/>
  <c r="H2347" i="7"/>
  <c r="H1179" i="7"/>
  <c r="H2348" i="7"/>
  <c r="H2349" i="7"/>
  <c r="H1391" i="7"/>
  <c r="H2354" i="7"/>
  <c r="H1512" i="7"/>
  <c r="H1546" i="7"/>
  <c r="H1590" i="7"/>
  <c r="H2359" i="7"/>
  <c r="H1714" i="7"/>
  <c r="H1749" i="7"/>
  <c r="H1791" i="7"/>
  <c r="F1800" i="7"/>
  <c r="F2372" i="7"/>
  <c r="H1909" i="7"/>
  <c r="H2365" i="7"/>
  <c r="H2364" i="7"/>
  <c r="H2368" i="7"/>
  <c r="H2163" i="7"/>
  <c r="E2369" i="7"/>
  <c r="H2369" i="7" s="1"/>
  <c r="H2180" i="7"/>
  <c r="F2286" i="7"/>
  <c r="C46" i="10"/>
  <c r="D46" i="10" s="1"/>
  <c r="C47" i="10"/>
  <c r="D47" i="10" s="1"/>
  <c r="E2221" i="7"/>
  <c r="H2225" i="7"/>
  <c r="H2310" i="7"/>
  <c r="H2316" i="7"/>
  <c r="G2358" i="7"/>
  <c r="H2358" i="7" s="1"/>
  <c r="D748" i="19"/>
  <c r="D110" i="19"/>
  <c r="D749" i="19" s="1"/>
  <c r="D272" i="19"/>
  <c r="F763" i="19"/>
  <c r="G568" i="19"/>
  <c r="E665" i="19"/>
  <c r="E760" i="19" s="1"/>
  <c r="D679" i="19"/>
  <c r="D761" i="19" s="1"/>
  <c r="G703" i="19"/>
  <c r="G734" i="19"/>
  <c r="G767" i="19" s="1"/>
  <c r="N732" i="7"/>
  <c r="N734" i="7"/>
  <c r="N735" i="7"/>
  <c r="E736" i="19"/>
  <c r="H370" i="7"/>
  <c r="G170" i="19" s="1"/>
  <c r="H371" i="7"/>
  <c r="G171" i="19" s="1"/>
  <c r="H372" i="7"/>
  <c r="H373" i="7"/>
  <c r="G173" i="19" s="1"/>
  <c r="H374" i="7"/>
  <c r="G174" i="19" s="1"/>
  <c r="H639" i="7"/>
  <c r="I732" i="7"/>
  <c r="I734" i="7"/>
  <c r="N771" i="7"/>
  <c r="N785" i="7"/>
  <c r="D665" i="19"/>
  <c r="D760" i="19" s="1"/>
  <c r="E2309" i="7"/>
  <c r="G665" i="19"/>
  <c r="E2367" i="7"/>
  <c r="L67" i="6" l="1"/>
  <c r="L65" i="6" s="1"/>
  <c r="C19" i="10" s="1"/>
  <c r="D19" i="10" s="1"/>
  <c r="Q188" i="6"/>
  <c r="L74" i="6"/>
  <c r="C22" i="10"/>
  <c r="G2335" i="7"/>
  <c r="H2335" i="7" s="1"/>
  <c r="M748" i="19"/>
  <c r="G2203" i="7"/>
  <c r="C41" i="10" s="1"/>
  <c r="D41" i="10" s="1"/>
  <c r="Q2207" i="7"/>
  <c r="G2343" i="7"/>
  <c r="H2343" i="7" s="1"/>
  <c r="G283" i="19"/>
  <c r="G285" i="19"/>
  <c r="G172" i="19"/>
  <c r="H2346" i="7"/>
  <c r="G2221" i="7"/>
  <c r="C48" i="10" s="1"/>
  <c r="D48" i="10" s="1"/>
  <c r="L80" i="6"/>
  <c r="C19" i="9" s="1"/>
  <c r="D19" i="9" s="1"/>
  <c r="H1295" i="7"/>
  <c r="R1296" i="7" s="1"/>
  <c r="G761" i="19"/>
  <c r="G760" i="19"/>
  <c r="L186" i="6"/>
  <c r="N80" i="6"/>
  <c r="C15" i="9"/>
  <c r="D15" i="9" s="1"/>
  <c r="N69" i="6"/>
  <c r="N9" i="6"/>
  <c r="N43" i="6"/>
  <c r="G762" i="19"/>
  <c r="G272" i="19"/>
  <c r="R1093" i="7"/>
  <c r="O1092" i="7"/>
  <c r="M473" i="19" s="1"/>
  <c r="R221" i="7"/>
  <c r="O220" i="7"/>
  <c r="M372" i="19" s="1"/>
  <c r="G110" i="19"/>
  <c r="G2355" i="7"/>
  <c r="H2355" i="7" s="1"/>
  <c r="F52" i="19"/>
  <c r="F748" i="19" s="1"/>
  <c r="H916" i="7"/>
  <c r="R917" i="7" s="1"/>
  <c r="F598" i="19"/>
  <c r="F758" i="19" s="1"/>
  <c r="G758" i="19" s="1"/>
  <c r="H53" i="7"/>
  <c r="C51" i="10"/>
  <c r="D51" i="10" s="1"/>
  <c r="C56" i="10"/>
  <c r="D56" i="10" s="1"/>
  <c r="C54" i="10"/>
  <c r="D54" i="10" s="1"/>
  <c r="H1472" i="7"/>
  <c r="R1473" i="7" s="1"/>
  <c r="G598" i="19"/>
  <c r="H2276" i="7"/>
  <c r="C58" i="10"/>
  <c r="D58" i="10" s="1"/>
  <c r="H1336" i="7"/>
  <c r="R1337" i="7" s="1"/>
  <c r="H879" i="7"/>
  <c r="R1792" i="7"/>
  <c r="R1715" i="7"/>
  <c r="R1547" i="7"/>
  <c r="R1392" i="7"/>
  <c r="R1180" i="7"/>
  <c r="R847" i="7"/>
  <c r="R773" i="7"/>
  <c r="R2099" i="7"/>
  <c r="R1673" i="7"/>
  <c r="R1221" i="7"/>
  <c r="R1059" i="7"/>
  <c r="R318" i="7"/>
  <c r="H2215" i="7"/>
  <c r="R1910" i="7"/>
  <c r="R1591" i="7"/>
  <c r="R1513" i="7"/>
  <c r="R813" i="7"/>
  <c r="R395" i="7"/>
  <c r="R2020" i="7"/>
  <c r="R1639" i="7"/>
  <c r="R1432" i="7"/>
  <c r="R1134" i="7"/>
  <c r="R993" i="7"/>
  <c r="R721" i="7"/>
  <c r="R105" i="7"/>
  <c r="R1874" i="7"/>
  <c r="H2219" i="7"/>
  <c r="C62" i="10"/>
  <c r="D62" i="10" s="1"/>
  <c r="H2243" i="7"/>
  <c r="H555" i="7"/>
  <c r="C52" i="10"/>
  <c r="D52" i="10" s="1"/>
  <c r="H2214" i="7"/>
  <c r="G473" i="19"/>
  <c r="C59" i="10"/>
  <c r="D59" i="10" s="1"/>
  <c r="C63" i="9"/>
  <c r="D63" i="9" s="1"/>
  <c r="H284" i="19"/>
  <c r="F63" i="10"/>
  <c r="C60" i="9" s="1"/>
  <c r="D60" i="9" s="1"/>
  <c r="H2291" i="7"/>
  <c r="G2375" i="7"/>
  <c r="C55" i="10"/>
  <c r="D55" i="10" s="1"/>
  <c r="G159" i="19"/>
  <c r="H2212" i="7"/>
  <c r="H2379" i="7"/>
  <c r="H2226" i="7"/>
  <c r="H2217" i="7"/>
  <c r="H288" i="19"/>
  <c r="H2267" i="7"/>
  <c r="H2309" i="7"/>
  <c r="H951" i="7"/>
  <c r="H2207" i="7"/>
  <c r="G754" i="19"/>
  <c r="H287" i="19"/>
  <c r="C57" i="10"/>
  <c r="D57" i="10" s="1"/>
  <c r="H670" i="7"/>
  <c r="H2380" i="7" s="1"/>
  <c r="F159" i="19"/>
  <c r="E768" i="19"/>
  <c r="G753" i="19"/>
  <c r="G707" i="19"/>
  <c r="G766" i="19"/>
  <c r="C13" i="9"/>
  <c r="N21" i="6"/>
  <c r="G736" i="19"/>
  <c r="C60" i="10"/>
  <c r="D60" i="10" s="1"/>
  <c r="C49" i="10"/>
  <c r="D49" i="10" s="1"/>
  <c r="H2258" i="7"/>
  <c r="H2249" i="7" s="1"/>
  <c r="C17" i="9"/>
  <c r="D17" i="9" s="1"/>
  <c r="N74" i="6"/>
  <c r="C50" i="10"/>
  <c r="D50" i="10" s="1"/>
  <c r="D22" i="10"/>
  <c r="N77" i="6"/>
  <c r="M64" i="6"/>
  <c r="H2396" i="7"/>
  <c r="H2295" i="7"/>
  <c r="H2282" i="7"/>
  <c r="H2262" i="7"/>
  <c r="F2322" i="7"/>
  <c r="I772" i="7"/>
  <c r="F2384" i="7"/>
  <c r="F2386" i="7" s="1"/>
  <c r="G755" i="19"/>
  <c r="H2286" i="7"/>
  <c r="G756" i="19"/>
  <c r="H2372" i="7"/>
  <c r="O2356" i="7" s="1"/>
  <c r="G679" i="19"/>
  <c r="G2373" i="7"/>
  <c r="H398" i="7"/>
  <c r="H2373" i="7" s="1"/>
  <c r="G2378" i="7"/>
  <c r="H592" i="7"/>
  <c r="H2378" i="7" s="1"/>
  <c r="G2374" i="7"/>
  <c r="H435" i="7"/>
  <c r="H2374" i="7" s="1"/>
  <c r="F807" i="19"/>
  <c r="F809" i="19" s="1"/>
  <c r="G2376" i="7"/>
  <c r="H512" i="7"/>
  <c r="H2376" i="7" s="1"/>
  <c r="D763" i="19"/>
  <c r="G763" i="19" s="1"/>
  <c r="F749" i="19"/>
  <c r="G749" i="19" s="1"/>
  <c r="N749" i="19" s="1"/>
  <c r="E2322" i="7"/>
  <c r="H2367" i="7"/>
  <c r="E2384" i="7"/>
  <c r="P2335" i="7" l="1"/>
  <c r="G333" i="19"/>
  <c r="H2377" i="7"/>
  <c r="M333" i="19"/>
  <c r="M752" i="19"/>
  <c r="M751" i="19"/>
  <c r="O2338" i="7"/>
  <c r="O2337" i="7"/>
  <c r="M218" i="19" s="1"/>
  <c r="N67" i="6"/>
  <c r="G2322" i="7"/>
  <c r="F752" i="19"/>
  <c r="G752" i="19" s="1"/>
  <c r="O335" i="19"/>
  <c r="F751" i="19"/>
  <c r="G751" i="19" s="1"/>
  <c r="N473" i="19"/>
  <c r="O2357" i="7"/>
  <c r="M159" i="19" s="1"/>
  <c r="N159" i="19" s="1"/>
  <c r="G748" i="19"/>
  <c r="N748" i="19" s="1"/>
  <c r="P748" i="19" s="1"/>
  <c r="N272" i="19"/>
  <c r="N372" i="19"/>
  <c r="F58" i="10"/>
  <c r="C52" i="9" s="1"/>
  <c r="D52" i="9" s="1"/>
  <c r="R54" i="7"/>
  <c r="M52" i="19"/>
  <c r="G52" i="19"/>
  <c r="F750" i="19"/>
  <c r="G750" i="19" s="1"/>
  <c r="N750" i="19" s="1"/>
  <c r="P750" i="19" s="1"/>
  <c r="G2384" i="7"/>
  <c r="H2213" i="7"/>
  <c r="R952" i="7"/>
  <c r="H283" i="19"/>
  <c r="H333" i="19" s="1"/>
  <c r="P749" i="19"/>
  <c r="H2221" i="7"/>
  <c r="H2211" i="7"/>
  <c r="C66" i="10"/>
  <c r="G36" i="10" s="1"/>
  <c r="G218" i="19"/>
  <c r="F47" i="10"/>
  <c r="C44" i="9" s="1"/>
  <c r="D44" i="9" s="1"/>
  <c r="H2203" i="7"/>
  <c r="F62" i="10"/>
  <c r="C55" i="9" s="1"/>
  <c r="D55" i="9" s="1"/>
  <c r="F57" i="10"/>
  <c r="C49" i="9" s="1"/>
  <c r="D49" i="9" s="1"/>
  <c r="F53" i="10"/>
  <c r="C47" i="9" s="1"/>
  <c r="D47" i="9" s="1"/>
  <c r="C25" i="10"/>
  <c r="E2398" i="7"/>
  <c r="D783" i="19"/>
  <c r="N65" i="6"/>
  <c r="L64" i="6"/>
  <c r="L92" i="6" s="1"/>
  <c r="N92" i="6" s="1"/>
  <c r="F2324" i="7"/>
  <c r="D13" i="9"/>
  <c r="D768" i="19"/>
  <c r="E2407" i="7"/>
  <c r="E2400" i="7"/>
  <c r="E2385" i="7"/>
  <c r="G2324" i="7" l="1"/>
  <c r="N333" i="19"/>
  <c r="N752" i="19"/>
  <c r="P752" i="19" s="1"/>
  <c r="N218" i="19"/>
  <c r="P218" i="19" s="1"/>
  <c r="N751" i="19"/>
  <c r="P751" i="19" s="1"/>
  <c r="H2401" i="7"/>
  <c r="O2205" i="7"/>
  <c r="O2210" i="7"/>
  <c r="O2218" i="7"/>
  <c r="O2224" i="7"/>
  <c r="O2228" i="7"/>
  <c r="O2232" i="7"/>
  <c r="O2236" i="7"/>
  <c r="O2240" i="7"/>
  <c r="O2245" i="7"/>
  <c r="O2250" i="7"/>
  <c r="O2254" i="7"/>
  <c r="O2258" i="7"/>
  <c r="O2263" i="7"/>
  <c r="O2268" i="7"/>
  <c r="O2272" i="7"/>
  <c r="O2279" i="7"/>
  <c r="O2285" i="7"/>
  <c r="O2290" i="7"/>
  <c r="O2296" i="7"/>
  <c r="O2300" i="7"/>
  <c r="O2306" i="7"/>
  <c r="O2312" i="7"/>
  <c r="O2316" i="7"/>
  <c r="O2206" i="7"/>
  <c r="O2212" i="7"/>
  <c r="O2220" i="7"/>
  <c r="Q2220" i="7" s="1"/>
  <c r="R2220" i="7" s="1"/>
  <c r="O2225" i="7"/>
  <c r="O2229" i="7"/>
  <c r="O2233" i="7"/>
  <c r="O2237" i="7"/>
  <c r="O2241" i="7"/>
  <c r="O2246" i="7"/>
  <c r="O2251" i="7"/>
  <c r="O2255" i="7"/>
  <c r="O2259" i="7"/>
  <c r="O2264" i="7"/>
  <c r="O2269" i="7"/>
  <c r="O2273" i="7"/>
  <c r="O2281" i="7"/>
  <c r="O2287" i="7"/>
  <c r="O2292" i="7"/>
  <c r="O2297" i="7"/>
  <c r="O2301" i="7"/>
  <c r="O2308" i="7"/>
  <c r="O2313" i="7"/>
  <c r="O2318" i="7"/>
  <c r="O2207" i="7"/>
  <c r="O2214" i="7"/>
  <c r="O2222" i="7"/>
  <c r="O2226" i="7"/>
  <c r="O2230" i="7"/>
  <c r="O2234" i="7"/>
  <c r="O2238" i="7"/>
  <c r="O2242" i="7"/>
  <c r="O2247" i="7"/>
  <c r="O2252" i="7"/>
  <c r="O2256" i="7"/>
  <c r="O2260" i="7"/>
  <c r="O2265" i="7"/>
  <c r="O2270" i="7"/>
  <c r="O2275" i="7"/>
  <c r="O2283" i="7"/>
  <c r="O2288" i="7"/>
  <c r="O2293" i="7"/>
  <c r="O2298" i="7"/>
  <c r="O2302" i="7"/>
  <c r="O2310" i="7"/>
  <c r="O2314" i="7"/>
  <c r="O2319" i="7"/>
  <c r="O2209" i="7"/>
  <c r="O2216" i="7"/>
  <c r="O2223" i="7"/>
  <c r="O2227" i="7"/>
  <c r="O2231" i="7"/>
  <c r="O2235" i="7"/>
  <c r="O2239" i="7"/>
  <c r="O2244" i="7"/>
  <c r="O2248" i="7"/>
  <c r="O2253" i="7"/>
  <c r="O2257" i="7"/>
  <c r="O2261" i="7"/>
  <c r="O2266" i="7"/>
  <c r="O2271" i="7"/>
  <c r="O2277" i="7"/>
  <c r="O2284" i="7"/>
  <c r="O2289" i="7"/>
  <c r="O2294" i="7"/>
  <c r="O2299" i="7"/>
  <c r="O2304" i="7"/>
  <c r="O2311" i="7"/>
  <c r="O2315" i="7"/>
  <c r="O2321" i="7"/>
  <c r="O2204" i="7"/>
  <c r="F768" i="19"/>
  <c r="N52" i="19"/>
  <c r="G2385" i="7"/>
  <c r="H2322" i="7"/>
  <c r="D66" i="10"/>
  <c r="D66" i="9"/>
  <c r="C66" i="9"/>
  <c r="F65" i="10"/>
  <c r="N64" i="6"/>
  <c r="E2386" i="7"/>
  <c r="C21" i="9"/>
  <c r="D25" i="10"/>
  <c r="I13" i="10" s="1"/>
  <c r="G35" i="10"/>
  <c r="G37" i="10" s="1"/>
  <c r="H2384" i="7"/>
  <c r="G768" i="19"/>
  <c r="G2386" i="7"/>
  <c r="G2429" i="7"/>
  <c r="G2431" i="7" s="1"/>
  <c r="D792" i="19"/>
  <c r="D785" i="19"/>
  <c r="G786" i="19" s="1"/>
  <c r="D769" i="19"/>
  <c r="F769" i="19" l="1"/>
  <c r="F771" i="19"/>
  <c r="I14" i="10"/>
  <c r="I18" i="10"/>
  <c r="I22" i="10"/>
  <c r="I17" i="10"/>
  <c r="I15" i="10"/>
  <c r="I23" i="10"/>
  <c r="I21" i="10"/>
  <c r="I16" i="10"/>
  <c r="I20" i="10"/>
  <c r="I19" i="10"/>
  <c r="I42" i="10"/>
  <c r="I43" i="10"/>
  <c r="I47" i="10"/>
  <c r="I46" i="10"/>
  <c r="I61" i="10"/>
  <c r="I45" i="10"/>
  <c r="I53" i="10"/>
  <c r="I63" i="10"/>
  <c r="I44" i="10"/>
  <c r="I64" i="10"/>
  <c r="I49" i="10"/>
  <c r="I57" i="10"/>
  <c r="I62" i="10"/>
  <c r="I52" i="10"/>
  <c r="I55" i="10"/>
  <c r="I59" i="10"/>
  <c r="I56" i="10"/>
  <c r="I51" i="10"/>
  <c r="I58" i="10"/>
  <c r="I48" i="10"/>
  <c r="I50" i="10"/>
  <c r="I54" i="10"/>
  <c r="I60" i="10"/>
  <c r="I41" i="10"/>
  <c r="D771" i="19"/>
  <c r="G769" i="19"/>
  <c r="E67" i="9"/>
  <c r="H2324" i="7"/>
  <c r="F814" i="19"/>
  <c r="F816" i="19" s="1"/>
  <c r="E68" i="10"/>
  <c r="E66" i="10"/>
  <c r="H2386" i="7"/>
  <c r="D21" i="9"/>
  <c r="C25" i="9"/>
  <c r="H2385" i="7"/>
  <c r="G76" i="10"/>
  <c r="I25" i="10" l="1"/>
  <c r="I66" i="10"/>
  <c r="G771" i="19"/>
  <c r="D25" i="9"/>
  <c r="E26" i="9" s="1"/>
  <c r="E66" i="9"/>
  <c r="H2389" i="7"/>
  <c r="H2390" i="7" s="1"/>
  <c r="E26" i="10"/>
  <c r="H2393" i="7"/>
  <c r="H2394" i="7" s="1"/>
</calcChain>
</file>

<file path=xl/comments1.xml><?xml version="1.0" encoding="utf-8"?>
<comments xmlns="http://schemas.openxmlformats.org/spreadsheetml/2006/main">
  <authors>
    <author>UAIP-AMSM</author>
    <author>Jorge</author>
  </authors>
  <commentList>
    <comment ref="L70" authorId="0" shapeId="0">
      <text>
        <r>
          <rPr>
            <b/>
            <sz val="9"/>
            <color indexed="81"/>
            <rFont val="Tahoma"/>
            <family val="2"/>
          </rPr>
          <t>FODES 2021</t>
        </r>
      </text>
    </comment>
    <comment ref="L78" authorId="0" shapeId="0">
      <text>
        <r>
          <rPr>
            <b/>
            <sz val="9"/>
            <color indexed="81"/>
            <rFont val="Tahoma"/>
            <family val="2"/>
          </rPr>
          <t>FODES 2022</t>
        </r>
      </text>
    </comment>
    <comment ref="L82" authorId="0" shapeId="0">
      <text>
        <r>
          <rPr>
            <b/>
            <sz val="9"/>
            <color indexed="81"/>
            <rFont val="Tahoma"/>
            <family val="2"/>
          </rPr>
          <t>MONTO DE PRESTAMOS 2022</t>
        </r>
      </text>
    </comment>
    <comment ref="L83" authorId="1" shapeId="0">
      <text>
        <r>
          <rPr>
            <b/>
            <sz val="9"/>
            <color indexed="81"/>
            <rFont val="Tahoma"/>
            <family val="2"/>
          </rPr>
          <t>MONTO PRESTAMO PAGADO DE HACIENDA 2024</t>
        </r>
      </text>
    </comment>
    <comment ref="O184" authorId="0" shapeId="0">
      <text>
        <r>
          <rPr>
            <b/>
            <sz val="9"/>
            <color indexed="81"/>
            <rFont val="Tahoma"/>
            <family val="2"/>
          </rPr>
          <t>FODES LIBRE DISPONIBILIDAD 2024</t>
        </r>
      </text>
    </comment>
  </commentList>
</comments>
</file>

<file path=xl/comments2.xml><?xml version="1.0" encoding="utf-8"?>
<comments xmlns="http://schemas.openxmlformats.org/spreadsheetml/2006/main">
  <authors>
    <author>Gerencia Financiera</author>
    <author>Usuario</author>
  </authors>
  <commentList>
    <comment ref="G523" authorId="0" shapeId="0">
      <text>
        <r>
          <rPr>
            <sz val="8"/>
            <color indexed="81"/>
            <rFont val="Tahoma"/>
            <family val="2"/>
          </rPr>
          <t>Unicamente se presupuesta bono
Agregar pago compensatorio de días feriados si corresponde al empleado</t>
        </r>
      </text>
    </comment>
    <comment ref="G566" authorId="0" shapeId="0">
      <text>
        <r>
          <rPr>
            <sz val="9"/>
            <color indexed="81"/>
            <rFont val="Tahoma"/>
            <family val="2"/>
          </rPr>
          <t>Unicamente Bono
Pendiente Dias feriados y 30% vacación anual a empleados que aplican</t>
        </r>
      </text>
    </comment>
    <comment ref="G603" authorId="0" shapeId="0">
      <text>
        <r>
          <rPr>
            <sz val="9"/>
            <color indexed="81"/>
            <rFont val="Tahoma"/>
            <family val="2"/>
          </rPr>
          <t>Unicamente Bono
Pendiente Dias feriados y 30% vacación anual a empleados que aplican</t>
        </r>
      </text>
    </comment>
    <comment ref="G641" authorId="0" shapeId="0">
      <text>
        <r>
          <rPr>
            <sz val="9"/>
            <color indexed="81"/>
            <rFont val="Tahoma"/>
            <family val="2"/>
          </rPr>
          <t>Unicamente Bono
Pendiente Dias feriados y 30% vacación anual a empleados que aplican</t>
        </r>
      </text>
    </comment>
    <comment ref="G733" authorId="0" shapeId="0">
      <text>
        <r>
          <rPr>
            <sz val="9"/>
            <color indexed="81"/>
            <rFont val="Tahoma"/>
            <family val="2"/>
          </rPr>
          <t>Unicamente Bono
Pendiente Dias feriados y 30% vacación anual a empleados que aplican</t>
        </r>
      </text>
    </comment>
    <comment ref="G1264" authorId="0" shapeId="0">
      <text>
        <r>
          <rPr>
            <sz val="9"/>
            <color indexed="81"/>
            <rFont val="Tahoma"/>
            <family val="2"/>
          </rPr>
          <t>Unicamente Bono
Pendiente Dias feriados y 30% vacación anual a empleados que aplican</t>
        </r>
      </text>
    </comment>
    <comment ref="G1308" authorId="0" shapeId="0">
      <text>
        <r>
          <rPr>
            <sz val="9"/>
            <color indexed="81"/>
            <rFont val="Tahoma"/>
            <family val="2"/>
          </rPr>
          <t>Unicamente Bono
Pendiente Dias feriados y 30% vacación anual a empleados que aplican</t>
        </r>
      </text>
    </comment>
    <comment ref="G1349" authorId="0" shapeId="0">
      <text>
        <r>
          <rPr>
            <sz val="9"/>
            <color indexed="81"/>
            <rFont val="Tahoma"/>
            <family val="2"/>
          </rPr>
          <t>Unicamente Bono
Pendiente Dias feriados y 30% vacación anual a empleados que aplican</t>
        </r>
      </text>
    </comment>
    <comment ref="G1444" authorId="0" shapeId="0">
      <text>
        <r>
          <rPr>
            <sz val="9"/>
            <color indexed="81"/>
            <rFont val="Tahoma"/>
            <family val="2"/>
          </rPr>
          <t>Unicamente Bono
Pendiente Dias feriados y 30% vacación anual a empleados que aplican</t>
        </r>
      </text>
    </comment>
    <comment ref="G1685" authorId="0" shapeId="0">
      <text>
        <r>
          <rPr>
            <sz val="9"/>
            <color indexed="81"/>
            <rFont val="Tahoma"/>
            <family val="2"/>
          </rPr>
          <t>Unicamente Bono
Pendiente Dias feriados y 30% vacación anual a empleados que aplican</t>
        </r>
      </text>
    </comment>
    <comment ref="E2118" authorId="1" shapeId="0">
      <text>
        <r>
          <rPr>
            <b/>
            <sz val="9"/>
            <color indexed="81"/>
            <rFont val="Tahoma"/>
            <family val="2"/>
          </rPr>
          <t>Incluye el Proy. Mantenimiento preventivo de Camiones Y Proy. Programas Sociales</t>
        </r>
      </text>
    </comment>
  </commentList>
</comments>
</file>

<file path=xl/sharedStrings.xml><?xml version="1.0" encoding="utf-8"?>
<sst xmlns="http://schemas.openxmlformats.org/spreadsheetml/2006/main" count="6222" uniqueCount="869">
  <si>
    <t>CONCEPTO</t>
  </si>
  <si>
    <t xml:space="preserve">CÓDIGO  </t>
  </si>
  <si>
    <t>DIETAS</t>
  </si>
  <si>
    <t>PRODUCTOS DE PAPEL Y CARTÓN</t>
  </si>
  <si>
    <t>PRODUCTOS QUÍMICOS</t>
  </si>
  <si>
    <t>MATERIALES DE OFICINA</t>
  </si>
  <si>
    <t>MATERIALES ELÉCTRICOS</t>
  </si>
  <si>
    <t>SERVICIOS DE TELECOMUNICACIONES</t>
  </si>
  <si>
    <t>MANTENIMIENTO Y REPARACIÓN DE BIENES MUEBLES</t>
  </si>
  <si>
    <t>MANTENIMIENTO Y REPARACIÓN DE BIENES INMUEBLES</t>
  </si>
  <si>
    <t>SERVICIOS DE LIMPIEZA Y FUMIGACIONES</t>
  </si>
  <si>
    <t>IMPRESIONES, PUBLICACIONES Y REPRODUCCIONES</t>
  </si>
  <si>
    <t>ATENCIONES OFICIALES</t>
  </si>
  <si>
    <t>PRIMAS Y GASTOS DE SEGUROS DE BIENES</t>
  </si>
  <si>
    <t xml:space="preserve">TOTAL </t>
  </si>
  <si>
    <t>SUELDOS</t>
  </si>
  <si>
    <t>AGUINALDO</t>
  </si>
  <si>
    <t>PRODUCTOS TEXTILES Y VESTUARIOS</t>
  </si>
  <si>
    <t>PRODUCTOS DE CUERO Y CAUCHO</t>
  </si>
  <si>
    <t>LLANTAS Y NEUMÁTICOS</t>
  </si>
  <si>
    <t>COMBUSTIBLE Y LUBRICANTES</t>
  </si>
  <si>
    <t>SERVICIOS DE ENERGÍA ELÉCTRICA</t>
  </si>
  <si>
    <t>MANTENIMIENTO Y REPARACIÓN DE VEHÍCULOS</t>
  </si>
  <si>
    <t>REMUNERACIONES EVENTUALES</t>
  </si>
  <si>
    <t>POR REMUN.PERM. (ISSS)</t>
  </si>
  <si>
    <t>POR REMUN.PERM. (A.F.P.)</t>
  </si>
  <si>
    <t>BIENES DE USO Y CONSUMO DIVERSOS</t>
  </si>
  <si>
    <t>SERVICIOS DE AGUA POTABLE</t>
  </si>
  <si>
    <t>MAQUINARIA Y EQUIPO</t>
  </si>
  <si>
    <t>POR REMUNERACIONES PERMANENTES (AFP)</t>
  </si>
  <si>
    <t xml:space="preserve">PASAJES AL INTERIOR </t>
  </si>
  <si>
    <t>EQUIPOS INFORMÁTICOS</t>
  </si>
  <si>
    <t>SERVICIOS DE CORREO</t>
  </si>
  <si>
    <t>SERVICIOS DE PUBLICIDAD</t>
  </si>
  <si>
    <t>BENEFICIOS ADICIONALES</t>
  </si>
  <si>
    <t>HERRAMIENTAS, REPUESTOS Y ACCESORIOS</t>
  </si>
  <si>
    <t>OBRAS DE INFRAESTRUCTURAS DIVERSAS</t>
  </si>
  <si>
    <t>PRODUCTOS ALIMENTICIOS PARA ANIMALES</t>
  </si>
  <si>
    <t>PRODUCTOS ALIMENTICIOS PARA PERSONAS</t>
  </si>
  <si>
    <t>MINERALES METÁLICOS Y PRODUCTOS DERIVADOS</t>
  </si>
  <si>
    <t>SERVICIOS DE CAPACITACION</t>
  </si>
  <si>
    <t>PRODUCTOS AGROPECUARIOS Y FORESTALES</t>
  </si>
  <si>
    <t>MINERALES METALICOS Y PRODUCTOS DERIVADOS</t>
  </si>
  <si>
    <t>PRODUCTOS QUIMICOS</t>
  </si>
  <si>
    <t>MATERIALES ELECTRICOS</t>
  </si>
  <si>
    <t>ARRENDAMIENTO DE BIENES MUEBLES</t>
  </si>
  <si>
    <t>EQUIPOS INFORMATICOS</t>
  </si>
  <si>
    <t>POR REMUN. PERM. (INPEP,  ISSS, INSAFORP)</t>
  </si>
  <si>
    <t>MINERALES NO METÁLICOS Y PRODUCTOS DERIVADOS</t>
  </si>
  <si>
    <t>MATERIALES INFORMATICOS</t>
  </si>
  <si>
    <t xml:space="preserve">PRODUCTOS DE PAPEL Y CARTON </t>
  </si>
  <si>
    <t>INDEMNIZACIONES</t>
  </si>
  <si>
    <t>ORGANISMOS SIN FINES DE LUCRO(comures y Enepasa)</t>
  </si>
  <si>
    <t>SERVICIOS JURIDICOS</t>
  </si>
  <si>
    <t>DERECHOS DE PROPIEDAD INTELECTUAL</t>
  </si>
  <si>
    <t xml:space="preserve">INDEMNIZACIONES </t>
  </si>
  <si>
    <t>PRESUPUESTO</t>
  </si>
  <si>
    <t>11801</t>
  </si>
  <si>
    <t>DE COMERCIO</t>
  </si>
  <si>
    <t>11802</t>
  </si>
  <si>
    <t>DE INDUSTRIA</t>
  </si>
  <si>
    <t>FINANCIEROS</t>
  </si>
  <si>
    <t>11804</t>
  </si>
  <si>
    <t>DE SERVICIOS</t>
  </si>
  <si>
    <t>11805</t>
  </si>
  <si>
    <t>AGROPECUARIOS</t>
  </si>
  <si>
    <t>11815</t>
  </si>
  <si>
    <t>SERVICIOS DE ESPARCIMIENTO</t>
  </si>
  <si>
    <t>11818</t>
  </si>
  <si>
    <t>VIALIDAD</t>
  </si>
  <si>
    <t>11899</t>
  </si>
  <si>
    <t>IMPUESTOS MUNICIPALES DIVERSOS</t>
  </si>
  <si>
    <t>12105</t>
  </si>
  <si>
    <t>12106</t>
  </si>
  <si>
    <t>12108</t>
  </si>
  <si>
    <t xml:space="preserve"> ALUMBRADO PUBLICO</t>
  </si>
  <si>
    <t>12109</t>
  </si>
  <si>
    <t>ASEO PUBLICO</t>
  </si>
  <si>
    <t>CASETAS TELEFONICAS</t>
  </si>
  <si>
    <t>12111</t>
  </si>
  <si>
    <t>CEMENTERIOS MUNICIPALES</t>
  </si>
  <si>
    <t>12112</t>
  </si>
  <si>
    <t>DESECHOS</t>
  </si>
  <si>
    <t>12113</t>
  </si>
  <si>
    <t>ESTACIONAMIENTOS Y PARQUIMETROS</t>
  </si>
  <si>
    <t>12114</t>
  </si>
  <si>
    <t>FIESTAS</t>
  </si>
  <si>
    <t>12115</t>
  </si>
  <si>
    <t>MERCADOS</t>
  </si>
  <si>
    <t>12117</t>
  </si>
  <si>
    <t>PAVIMENTACION</t>
  </si>
  <si>
    <t>12118</t>
  </si>
  <si>
    <t>POSTES, TORRES Y ANTENAS</t>
  </si>
  <si>
    <t>12123</t>
  </si>
  <si>
    <t>BAÑOS Y LAVADEROS PUBLICOS</t>
  </si>
  <si>
    <t>12199</t>
  </si>
  <si>
    <t>TASAS DIVERSAS</t>
  </si>
  <si>
    <t>12210</t>
  </si>
  <si>
    <t>PERMISOS Y LICENCIAS MUNICIPALES</t>
  </si>
  <si>
    <t>15301</t>
  </si>
  <si>
    <t>MULTAS POR MORA DE IMPUESTOS</t>
  </si>
  <si>
    <t>15302</t>
  </si>
  <si>
    <t>INTERESES POR MORA DE IMPUESTOS</t>
  </si>
  <si>
    <t>MULTA POR ACERA SIN CONSTRUIR</t>
  </si>
  <si>
    <t>15312</t>
  </si>
  <si>
    <t>MULTAS POR REGISTRO CIVIL</t>
  </si>
  <si>
    <t>15399</t>
  </si>
  <si>
    <t>MULTAS E INTERESES DIVERSOS</t>
  </si>
  <si>
    <t>15799</t>
  </si>
  <si>
    <t>INGRESOS DIVERSOS</t>
  </si>
  <si>
    <t>SALDOS DE AÑOS ANTERIORES</t>
  </si>
  <si>
    <t>REMUNERACIONES</t>
  </si>
  <si>
    <t>GASTOS FINANCIEROS Y OTROS</t>
  </si>
  <si>
    <t>TRANSFERENCIAS CORRIENTES</t>
  </si>
  <si>
    <t>INVERSIONES EN ACTIVOS FIJOS</t>
  </si>
  <si>
    <t>TOTAL</t>
  </si>
  <si>
    <t>DE EMPRESAS PRIVADAS FINANCIERAS</t>
  </si>
  <si>
    <t>AREA DE GESTION 01  CONDUCCION ADMINISTRATIVA</t>
  </si>
  <si>
    <t>AREA DE GESTION 03 DESARROLLO SOCIAL</t>
  </si>
  <si>
    <t>ALCALDIA MUNICIPAL DE SAN MARTIN</t>
  </si>
  <si>
    <t>BIENES DE USO Y CONSUMO</t>
  </si>
  <si>
    <t>SERVICIOS BASICOS</t>
  </si>
  <si>
    <t>SERVICIOS GENERALES Y ARRENDAMIENTOS</t>
  </si>
  <si>
    <t>PASAJES Y VIATICOS</t>
  </si>
  <si>
    <t xml:space="preserve">TRATAMIENTO DE DESECHOS SÓLIDOS </t>
  </si>
  <si>
    <t>OTROS GASTOS NO CLASIFICADOS</t>
  </si>
  <si>
    <t>BIENES MUEBLES</t>
  </si>
  <si>
    <t>INFRAESTRUCTURAS</t>
  </si>
  <si>
    <t>CONCEJO MUNICIPAL</t>
  </si>
  <si>
    <t>AUDITORIA INTERNA</t>
  </si>
  <si>
    <t>CAM</t>
  </si>
  <si>
    <t>PRODUCTOS DE PAPEL Y CARTON</t>
  </si>
  <si>
    <t>VEHICULOS DE TRANSPORTE</t>
  </si>
  <si>
    <t>VIATICOS POR COMISION EXTERNA</t>
  </si>
  <si>
    <t>COMISIONES Y GASTOS BANCARIOS</t>
  </si>
  <si>
    <t>BIENES MUEBLES DIVERSOS</t>
  </si>
  <si>
    <t>ESPECIES MUNICIPALES DIVERSAS</t>
  </si>
  <si>
    <t>COMISIONES Y DESCUENTOS SOBRE VENTAS</t>
  </si>
  <si>
    <t>ALUMBRADO PUBLICO</t>
  </si>
  <si>
    <t>FF1</t>
  </si>
  <si>
    <t>FF2</t>
  </si>
  <si>
    <t>REMUNERACIONES PERMANENTES</t>
  </si>
  <si>
    <t xml:space="preserve">BIENES DE USO Y CONSUMO </t>
  </si>
  <si>
    <t>PASAJES AL INTERIOR</t>
  </si>
  <si>
    <t>MOBILIARIO</t>
  </si>
  <si>
    <t>PRODUCTOS FARMACEUTICOS  Y MEDICINALES</t>
  </si>
  <si>
    <t>LLANTAS Y NEUMATICOS</t>
  </si>
  <si>
    <t>COMBUSTIBLES Y LUBRICANTES</t>
  </si>
  <si>
    <t>MATERIALES E INSTRUMENTAL DE LABORATORIO Y USO MEDICO</t>
  </si>
  <si>
    <t>CONTRIBUCIONES PATRONALES A INS. SEG. SOC.PUB.</t>
  </si>
  <si>
    <t>CONTRIBUCIONES PATRONALES A INS. SEG. SOC.PRIV.</t>
  </si>
  <si>
    <t>PRESUPUETO</t>
  </si>
  <si>
    <t>SALARIOS POR  JORNAL</t>
  </si>
  <si>
    <t>SERVICIOS GENERALES Y ARRENDAMIENTOS DIVERSOS</t>
  </si>
  <si>
    <t>CONSULTORIA, ESTUDIOS E INVESTIGACIONES</t>
  </si>
  <si>
    <t xml:space="preserve">LIBROS, TEXTOS, UTILES DE ENSEÑANZAS Y PUBLICACIONES </t>
  </si>
  <si>
    <t>ESTUDIOS DE PREINVERSION</t>
  </si>
  <si>
    <t>PROYECTOS Y PROGRAMAS DE INV. DIVERSOS</t>
  </si>
  <si>
    <t>MANTENIMIENTO Y REPARACION DE BIENES MUEBLES</t>
  </si>
  <si>
    <t>AREA DE GESTION 05 DEUDA PUBLICA</t>
  </si>
  <si>
    <t>INTERES Y COMISIONES DE EMPRESTITOS INTERNOS</t>
  </si>
  <si>
    <t>AMORTIZACION DE EMPRESTITOS INTERNOS</t>
  </si>
  <si>
    <t>MINERALES NO METALICOS Y PRODUCTOS DERIVADOS</t>
  </si>
  <si>
    <t>VALOR INGRESADO</t>
  </si>
  <si>
    <t>No.</t>
  </si>
  <si>
    <t>DESPAHO MUNICIPAL</t>
  </si>
  <si>
    <t>INVERSION</t>
  </si>
  <si>
    <t>LIBROS, TEXTOS Y UTILES DE ENSEÑANZAS Y PUBLICACIONES</t>
  </si>
  <si>
    <t>INDEMNIZACIONES AL PERSONAL PERMANENTE</t>
  </si>
  <si>
    <t>PRODUCTOS FARMACEUTICOS Y MEDICINALES</t>
  </si>
  <si>
    <t>SERVICIO DE LA DEUDA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</si>
  <si>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</si>
  <si>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</si>
  <si>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</si>
  <si>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</si>
  <si>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</si>
  <si>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</si>
  <si>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</si>
  <si>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</si>
  <si>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</si>
  <si>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CONSOLIDADO TOTAL POR UNIDADES</t>
  </si>
  <si>
    <t>TRANSFERENCIAS CORRIENTES AL SECTOR PRIVADO</t>
  </si>
  <si>
    <t>SEGUROS COMISIONES Y GASTOS BANCARIOS</t>
  </si>
  <si>
    <t>MANTENIMIENTO Y REPARACION DE BIENES INMUEBLES</t>
  </si>
  <si>
    <t>PASAJES AL EXTERIOR</t>
  </si>
  <si>
    <t>INTANGIBLES</t>
  </si>
  <si>
    <t>MATERIALES DE DEFENSA Y SEGURIDAD PUBLICA</t>
  </si>
  <si>
    <t>SERVICIOS DE ENERGIA ELECTRICA</t>
  </si>
  <si>
    <t xml:space="preserve">MOBILIARIO </t>
  </si>
  <si>
    <t>ARRENDAMIENTO DE BIENES INMUEBLES</t>
  </si>
  <si>
    <t>SEGUROS, COMISIONES Y GASTOS BANCARIOS</t>
  </si>
  <si>
    <t>PRIMAS Y GASTOS DE SEGUROS DE PERSONAS</t>
  </si>
  <si>
    <t>GASTOS DIVERSOS</t>
  </si>
  <si>
    <t>BECAS</t>
  </si>
  <si>
    <t xml:space="preserve">CONSULTORIAS, ESTUDIOS E INVESTIGACIONES </t>
  </si>
  <si>
    <t>MATERIAL DE LABORATORIO E INSTRUMENTAL MEDICO</t>
  </si>
  <si>
    <t>DEPARTAMENTO  DE SAN SALVADOR</t>
  </si>
  <si>
    <t>CODIGO</t>
  </si>
  <si>
    <t>INGRESOS 2006</t>
  </si>
  <si>
    <t>INGRESOS 2007</t>
  </si>
  <si>
    <t>INGRESOS 2008</t>
  </si>
  <si>
    <t>ESTIMACION DE INGRESO PROMEDIO MENSUAL</t>
  </si>
  <si>
    <t>VALOR ESTIMADO PARA LOS ULTIMOS 4 MESES</t>
  </si>
  <si>
    <t>INGRESO TOTAL PARA 2008 PROYECTADO</t>
  </si>
  <si>
    <t>INGRESO PROMEDIO DE LOS 3 AÑOS</t>
  </si>
  <si>
    <t>MORA DISTRITO ALTA VISTA</t>
  </si>
  <si>
    <t>MORA CUENTAS CORRIENTES</t>
  </si>
  <si>
    <t>TOTAL DE INGRESOS</t>
  </si>
  <si>
    <t>INGRESOS CORRIENTES</t>
  </si>
  <si>
    <t>IMPUESTOS</t>
  </si>
  <si>
    <t>INGRESOS PERCIBIDOS DEL AÑO ANTERIOR</t>
  </si>
  <si>
    <t>TASAS Y DERECHOS</t>
  </si>
  <si>
    <t>TASAS</t>
  </si>
  <si>
    <t>POR SERVICIOS DE CERTIFICACION O VISADO DE DOCUMENTOS</t>
  </si>
  <si>
    <t>POR EXPEDICION DE DOCUMENTOS DE IDENTIFICACION</t>
  </si>
  <si>
    <t>DERECHOS</t>
  </si>
  <si>
    <t>12211</t>
  </si>
  <si>
    <t>COTEJO DE FIEROS</t>
  </si>
  <si>
    <t>INGRESOS FINANCIEROS Y OTROS</t>
  </si>
  <si>
    <t>MULTAS E INTERESES POR MORA</t>
  </si>
  <si>
    <t>15305</t>
  </si>
  <si>
    <t>INTERESES POR MORA EN AMORTIZACION DE PRESTAMOS</t>
  </si>
  <si>
    <t>15313</t>
  </si>
  <si>
    <t>MULTAS AL COMERCIO</t>
  </si>
  <si>
    <t>15314</t>
  </si>
  <si>
    <t>OTRAS MULTAS MUNICIPALES</t>
  </si>
  <si>
    <t>ARRENDAMIENTO DE BIENES</t>
  </si>
  <si>
    <t>15401</t>
  </si>
  <si>
    <t>ARRENDAMIENTOS DE BIENES MUEBLES</t>
  </si>
  <si>
    <t>15402</t>
  </si>
  <si>
    <t>ARRENDAMIENTOS DE BIENES INMUEBLES</t>
  </si>
  <si>
    <t>OTROS INGRESOS NO CALIFICADOS</t>
  </si>
  <si>
    <t>FINANCIAMIENTO</t>
  </si>
  <si>
    <t>SALDOS INICIALES DE CAJA Y BANCOS</t>
  </si>
  <si>
    <t>SALDO INICIAL EN CAJA</t>
  </si>
  <si>
    <t>SALDOS INICIAL EN BANCOS</t>
  </si>
  <si>
    <t>TOTAL FONDOS PROPIOS</t>
  </si>
  <si>
    <t>FONDOS FODES</t>
  </si>
  <si>
    <t>TRANSFERENCIAS CORRIENTES DEL SECTOR PUBLICO</t>
  </si>
  <si>
    <t>TRANSFERENCIAS CORRIENTES ( 25%)</t>
  </si>
  <si>
    <t>TRANSFERENCIAS CORRIENTES DEL SECTOR PRIVADO</t>
  </si>
  <si>
    <t xml:space="preserve">TRANSFERENCIAS DE CAPITAL   </t>
  </si>
  <si>
    <t>TRANSFERENCIAS DE CAPITAL DEL SECTOR PUBLICO</t>
  </si>
  <si>
    <t>TRANSFERENCIAS DE CAPITAL DEL SECTOR PRIVADO</t>
  </si>
  <si>
    <t>ENDEUDAMIENTO PUBLICO</t>
  </si>
  <si>
    <t>CONTRATACION DE EMPRESTITOS INTERNOS</t>
  </si>
  <si>
    <t>EMPRESTITOS INTERNOS</t>
  </si>
  <si>
    <t>TOTALES</t>
  </si>
  <si>
    <t>TRANSPORTES FLETES Y ALMACENAMIENTOS</t>
  </si>
  <si>
    <t>IMPRESIONES PUBLICACIONES Y REPRODUCCIONES</t>
  </si>
  <si>
    <t>OBRAS DE INFRAESTRUCTURA</t>
  </si>
  <si>
    <t>OBRAS DE SALUD Y SANEAMIENTO AMBIENTAL</t>
  </si>
  <si>
    <t>DEPARTAMENTO DE SAN SALVADOR</t>
  </si>
  <si>
    <t xml:space="preserve"> </t>
  </si>
  <si>
    <t>ADQUISICIÓN DE BIENES Y SERVICIOS</t>
  </si>
  <si>
    <t>INVERSIÓN EN PROYECTOS</t>
  </si>
  <si>
    <t>AMORTIZACIÓN DE EMPRESTITOS</t>
  </si>
  <si>
    <t xml:space="preserve">TRANSFERENCIAS DE CAPITAL FODES 75% </t>
  </si>
  <si>
    <t xml:space="preserve">TRANSFERENCIAS CORRIENTES FODES 25% </t>
  </si>
  <si>
    <t>TOTAL DE INGRESOS PRESUPUESTADOS</t>
  </si>
  <si>
    <t xml:space="preserve">ALCALDIA MUNICIPAL DE SAN MARTIN </t>
  </si>
  <si>
    <t>TRANSFERENCIAS CORRIENTES (25%)</t>
  </si>
  <si>
    <t>TRANSFERENCIAS DE CAPITAL  (75%)</t>
  </si>
  <si>
    <t xml:space="preserve">INTERESES Y COMISIONES </t>
  </si>
  <si>
    <t>TRANSFERENCIAS CORRIENTES SECTOR PRIVADO</t>
  </si>
  <si>
    <t>AMORTIZACION DE EMPRESTITOS</t>
  </si>
  <si>
    <t>MULTAS E INTERESES</t>
  </si>
  <si>
    <t>OTROS INGRESOS NO CLASIFICADOS</t>
  </si>
  <si>
    <t>MONTO</t>
  </si>
  <si>
    <t>INGRESOS</t>
  </si>
  <si>
    <t>TOTAL EGRESOS</t>
  </si>
  <si>
    <t xml:space="preserve">TOTAL DE INGRESOS </t>
  </si>
  <si>
    <t>CONSOLIDADO POR CUENTA PRESUPUESTARIA</t>
  </si>
  <si>
    <t>CONSOLIDADO POR RUBROS PRESUPUESTARIOS</t>
  </si>
  <si>
    <t>II - PRESUPUESTO DE EGRESOS</t>
  </si>
  <si>
    <t xml:space="preserve"> EGRESOS</t>
  </si>
  <si>
    <t>TOTAL DE EGRESOS PRESUPUESTADOS</t>
  </si>
  <si>
    <t xml:space="preserve"> INGRESOS</t>
  </si>
  <si>
    <t>CONCEJO MUNICIPAL  LINEA DE TRABAJO 01 Y  02</t>
  </si>
  <si>
    <t>ALCALDE MUNICIPAL LINEA DE TRABAJO 04</t>
  </si>
  <si>
    <t>SINDICATURA  MUNICIPAL LINEA DE TRABAJO 14</t>
  </si>
  <si>
    <t>UNIDAD JURIDICA LINEA DE TRABAJO 24</t>
  </si>
  <si>
    <t xml:space="preserve"> DISTRITO ALTAVISTA  LINEA DE TRABAJO 64</t>
  </si>
  <si>
    <t>SERVICIO DE LA DEUDA  LINEA DE TRABAJO 66</t>
  </si>
  <si>
    <t>PROYECTOS  Y PROGRAMAS DE INV. DIVERSOS</t>
  </si>
  <si>
    <t>EJECUCION</t>
  </si>
  <si>
    <t>ENERO</t>
  </si>
  <si>
    <t>VIALES</t>
  </si>
  <si>
    <t>SUPERVISION DE INFRAESTRUCTURA</t>
  </si>
  <si>
    <t>SALUD SANEAMIENTO AMBIENTAL</t>
  </si>
  <si>
    <t>FEBRERO</t>
  </si>
  <si>
    <t>MARZO</t>
  </si>
  <si>
    <t>ABRIL</t>
  </si>
  <si>
    <t>MAYO</t>
  </si>
  <si>
    <t>DESARROLLOS INFORMATICOS</t>
  </si>
  <si>
    <t>OK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</si>
  <si>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</si>
  <si>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</si>
  <si>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</si>
  <si>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</si>
  <si>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</si>
  <si>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</si>
  <si>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</si>
  <si>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</si>
  <si>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</si>
  <si>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</si>
  <si>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</si>
  <si>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</si>
  <si>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</si>
  <si>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</si>
  <si>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</si>
  <si>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</si>
  <si>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</si>
  <si>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GASTOS DE REPRESENTACION</t>
  </si>
  <si>
    <t xml:space="preserve">GASTOS DE REPRESENTACION </t>
  </si>
  <si>
    <t>POR REPRESENTACION EN EL PAIS</t>
  </si>
  <si>
    <t>DÓLARES</t>
  </si>
  <si>
    <t>AREA DE GESTION 01 CONDUCCION ADMINISTRATIVA</t>
  </si>
  <si>
    <t xml:space="preserve">BIENES DE USO Y CONSUMO DIVERSOS </t>
  </si>
  <si>
    <t>10</t>
  </si>
  <si>
    <t>11</t>
  </si>
  <si>
    <t>29</t>
  </si>
  <si>
    <t>30</t>
  </si>
  <si>
    <t>IMPUESTOS, TASAS Y DERECHOS</t>
  </si>
  <si>
    <t xml:space="preserve">DERECHOS </t>
  </si>
  <si>
    <t>31</t>
  </si>
  <si>
    <t>EDUCACION Y SALUD</t>
  </si>
  <si>
    <t>DE EDUCACION Y RECREACION</t>
  </si>
  <si>
    <t>ELECTRICAS Y DE COMUNICACIONES</t>
  </si>
  <si>
    <t>INVERSION FISDL  LINEA DE TRABAJO 70</t>
  </si>
  <si>
    <t>HONORARIOS PROFESIONALES</t>
  </si>
  <si>
    <t>32</t>
  </si>
  <si>
    <t>INVERSION FISDL</t>
  </si>
  <si>
    <t xml:space="preserve">HONORARIOS </t>
  </si>
  <si>
    <t>HONORARIOS</t>
  </si>
  <si>
    <t xml:space="preserve">SALDOS EN CAJA Y BANCOS </t>
  </si>
  <si>
    <t>33</t>
  </si>
  <si>
    <t>34</t>
  </si>
  <si>
    <t>GERENCIA DE DESARROLLO SOCIAL</t>
  </si>
  <si>
    <t>DE VIVIENDA Y OFICINA</t>
  </si>
  <si>
    <t>DE INSTITUCIONES DESCENTRELALIZADAS</t>
  </si>
  <si>
    <t>UNIDAD DE COOPERACION</t>
  </si>
  <si>
    <t>EGRESOS</t>
  </si>
  <si>
    <t>DIFERENCIA</t>
  </si>
  <si>
    <t>TERRENOS</t>
  </si>
  <si>
    <t>DERECHO DE PROPIEDAD INTELECTUAL</t>
  </si>
  <si>
    <t>A PERSONAS NATURALES</t>
  </si>
  <si>
    <t>BIENES INMUEBLES</t>
  </si>
  <si>
    <t>SENTENCIAS JUDICIALES</t>
  </si>
  <si>
    <t>SERVICIO DE PUBLICIDAD</t>
  </si>
  <si>
    <t>12119</t>
  </si>
  <si>
    <t>RASTRO Y TIANGUE</t>
  </si>
  <si>
    <t>GERENCIA FINANCIERA</t>
  </si>
  <si>
    <t>35</t>
  </si>
  <si>
    <t>DESARROLLO ECONOMICO</t>
  </si>
  <si>
    <t>36</t>
  </si>
  <si>
    <t>PROYECTOS CON PRESTAMOS</t>
  </si>
  <si>
    <t>GERENCIA FINANCIERA LINEA DE TRABAJO 06</t>
  </si>
  <si>
    <t>CUENTAS POR COBRAR DE AÑOS ANTERIORES</t>
  </si>
  <si>
    <t>Egresos</t>
  </si>
  <si>
    <t>Saldo en bancos (disponibilidad)</t>
  </si>
  <si>
    <t>FODES</t>
  </si>
  <si>
    <t>EGRESO</t>
  </si>
  <si>
    <t>MES</t>
  </si>
  <si>
    <t>COMUNICACIONES Y RELACIONES PUBLICAS</t>
  </si>
  <si>
    <t>ADQUISICIONES Y CONTRATACIONES INSTITUCIONALES</t>
  </si>
  <si>
    <t>CUENTAS POR PAGAR DE AÑOS ANTERIORES</t>
  </si>
  <si>
    <t>CUENTAS POR PAGAR AÑOS ANTERIORES</t>
  </si>
  <si>
    <t>GERENCIA DE SERVICIOS</t>
  </si>
  <si>
    <t>SINDICATURA MUNICIPAL</t>
  </si>
  <si>
    <t>AUDITORIA  INTERNA LINEA DE TRABAJO 22</t>
  </si>
  <si>
    <t>DEPARTAMENTO DE CATASTRO TRIBUTARIO LINEA DE TRABAJO 32</t>
  </si>
  <si>
    <t>CUERPO DE AGENTES METROPOLITANOS  LINEA DE TRABAJO 42</t>
  </si>
  <si>
    <t>DEPARTAMENTO COMUNICACIONES Y RELACIONES PUBLICAS  LINEA DE TRABAJO 50</t>
  </si>
  <si>
    <t>PROYECTOS LINEA DE TRABAJO 65</t>
  </si>
  <si>
    <t>SECRETARIA  MUNICIPAL LINEA DE TRABAJO 12</t>
  </si>
  <si>
    <t>REFORMA</t>
  </si>
  <si>
    <t>COD</t>
  </si>
  <si>
    <t>SALDO</t>
  </si>
  <si>
    <t>SECRETARIA MUNICIPAL</t>
  </si>
  <si>
    <t>DEPARTAMENTO DE CONTABILIDAD</t>
  </si>
  <si>
    <t>DEPARTAMENTO DE CUENTAS CORRIENTES</t>
  </si>
  <si>
    <t>UNIDAD JURIDICA</t>
  </si>
  <si>
    <t>DISTRITO ALTAVISTA</t>
  </si>
  <si>
    <t>FF1 25%</t>
  </si>
  <si>
    <t>MULTA POR DECLARACION EXTEMPORNEA</t>
  </si>
  <si>
    <t>RENTABILIDAD CUENTA BANCARIA</t>
  </si>
  <si>
    <t>x</t>
  </si>
  <si>
    <t xml:space="preserve">MATERIALES DE OFICINA </t>
  </si>
  <si>
    <t>VEHICULOS DE TRANSPORTES</t>
  </si>
  <si>
    <t xml:space="preserve">SERVICIOS DE ALIMENTACION </t>
  </si>
  <si>
    <t>TRANSFERENCIAS A ORGANISMOS SIN FINES DE LUCRO</t>
  </si>
  <si>
    <t>TRANSFERENCIAS A PERSONAS NATURALES</t>
  </si>
  <si>
    <t>2s</t>
  </si>
  <si>
    <t>4s</t>
  </si>
  <si>
    <t>6s</t>
  </si>
  <si>
    <t>10s</t>
  </si>
  <si>
    <t>12s</t>
  </si>
  <si>
    <t>14s</t>
  </si>
  <si>
    <t>22s</t>
  </si>
  <si>
    <t>24s</t>
  </si>
  <si>
    <t>26s</t>
  </si>
  <si>
    <t>34s</t>
  </si>
  <si>
    <t>36s</t>
  </si>
  <si>
    <t>38s</t>
  </si>
  <si>
    <t>40s</t>
  </si>
  <si>
    <t>42s</t>
  </si>
  <si>
    <t>44s</t>
  </si>
  <si>
    <t>50s</t>
  </si>
  <si>
    <t>54s</t>
  </si>
  <si>
    <t>56s</t>
  </si>
  <si>
    <t>64s</t>
  </si>
  <si>
    <t>46s</t>
  </si>
  <si>
    <t>65s</t>
  </si>
  <si>
    <t>70s</t>
  </si>
  <si>
    <t>66s</t>
  </si>
  <si>
    <t>8s</t>
  </si>
  <si>
    <t>28s</t>
  </si>
  <si>
    <t>60s</t>
  </si>
  <si>
    <t>TRATAMIENTO DE DESECHOS SOLIDOS</t>
  </si>
  <si>
    <t>FF112</t>
  </si>
  <si>
    <t>FF110 25%</t>
  </si>
  <si>
    <t>4a</t>
  </si>
  <si>
    <t>4as</t>
  </si>
  <si>
    <t>4b</t>
  </si>
  <si>
    <t>4bs</t>
  </si>
  <si>
    <t>PRODUTOS DE PAPEL Y CARTON</t>
  </si>
  <si>
    <t>GERENCIA GENERAL</t>
  </si>
  <si>
    <t>37</t>
  </si>
  <si>
    <t>Codigo</t>
  </si>
  <si>
    <t>Departamentos</t>
  </si>
  <si>
    <t>GERENCIA GENERAL LINEA DE TRABAJO 48</t>
  </si>
  <si>
    <t>48S</t>
  </si>
  <si>
    <t>MATERIALES METALICOS Y PRODUCTOS DERIVADOS</t>
  </si>
  <si>
    <t>TRANSPORTE FLETES Y ALMACENAMIENTO</t>
  </si>
  <si>
    <t xml:space="preserve"> A PERSONAS NATURALES</t>
  </si>
  <si>
    <t>HERRAMIENTAS, REPUESTOS PRINCIPALES</t>
  </si>
  <si>
    <t>SERVICIO JURIDICOS</t>
  </si>
  <si>
    <t>IMPRESIONES Y PUBLICACIONES</t>
  </si>
  <si>
    <t>UNIDAD DE GESTION DE RIESGO Y PROTECCION CIVIL LINEA DE TRABAJO 4B</t>
  </si>
  <si>
    <t>MANTENIMIENTO Y REPARACION DE VEHICULOS</t>
  </si>
  <si>
    <t>4d</t>
  </si>
  <si>
    <t>4c</t>
  </si>
  <si>
    <t>58a</t>
  </si>
  <si>
    <t>UNIDAD MUNICIPAL DE LA NIÑEZ, ADOLESCENCIA Y JUVENTUD LINEA DE TRABAJO 62</t>
  </si>
  <si>
    <t>58b</t>
  </si>
  <si>
    <t>UNIDAD MUNICIPAL DE DEPORTES LINEA DE TRABAJO 58B</t>
  </si>
  <si>
    <t>60a</t>
  </si>
  <si>
    <t>60b</t>
  </si>
  <si>
    <t>60c</t>
  </si>
  <si>
    <t>48a</t>
  </si>
  <si>
    <t>48b</t>
  </si>
  <si>
    <t>48bs</t>
  </si>
  <si>
    <t>48as</t>
  </si>
  <si>
    <t>HERRAMIENTAS REPUESTOS Y ACCESORIOS</t>
  </si>
  <si>
    <t>VIATICOS POR COMISION INTERNA</t>
  </si>
  <si>
    <t>MULTAS Y COSTAS JUDICIALES</t>
  </si>
  <si>
    <t>SERVICIOS DE CONTABILIDAD Y AUDITORIA</t>
  </si>
  <si>
    <t>SUELDOS POR REMUNERACIONES EVENTUALES</t>
  </si>
  <si>
    <t>PARTICIPACION CIUDADANA</t>
  </si>
  <si>
    <t>44S</t>
  </si>
  <si>
    <t>2S</t>
  </si>
  <si>
    <t>4S</t>
  </si>
  <si>
    <t>6S</t>
  </si>
  <si>
    <t>10S</t>
  </si>
  <si>
    <t>12S</t>
  </si>
  <si>
    <t>14S</t>
  </si>
  <si>
    <t>18S</t>
  </si>
  <si>
    <t>20S</t>
  </si>
  <si>
    <t>22S</t>
  </si>
  <si>
    <t>24S</t>
  </si>
  <si>
    <t>26S</t>
  </si>
  <si>
    <t>30S</t>
  </si>
  <si>
    <t>34S</t>
  </si>
  <si>
    <t>36S</t>
  </si>
  <si>
    <t>38S</t>
  </si>
  <si>
    <t>40S</t>
  </si>
  <si>
    <t>42S</t>
  </si>
  <si>
    <t>50S</t>
  </si>
  <si>
    <t>54S</t>
  </si>
  <si>
    <t>56S</t>
  </si>
  <si>
    <t>58S</t>
  </si>
  <si>
    <t>60S</t>
  </si>
  <si>
    <t>62S</t>
  </si>
  <si>
    <t>64S</t>
  </si>
  <si>
    <t>46S</t>
  </si>
  <si>
    <t>65S</t>
  </si>
  <si>
    <t>66S</t>
  </si>
  <si>
    <t>70S</t>
  </si>
  <si>
    <t>8S</t>
  </si>
  <si>
    <t>28S</t>
  </si>
  <si>
    <t>4cs</t>
  </si>
  <si>
    <t>4ds</t>
  </si>
  <si>
    <t>38</t>
  </si>
  <si>
    <t>48BS</t>
  </si>
  <si>
    <t>48AS</t>
  </si>
  <si>
    <t>TRANSPORTE, FLETES Y ALMACENAMIENTO</t>
  </si>
  <si>
    <t>72S</t>
  </si>
  <si>
    <t>DESPACHO MUNICIPAL LINEA DE TRABAJO 04</t>
  </si>
  <si>
    <t>PRESUPUESTO EXTRA CONTABLE</t>
  </si>
  <si>
    <t>FF111 75%</t>
  </si>
  <si>
    <t>ANTEPROYECTO DE PRESUPUESTO EXTRA CONTABLE</t>
  </si>
  <si>
    <t>GERENCIA DE DESARROLLO HUMANO Y COHESION SOCIAL LINEA DE TRABAJO 08</t>
  </si>
  <si>
    <t xml:space="preserve">SERVICIO DE ALIMENTACION </t>
  </si>
  <si>
    <t xml:space="preserve">EQUIPOS INFORMATICOS </t>
  </si>
  <si>
    <t xml:space="preserve">ATENCIONES OFICIALES </t>
  </si>
  <si>
    <t xml:space="preserve">SERVICIOS JURIDICOS </t>
  </si>
  <si>
    <t xml:space="preserve">PRODUCTOS QUIMICOS </t>
  </si>
  <si>
    <t xml:space="preserve">LLANTAS Y NEUMATICOS </t>
  </si>
  <si>
    <t xml:space="preserve">COMBUSTIBLE Y LUBRICANTE </t>
  </si>
  <si>
    <t xml:space="preserve">HERRAMIENTAS, REPUESTOS Y ACCESORIOS </t>
  </si>
  <si>
    <t xml:space="preserve">MANTENIMIENTO Y REPARACION DE VEHICULOS </t>
  </si>
  <si>
    <t xml:space="preserve">BIENES MUEBLES DIVERSOS </t>
  </si>
  <si>
    <t xml:space="preserve">SERVICIOS DE CAPACITACION </t>
  </si>
  <si>
    <t xml:space="preserve">DESARROLLOS INFORMATICOS </t>
  </si>
  <si>
    <t xml:space="preserve">SERVICIOS DE PUBLICIDAD </t>
  </si>
  <si>
    <t xml:space="preserve">PRODUCTOS ALIMENTICIOS PARA PERSONAS </t>
  </si>
  <si>
    <t xml:space="preserve">PRODUCTOS TEXTILES Y VESTUARIOS </t>
  </si>
  <si>
    <t xml:space="preserve">PRESUPUESTO EXTRA CONTABLE </t>
  </si>
  <si>
    <t xml:space="preserve">COMBUSTIBLES Y LUBRICANTES </t>
  </si>
  <si>
    <t xml:space="preserve">PASAJES AL EXTERIOR </t>
  </si>
  <si>
    <t xml:space="preserve">ESPECIES MUNICIPALES </t>
  </si>
  <si>
    <t xml:space="preserve">SERVICIOS DE TELECOMUNICACIONES </t>
  </si>
  <si>
    <t xml:space="preserve">SERVICIOS DE ENERGIA ELECTRICA </t>
  </si>
  <si>
    <t xml:space="preserve">PRODUCTOS FARMACEUTICOS Y MEDICINALES </t>
  </si>
  <si>
    <t xml:space="preserve">COMBUSTIBLE Y LUBRICANTES </t>
  </si>
  <si>
    <t xml:space="preserve">SERVICIOS GENERALES Y ARRENDAMIENTOS DIVERSOS </t>
  </si>
  <si>
    <t>CONSULTORÍAS, ESTUDIOS E INVESTIGACIONES DIVERSAS</t>
  </si>
  <si>
    <t xml:space="preserve">MATERIALES INFORMATICOS </t>
  </si>
  <si>
    <t xml:space="preserve">MANTENIMIENTO Y REPARACION DE BIENES INMUEBLES </t>
  </si>
  <si>
    <t xml:space="preserve">MATERIALES ELECTRICOS </t>
  </si>
  <si>
    <t>24a</t>
  </si>
  <si>
    <t>X</t>
  </si>
  <si>
    <t>FISDL</t>
  </si>
  <si>
    <t>FC</t>
  </si>
  <si>
    <t>54110</t>
  </si>
  <si>
    <t>54118</t>
  </si>
  <si>
    <t>SERVICOS DE AGUA</t>
  </si>
  <si>
    <t>SERVICOS DE TELECOMUNICACIONES</t>
  </si>
  <si>
    <t xml:space="preserve">SERVICIOS DE ALUMBRADO PUBLICO </t>
  </si>
  <si>
    <t>TRANSPORTES ,FLETES Y ALMACENAMIENTOS</t>
  </si>
  <si>
    <t>SERVICICIOS DE PUBLICIDAD</t>
  </si>
  <si>
    <t>54399</t>
  </si>
  <si>
    <t>DEPOSITOS DE DESECHOS</t>
  </si>
  <si>
    <t xml:space="preserve">VEHICULOS DE TRANSPORTES </t>
  </si>
  <si>
    <t xml:space="preserve">HERRAMIENTAS Y REPUESTOS PRINCIPALES </t>
  </si>
  <si>
    <t>54112</t>
  </si>
  <si>
    <t xml:space="preserve">HONORARIOS PROFESIONALES </t>
  </si>
  <si>
    <t xml:space="preserve">MANTENIMIENTO Y REPARACIONES DE BIENES MUEBLES </t>
  </si>
  <si>
    <t>MINERALE METALICOS Y PRODUCTOS DERIVADOS</t>
  </si>
  <si>
    <t>51107</t>
  </si>
  <si>
    <t>54507</t>
  </si>
  <si>
    <t>54301</t>
  </si>
  <si>
    <t>SERVICIOS GENERALES Y ARENDAMIENTOS DIVERSOS</t>
  </si>
  <si>
    <t>HERRAMIENTAS REPUESTOS PRINCIPALES</t>
  </si>
  <si>
    <t>SERVICIOS DE CORREOS</t>
  </si>
  <si>
    <t>SERVICIOS DE ALIMENTACION</t>
  </si>
  <si>
    <t>UNIDAD DE NIÑEZ, ADOLESCENCIA Y JUVENTUD</t>
  </si>
  <si>
    <t>CENTRO DE DESARROLLO INFANTIL LINEA DE TRABAJO 08</t>
  </si>
  <si>
    <t>UNIDAD DE LA MUJER</t>
  </si>
  <si>
    <t>39</t>
  </si>
  <si>
    <t>DEPARTAMENTO DE PRESUPUESTOS</t>
  </si>
  <si>
    <t>40</t>
  </si>
  <si>
    <t>16AS</t>
  </si>
  <si>
    <t>16BS</t>
  </si>
  <si>
    <t>32BS</t>
  </si>
  <si>
    <t>32AS</t>
  </si>
  <si>
    <t>16a</t>
  </si>
  <si>
    <t>16as</t>
  </si>
  <si>
    <t>18s</t>
  </si>
  <si>
    <t>20s</t>
  </si>
  <si>
    <t>30s</t>
  </si>
  <si>
    <t>24as</t>
  </si>
  <si>
    <t>32s</t>
  </si>
  <si>
    <t>32a</t>
  </si>
  <si>
    <t>32as</t>
  </si>
  <si>
    <t>16s</t>
  </si>
  <si>
    <t>IMPRESIONES, PUBLICACIONES E IMPRESOS</t>
  </si>
  <si>
    <t xml:space="preserve"> PRESUPUESTO AÑO 2021</t>
  </si>
  <si>
    <t>54111</t>
  </si>
  <si>
    <t>54107</t>
  </si>
  <si>
    <t>PARQUES Y CENTROS RECREATIVOS</t>
  </si>
  <si>
    <t>CLINICA MUNICIPAL</t>
  </si>
  <si>
    <t xml:space="preserve">COMUNICACIONES </t>
  </si>
  <si>
    <t>PARQUES Y CENTROS RECREATIVOS LINEA DE TRABAJO 34</t>
  </si>
  <si>
    <t>MINERALE NO METALICOS Y PRODUCTOS DERIVADOS</t>
  </si>
  <si>
    <t xml:space="preserve">PRODUCTOS AGROPECUARIOS Y FORESTALES </t>
  </si>
  <si>
    <t>INICIO</t>
  </si>
  <si>
    <t>FINAL</t>
  </si>
  <si>
    <t xml:space="preserve">Diferencia </t>
  </si>
  <si>
    <t>Incremento</t>
  </si>
  <si>
    <t>Disminucion</t>
  </si>
  <si>
    <t>Aumento</t>
  </si>
  <si>
    <t>Disminución</t>
  </si>
  <si>
    <t xml:space="preserve">Incremento </t>
  </si>
  <si>
    <t>DEPARTAMENTO DE COMUNICACIONES  LINEA DE TRABAJO 50</t>
  </si>
  <si>
    <t>FODES 75%</t>
  </si>
  <si>
    <t>FODES 25%</t>
  </si>
  <si>
    <t>FDO. COMUN</t>
  </si>
  <si>
    <t>SUMA TOTAL</t>
  </si>
  <si>
    <t>FODES 2%</t>
  </si>
  <si>
    <t>TRANSFERENCIAS DE CAPITAL (75% Y 2% INVERSIÓN)</t>
  </si>
  <si>
    <t>1% iva RETENIDO</t>
  </si>
  <si>
    <t>TOTAL A PAGAR</t>
  </si>
  <si>
    <t>FACTURADO</t>
  </si>
  <si>
    <t>IVA</t>
  </si>
  <si>
    <t>VENTA</t>
  </si>
  <si>
    <t>COMPRA</t>
  </si>
  <si>
    <t>Decracion de Renta</t>
  </si>
  <si>
    <t>iva debito</t>
  </si>
  <si>
    <t>iva credito</t>
  </si>
  <si>
    <t>venta</t>
  </si>
  <si>
    <t>compra</t>
  </si>
  <si>
    <t>Remante o Iva por Pagar</t>
  </si>
  <si>
    <t>Fondo Emergencia</t>
  </si>
  <si>
    <t>FE</t>
  </si>
  <si>
    <t>FEs</t>
  </si>
  <si>
    <t>FONDOS DE EMERGENCIA LINEA DE TRABAJO 35, 36 Y 37</t>
  </si>
  <si>
    <t>OBLIGACIONES Y TRANSFERENCIAS GENERALES DEL ESTADO</t>
  </si>
  <si>
    <t>FES</t>
  </si>
  <si>
    <t>FONDOS DE EMERGENCIA</t>
  </si>
  <si>
    <t>61403</t>
  </si>
  <si>
    <t>DESARROLLO INFORMATICO</t>
  </si>
  <si>
    <t>UNIDAD DE GESTIÓN DOCUMENTAL Y ARCHIVO -  LINEA DE TRABAJO 12</t>
  </si>
  <si>
    <t>PRESTAMOS</t>
  </si>
  <si>
    <t>DONACIONES</t>
  </si>
  <si>
    <t>Fondo Comun fisdl</t>
  </si>
  <si>
    <t>PRODUCTOS FARCEUTCCOS Y MEDICINALES</t>
  </si>
  <si>
    <t>MANT. Y REPARACION DE BENES INMUEBLES</t>
  </si>
  <si>
    <t>SERV. GENE. ARRENDAMIENTOS DIVERSOS</t>
  </si>
  <si>
    <t>PRODUCTOS AGROPECUARIOS Y FLORESTALES</t>
  </si>
  <si>
    <t>PRODUCTOS QUIMICOS.</t>
  </si>
  <si>
    <t>MATERIALES DE LABORATORIO Y USO MEDICO</t>
  </si>
  <si>
    <t>SERVICIOS MEDICOS</t>
  </si>
  <si>
    <t>RECOLECION DE DESECHOS</t>
  </si>
  <si>
    <t>58as</t>
  </si>
  <si>
    <t>58bs</t>
  </si>
  <si>
    <t>60as</t>
  </si>
  <si>
    <t>60bs</t>
  </si>
  <si>
    <t>62a</t>
  </si>
  <si>
    <t>62as</t>
  </si>
  <si>
    <t>62b</t>
  </si>
  <si>
    <t>62bs</t>
  </si>
  <si>
    <t>derechos y costas judiciales</t>
  </si>
  <si>
    <t>Obligaciones /cuentas por pagar</t>
  </si>
  <si>
    <t>lineas impares</t>
  </si>
  <si>
    <t>linea pares</t>
  </si>
  <si>
    <t>CUENTAS POR COBRAR FODES 2021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</si>
  <si>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</si>
  <si>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</si>
  <si>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</si>
  <si>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</si>
  <si>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</si>
  <si>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</si>
  <si>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</si>
  <si>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</si>
  <si>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</si>
  <si>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</si>
  <si>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</si>
  <si>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Asignacion 2021</t>
  </si>
  <si>
    <t>prestamos</t>
  </si>
  <si>
    <t>Especies municipales</t>
  </si>
  <si>
    <t>Cuentas por cobrar</t>
  </si>
  <si>
    <t>FODES LIBRE DISPONIBILIDAD</t>
  </si>
  <si>
    <t>DEPARTAMENTO DE DESARROLLO Y TALENTO HUMANO 48</t>
  </si>
  <si>
    <t>DEPARTAMENTO DE TECNOLOGIA E INNOVACION 52</t>
  </si>
  <si>
    <t>ADMINISTRACION DE CEMENTERIOS</t>
  </si>
  <si>
    <t>UNIDAD MUNICIPAL DE TURISMO</t>
  </si>
  <si>
    <t>DEPARTAMENTO DE MANTENIMIENTO DE INSTALACIONES MUNICIPALES</t>
  </si>
  <si>
    <t>DEPARTAMENTPO DE RECUPERACION DE ESPACIOS PUBLICOS</t>
  </si>
  <si>
    <t>UNIDAD  MUNICIPAL DE MANTENIMIENTO VIAL</t>
  </si>
  <si>
    <t>6a</t>
  </si>
  <si>
    <t>48d</t>
  </si>
  <si>
    <t>48e</t>
  </si>
  <si>
    <t>48f</t>
  </si>
  <si>
    <t>10b</t>
  </si>
  <si>
    <t>10c</t>
  </si>
  <si>
    <t>10d</t>
  </si>
  <si>
    <t>10e</t>
  </si>
  <si>
    <t>DEPARTAMENTO DE DESARROLLO Y TALENTO HUMANO</t>
  </si>
  <si>
    <t>DEPARTAMENTO DE TECNOLOGIA E INNOVACION</t>
  </si>
  <si>
    <t>UNIDAD MUNICIPAL DE MEDIO AMBIENTE</t>
  </si>
  <si>
    <t>UNIDAD MUNICIPAL DE PLANIFICACION</t>
  </si>
  <si>
    <t>UNIDAD MUNICIPAL DE FISCALIZACION</t>
  </si>
  <si>
    <t>UNIDAD MUNICIPAL DE MANTENIMIENTO VEHICULAR</t>
  </si>
  <si>
    <t>41</t>
  </si>
  <si>
    <t>42</t>
  </si>
  <si>
    <t>44</t>
  </si>
  <si>
    <t>45</t>
  </si>
  <si>
    <t>46</t>
  </si>
  <si>
    <t>DEPARTAMENTO DE RECOLECCION DE DESECHOS SOLIDOS LINEA DE TRABAJO 37 Y 38</t>
  </si>
  <si>
    <t>DEPARTAMENTO DE RECOLECCION DE DESECHOS SOLIDOS</t>
  </si>
  <si>
    <t>6AS</t>
  </si>
  <si>
    <t>48DS</t>
  </si>
  <si>
    <t>48ES</t>
  </si>
  <si>
    <t>48FS</t>
  </si>
  <si>
    <t>10BS</t>
  </si>
  <si>
    <t>10CS</t>
  </si>
  <si>
    <t>10DS</t>
  </si>
  <si>
    <t>10ES</t>
  </si>
  <si>
    <t>DEFINITIVO</t>
  </si>
  <si>
    <t>FONDOS PRESTAMOS</t>
  </si>
  <si>
    <t>DEPARTAMENTO DE RECUPERACION DE ESPACIOS PUBLICOS</t>
  </si>
  <si>
    <t>SALUD Y RECREACION</t>
  </si>
  <si>
    <t>GERENCIA DE SERVICIOS GENERALES LINEA DE TRABAJO 10</t>
  </si>
  <si>
    <t xml:space="preserve"> UNIDAD DE COOPERACIÓN LINEA DE TRABAJO 28</t>
  </si>
  <si>
    <t>GERENCIA ADMINISTRATIVA FINANCIERA LINEA DE TRABAJO 06</t>
  </si>
  <si>
    <t>UNIDAD MUNICIPAL DE RECUPERACION DE MORA LINEA DE TRABAJO 06</t>
  </si>
  <si>
    <t>UNIDAD MUNICIPAL DE MEDIO AMBIENTE  LINEA DE TRABAJO 54</t>
  </si>
  <si>
    <t>UNIDAD MUNICIPAL DE LA MUJER LINEA DE TRABAJO 46</t>
  </si>
  <si>
    <t>BOLSA DE EMPLEO LINEA DE TRABAJO 60C</t>
  </si>
  <si>
    <t>CONTRAVENCIONAL</t>
  </si>
  <si>
    <t>GERENCIA DE DESARROLLO HUMANO Y COHESIÓN SOCIAL</t>
  </si>
  <si>
    <t>DEPARTAMENTO DE CATASTRO TRIBUTARIO</t>
  </si>
  <si>
    <t>DEPARTAMENTO DE REGISTRO DEL ESTADO FAMILIAR</t>
  </si>
  <si>
    <t>UNIDAD MUNICIPAL DE RECUPERACION DE MORA</t>
  </si>
  <si>
    <t>ADMINISTRACION DE MERCADOS</t>
  </si>
  <si>
    <t>DEPARTAMENTO DE DESARROLLO URBANO Y PROYECTOS MUNICIPALES</t>
  </si>
  <si>
    <t>CUERPO DE AGENTES MUNICIPALES (CAM)</t>
  </si>
  <si>
    <t>UNIDAD MUNICIPAL DE PARTICIPACION CIUDADANA</t>
  </si>
  <si>
    <t xml:space="preserve">DEPARTAMENTO DE COMUNICACIONES </t>
  </si>
  <si>
    <t>UNIDAD MUNICIPAL DE LA MUJER</t>
  </si>
  <si>
    <t>UNIDAD MUNICIPAL DE COOPERACION</t>
  </si>
  <si>
    <t>UNIDAD MUNICIPAL DE DESARROLLO ECONOMICO</t>
  </si>
  <si>
    <t>UNIDAD MUNICIPAL DE MANTENIMIENTO VIAL</t>
  </si>
  <si>
    <t>UNIDAD MUNICIPAL DE MEDIACIÓN</t>
  </si>
  <si>
    <t>43</t>
  </si>
  <si>
    <t>47</t>
  </si>
  <si>
    <t>UNIDAD MUNICIPAL DE DEPORTES</t>
  </si>
  <si>
    <t>UNIDAD MUNICIPAL AGROPECUARIA</t>
  </si>
  <si>
    <t>BOLSA DE EMPLEO</t>
  </si>
  <si>
    <t>CENTRO DE DESARROLLO INFANTIL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</si>
  <si>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</si>
  <si>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</si>
  <si>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</si>
  <si>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</si>
  <si>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</si>
  <si>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</si>
  <si>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</si>
  <si>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</si>
  <si>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</si>
  <si>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48</t>
  </si>
  <si>
    <t>49</t>
  </si>
  <si>
    <t>50</t>
  </si>
  <si>
    <t>51</t>
  </si>
  <si>
    <t>52</t>
  </si>
  <si>
    <t>GERENCIA DE SERVICIOS GENERALES</t>
  </si>
  <si>
    <t>DEPARTAMENTO DE TESORERIA LINEA DE TRABAJO 17 Y 18</t>
  </si>
  <si>
    <t>GERENCIA ADMINISTRATIVA FINANCIERA</t>
  </si>
  <si>
    <t>DEPARTAMENTO DE CONTABILIDAD  LINEA DE TRABAJO 16</t>
  </si>
  <si>
    <t>UNIDAD MUNICIPAL PRESUPUESTARIA LINEA DE TRABAJO 16</t>
  </si>
  <si>
    <t xml:space="preserve">DEPARTAMENTO DE TESORERIA </t>
  </si>
  <si>
    <t>DEPARTAMENTO DE CUENTAS CORRIENTES LINEA DE TRABAJO 20</t>
  </si>
  <si>
    <t>AUDITORIA INTERNA MUNICIPAL LINEA DE TRABAJO 22</t>
  </si>
  <si>
    <t>AUDITORIA INTERNA MUNICIPAL</t>
  </si>
  <si>
    <t xml:space="preserve">CONTRAVENCIONAL LINEA DE TRABAJO </t>
  </si>
  <si>
    <t>DEPARTAMENTO DE REGISTRO DEL ESTADO FAMILIAR LINEA DE TRABAJO 30</t>
  </si>
  <si>
    <t>ADMINISTRACION DE MERCADOS LINEA DE TRABAJO 36</t>
  </si>
  <si>
    <t>DEPARTAMENTO DE DESARROLLO URBANO Y PROYECTOS MUNICIPALES LINEA DE TRABAJO 40</t>
  </si>
  <si>
    <t>CUERPO DE AGENTES MUNICIPALES   LINEA DE TRABAJO 42</t>
  </si>
  <si>
    <t>UNIDAD MUNICIPAL DE PARTICIPACION CIUDADANA LINEA DE TRABAJO 44</t>
  </si>
  <si>
    <t xml:space="preserve"> UNIDAD MUNICIPAL DE ACCESO A LA INFORMACION PUBLICA (UAIP) LINEA DE TRABAJO 4A</t>
  </si>
  <si>
    <t>UNIDAD MUNICIPAL DE ACCESO A LA INFORMACIÓN PUBLICA</t>
  </si>
  <si>
    <t>UNIDAD DE GESTIÓN DE RIESGO Y PROTECCIÓN CIVIL</t>
  </si>
  <si>
    <t xml:space="preserve">UNIDAD DE GESTION DOCUMENTAL Y ARCHIVO </t>
  </si>
  <si>
    <t xml:space="preserve"> UNIDAD MUNICIPAL DE MEDIACION LINEA DE TRABAJO 04D</t>
  </si>
  <si>
    <t>UNIDAD MUNICIPAL DE LA NIÑEZ, ADOLESCENCIA Y JUVENTUD</t>
  </si>
  <si>
    <t xml:space="preserve"> UNIDAD MUNICIPAL DE COOPERACION LINEA DE TRABAJO 28</t>
  </si>
  <si>
    <t>UNIDAD MUNICIPAL DE DESARROLLO ECONOMICO LINEA DE TRABAJO 60A</t>
  </si>
  <si>
    <t>UNIDAD MUNICIPAL AGROPECUARIA LINEA DE TRABAJO 60B</t>
  </si>
  <si>
    <t>UNIDAD MUNICIPAL DE PREVENCIÓN Y CONVIVENCIA SEGURIDAD CIUDADANA</t>
  </si>
  <si>
    <t>UNIDAD MUNICIPAL DE PREVENCION Y CONVIVENCIA Y SEGURIDAD CIUDADANA LINEA DE TRABAJO 58A</t>
  </si>
  <si>
    <t>UNIDAD MUNICIPAL PRESUPUESTARIA</t>
  </si>
  <si>
    <t xml:space="preserve">PRESUPUESTO DE INGRESOS Y EGRESOS </t>
  </si>
  <si>
    <t>DESAROLLOS INFORMATICOS</t>
  </si>
  <si>
    <t>54303</t>
  </si>
  <si>
    <t>MANTTO Y REPARACIÓN DE BIENES INMUEBLES</t>
  </si>
  <si>
    <t>54101</t>
  </si>
  <si>
    <t>PROD. ALIMENTICIOS P/ PERSONAS</t>
  </si>
  <si>
    <t>54103</t>
  </si>
  <si>
    <t xml:space="preserve">PRODUCTOS AGROPECUARIOS Y FORESTALES  </t>
  </si>
  <si>
    <t xml:space="preserve">PRODUCTOS DE CUERO Y CAUCHO                                                                   </t>
  </si>
  <si>
    <t xml:space="preserve">PRODUCTOS FARMACÉUTICOS Y MEDICINALES </t>
  </si>
  <si>
    <t xml:space="preserve">ATENCIONES OFICIALES    </t>
  </si>
  <si>
    <t xml:space="preserve">ARRENDAMIENTOS DE BIENES MUEBLES </t>
  </si>
  <si>
    <t>61105</t>
  </si>
  <si>
    <t xml:space="preserve">VEHICULOS DE TRANSPORTE </t>
  </si>
  <si>
    <t>61106</t>
  </si>
  <si>
    <t xml:space="preserve">OBRAS DE ARTE Y CULTURALES </t>
  </si>
  <si>
    <t>61108</t>
  </si>
  <si>
    <t xml:space="preserve">DERECHOS Y COSTAS JUDICIALES </t>
  </si>
  <si>
    <t>DEPARTAMENTO DE TESORERIA</t>
  </si>
  <si>
    <t>UNIDAD AUDITORIA INTERNA</t>
  </si>
  <si>
    <t>ADMINISTRACIÓN DE MERCADOS</t>
  </si>
  <si>
    <t xml:space="preserve">PRODUCTOS DE CUERO Y CAUCHO  </t>
  </si>
  <si>
    <t>MANTENIMIENTO Y REPARACION DE BEHICULOS</t>
  </si>
  <si>
    <t>VEHICULO Y TRANSPORTE</t>
  </si>
  <si>
    <t>COHESION SOCIAL</t>
  </si>
  <si>
    <t>UNICEF</t>
  </si>
  <si>
    <t>CLINICA MEDICA MUNICIPAL  LINEA DE TRABAJO 56</t>
  </si>
  <si>
    <t>enero</t>
  </si>
  <si>
    <t>Capital</t>
  </si>
  <si>
    <t>Intereses</t>
  </si>
  <si>
    <t>Cuota</t>
  </si>
  <si>
    <t>Enero</t>
  </si>
  <si>
    <t>Febrero</t>
  </si>
  <si>
    <t>Marzo</t>
  </si>
  <si>
    <t>Abril</t>
  </si>
  <si>
    <t>Mayo</t>
  </si>
  <si>
    <t>Junio</t>
  </si>
  <si>
    <t>promerica</t>
  </si>
  <si>
    <t>BTS</t>
  </si>
  <si>
    <t>Cametro</t>
  </si>
  <si>
    <t>CC San Martin</t>
  </si>
  <si>
    <t>CC San Vicente</t>
  </si>
  <si>
    <t>1er. B. Trabajadores</t>
  </si>
  <si>
    <t>Total saldo de amortización</t>
  </si>
  <si>
    <t>Capital e interese</t>
  </si>
  <si>
    <t>B. Promerica</t>
  </si>
  <si>
    <t>fisdl</t>
  </si>
  <si>
    <t>unicef</t>
  </si>
  <si>
    <t>donaciones</t>
  </si>
  <si>
    <t>FONDOS DE PRESTAMO LINEA DE TRABAJO 68</t>
  </si>
  <si>
    <t>En Banco al 30 de Septiembre de 2022</t>
  </si>
  <si>
    <t>distribucion</t>
  </si>
  <si>
    <t>Porcentaje de distribucion</t>
  </si>
  <si>
    <t>Total</t>
  </si>
  <si>
    <t>6as</t>
  </si>
  <si>
    <t>10bs</t>
  </si>
  <si>
    <t>10cs</t>
  </si>
  <si>
    <t>10ds</t>
  </si>
  <si>
    <t>10es</t>
  </si>
  <si>
    <t>48ds</t>
  </si>
  <si>
    <t>48es</t>
  </si>
  <si>
    <t>48fs</t>
  </si>
  <si>
    <t>I- PROYECTO DE PRESUPUESTO DE INGRESOS</t>
  </si>
  <si>
    <t>II - PROYECTO DE PRESUPUESTO DE EGRESOS</t>
  </si>
  <si>
    <t>II- PROYECTO DE PRESUPUESTO DE EGRESOS</t>
  </si>
  <si>
    <t xml:space="preserve">PRODUCTOS DE CUERO Y CAUCHO           </t>
  </si>
  <si>
    <t>Columna1</t>
  </si>
  <si>
    <t>FACTURA</t>
  </si>
  <si>
    <t>10% RENTA</t>
  </si>
  <si>
    <t>1% DE RETENCION IVA</t>
  </si>
  <si>
    <t>LIQUIDO</t>
  </si>
  <si>
    <t>Columna2</t>
  </si>
  <si>
    <t>PRESUPUESTO DE INGRESOS Y EGRESOS 
EJERCICIO FISCAL 2024</t>
  </si>
  <si>
    <t>San Martin, enero 2024</t>
  </si>
  <si>
    <t>EJERCICIO FISCAL 2024</t>
  </si>
  <si>
    <t>PRESUPUESTO AÑO 2024</t>
  </si>
  <si>
    <t>II- PRESUPUESTO DE EGRESOS POR LINEAS DE TRABAJO 2024</t>
  </si>
  <si>
    <t>TOTAL 2024</t>
  </si>
  <si>
    <t xml:space="preserve"> PRESUPUESTO AÑO 2024</t>
  </si>
  <si>
    <t xml:space="preserve"> PRESUPUESTO CONSOLIDADO POR ESPECIFICOS AÑO 2024</t>
  </si>
  <si>
    <t>SERVICIOS DE CAPACITACIÓN</t>
  </si>
  <si>
    <t>UNIDAD DE COMPRAS PÚBLICAS LINEA DE TRABAJO 26</t>
  </si>
  <si>
    <t>UNIDAD DE COMPRAS PÚBLICAS</t>
  </si>
  <si>
    <t>PRODUCTOS FORESTALES Y AGROPECUARIOS</t>
  </si>
  <si>
    <t>ARRENDAMIENTOS VARIOS</t>
  </si>
  <si>
    <t>UNIDAD DE COMPRAS PÚBLICAS  LINEA DE TRABAJO 26</t>
  </si>
  <si>
    <t>Actualizado: 30/08/2023</t>
  </si>
  <si>
    <t>PRESUPUESTO DE INGRESOS 2024</t>
  </si>
  <si>
    <t>Ingresos Reales</t>
  </si>
  <si>
    <t>FODES 2024 (1.5%)</t>
  </si>
  <si>
    <t>cuota prestamos 2024 (Pagado por Hacienda)</t>
  </si>
  <si>
    <t>cuota prestamos 2024 (Pagado de Fondos Propios)</t>
  </si>
  <si>
    <t>DE EMPRESAS PRIVAS NO FINANCIERAS</t>
  </si>
  <si>
    <t>4e</t>
  </si>
  <si>
    <t>4es</t>
  </si>
  <si>
    <t>BIUENESTAR ANIMAL LINEA DE TRABAJO 04E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</si>
</sst>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&quot;¢&quot;* #,##0.00_);_(&quot;¢&quot;* \(#,##0.00\);_(&quot;¢&quot;* &quot;-&quot;??_);_(@_)"/>
    <numFmt numFmtId="168" formatCode="&quot;¢&quot;#,##0.00"/>
    <numFmt numFmtId="169" formatCode="_-[$$-440A]* #,##0.00_ ;_-[$$-440A]* \-#,##0.00\ ;_-[$$-440A]* &quot;-&quot;??_ ;_-@_ "/>
    <numFmt numFmtId="170" formatCode="0.000%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4"/>
      <color rgb="FF000000"/>
      <name val="Arial Narrow"/>
      <family val="2"/>
    </font>
    <font>
      <sz val="10"/>
      <name val="Calibri Light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10"/>
      <color indexed="8"/>
      <name val="Arial Narrow"/>
      <family val="2"/>
    </font>
    <font>
      <sz val="9.85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MS Sans Serif"/>
    </font>
    <font>
      <sz val="12"/>
      <name val="Arial Narrow"/>
      <family val="2"/>
    </font>
    <font>
      <b/>
      <sz val="12"/>
      <name val="Arial Narrow"/>
      <family val="2"/>
    </font>
    <font>
      <b/>
      <sz val="13"/>
      <name val="Arial Narrow"/>
      <family val="2"/>
    </font>
    <font>
      <b/>
      <sz val="24"/>
      <name val="Arial Narrow"/>
      <family val="2"/>
    </font>
    <font>
      <b/>
      <sz val="18"/>
      <name val="Arial Narrow"/>
      <family val="2"/>
    </font>
    <font>
      <u/>
      <sz val="10"/>
      <color theme="10"/>
      <name val="Arial Narrow"/>
      <family val="2"/>
    </font>
    <font>
      <sz val="10"/>
      <color rgb="FF000000"/>
      <name val="Arial Narrow"/>
      <family val="2"/>
    </font>
    <font>
      <sz val="10"/>
      <color indexed="10"/>
      <name val="Arial Narrow"/>
      <family val="2"/>
    </font>
    <font>
      <b/>
      <sz val="9.85"/>
      <color indexed="8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sz val="10"/>
      <color rgb="FFFFFF00"/>
      <name val="Arial Narrow"/>
      <family val="2"/>
    </font>
    <font>
      <sz val="10"/>
      <color rgb="FFFF0000"/>
      <name val="Arial Narrow"/>
      <family val="2"/>
    </font>
    <font>
      <sz val="10"/>
      <color theme="6" tint="-0.249977111117893"/>
      <name val="Arial Narrow"/>
      <family val="2"/>
    </font>
    <font>
      <b/>
      <sz val="10"/>
      <color rgb="FFFF0000"/>
      <name val="Arial Narrow"/>
      <family val="2"/>
    </font>
    <font>
      <b/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color theme="10"/>
      <name val="Arial Narrow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3" fillId="0" borderId="0" applyFill="0" applyBorder="0" applyAlignment="0" applyProtection="0"/>
    <xf numFmtId="0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8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446">
    <xf numFmtId="0" fontId="0" fillId="0" borderId="0" xfId="0"/>
    <xf numFmtId="0" fontId="6" fillId="0" borderId="0" xfId="0" applyFont="1"/>
    <xf numFmtId="165" fontId="6" fillId="0" borderId="0" xfId="0" applyNumberFormat="1" applyFont="1"/>
    <xf numFmtId="164" fontId="6" fillId="0" borderId="0" xfId="0" applyNumberFormat="1" applyFont="1"/>
    <xf numFmtId="164" fontId="6" fillId="4" borderId="0" xfId="0" applyNumberFormat="1" applyFont="1" applyFill="1"/>
    <xf numFmtId="0" fontId="6" fillId="4" borderId="0" xfId="0" applyFont="1" applyFill="1"/>
    <xf numFmtId="0" fontId="6" fillId="0" borderId="5" xfId="0" applyFont="1" applyBorder="1"/>
    <xf numFmtId="0" fontId="6" fillId="0" borderId="0" xfId="0" applyFont="1" applyAlignment="1">
      <alignment horizontal="center"/>
    </xf>
    <xf numFmtId="16" fontId="6" fillId="0" borderId="0" xfId="0" applyNumberFormat="1" applyFont="1"/>
    <xf numFmtId="165" fontId="6" fillId="0" borderId="0" xfId="2" applyFont="1"/>
    <xf numFmtId="0" fontId="5" fillId="0" borderId="0" xfId="0" applyFont="1"/>
    <xf numFmtId="0" fontId="11" fillId="0" borderId="0" xfId="0" applyFont="1"/>
    <xf numFmtId="0" fontId="12" fillId="0" borderId="0" xfId="0" applyFont="1"/>
    <xf numFmtId="164" fontId="0" fillId="0" borderId="0" xfId="0" applyNumberFormat="1"/>
    <xf numFmtId="164" fontId="0" fillId="0" borderId="1" xfId="0" applyNumberFormat="1" applyBorder="1"/>
    <xf numFmtId="0" fontId="16" fillId="0" borderId="0" xfId="0" applyFont="1"/>
    <xf numFmtId="1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vertical="center"/>
      <protection locked="0"/>
    </xf>
    <xf numFmtId="0" fontId="19" fillId="0" borderId="4" xfId="0" applyFont="1" applyBorder="1"/>
    <xf numFmtId="1" fontId="18" fillId="13" borderId="1" xfId="0" applyNumberFormat="1" applyFont="1" applyFill="1" applyBorder="1" applyAlignment="1" applyProtection="1">
      <alignment horizontal="center" vertical="center"/>
      <protection locked="0"/>
    </xf>
    <xf numFmtId="0" fontId="18" fillId="13" borderId="4" xfId="0" applyFont="1" applyFill="1" applyBorder="1" applyAlignment="1" applyProtection="1">
      <alignment vertical="center"/>
      <protection locked="0"/>
    </xf>
    <xf numFmtId="165" fontId="17" fillId="13" borderId="1" xfId="0" applyNumberFormat="1" applyFont="1" applyFill="1" applyBorder="1"/>
    <xf numFmtId="10" fontId="0" fillId="0" borderId="0" xfId="0" applyNumberFormat="1"/>
    <xf numFmtId="1" fontId="18" fillId="12" borderId="1" xfId="0" applyNumberFormat="1" applyFont="1" applyFill="1" applyBorder="1" applyAlignment="1" applyProtection="1">
      <alignment horizontal="center" vertical="center"/>
      <protection locked="0"/>
    </xf>
    <xf numFmtId="0" fontId="18" fillId="12" borderId="4" xfId="0" applyFont="1" applyFill="1" applyBorder="1" applyAlignment="1" applyProtection="1">
      <alignment vertical="center"/>
      <protection locked="0"/>
    </xf>
    <xf numFmtId="165" fontId="17" fillId="12" borderId="1" xfId="0" applyNumberFormat="1" applyFont="1" applyFill="1" applyBorder="1"/>
    <xf numFmtId="170" fontId="20" fillId="0" borderId="0" xfId="0" applyNumberFormat="1" applyFont="1"/>
    <xf numFmtId="165" fontId="19" fillId="0" borderId="1" xfId="0" applyNumberFormat="1" applyFont="1" applyBorder="1"/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vertical="center"/>
      <protection locked="0"/>
    </xf>
    <xf numFmtId="165" fontId="6" fillId="0" borderId="1" xfId="0" applyNumberFormat="1" applyFont="1" applyBorder="1"/>
    <xf numFmtId="10" fontId="19" fillId="0" borderId="0" xfId="9" applyNumberFormat="1" applyFont="1" applyFill="1" applyBorder="1" applyAlignment="1" applyProtection="1"/>
    <xf numFmtId="0" fontId="18" fillId="13" borderId="1" xfId="0" applyFont="1" applyFill="1" applyBorder="1" applyAlignment="1" applyProtection="1">
      <alignment horizontal="center" vertical="center"/>
      <protection locked="0"/>
    </xf>
    <xf numFmtId="0" fontId="18" fillId="13" borderId="1" xfId="0" applyFont="1" applyFill="1" applyBorder="1" applyAlignment="1" applyProtection="1">
      <alignment vertical="center"/>
      <protection locked="0"/>
    </xf>
    <xf numFmtId="0" fontId="18" fillId="12" borderId="1" xfId="0" applyFont="1" applyFill="1" applyBorder="1" applyAlignment="1" applyProtection="1">
      <alignment horizontal="center" vertical="center"/>
      <protection locked="0"/>
    </xf>
    <xf numFmtId="0" fontId="18" fillId="12" borderId="1" xfId="0" applyFont="1" applyFill="1" applyBorder="1" applyAlignment="1" applyProtection="1">
      <alignment vertical="center"/>
      <protection locked="0"/>
    </xf>
    <xf numFmtId="170" fontId="17" fillId="0" borderId="0" xfId="9" applyNumberFormat="1" applyFont="1" applyFill="1" applyBorder="1" applyAlignment="1" applyProtection="1"/>
    <xf numFmtId="0" fontId="0" fillId="0" borderId="1" xfId="0" applyBorder="1"/>
    <xf numFmtId="165" fontId="19" fillId="0" borderId="2" xfId="0" applyNumberFormat="1" applyFont="1" applyBorder="1"/>
    <xf numFmtId="0" fontId="18" fillId="2" borderId="4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/>
      <protection locked="0"/>
    </xf>
    <xf numFmtId="165" fontId="17" fillId="0" borderId="1" xfId="0" applyNumberFormat="1" applyFont="1" applyBorder="1"/>
    <xf numFmtId="0" fontId="15" fillId="0" borderId="17" xfId="0" applyFont="1" applyBorder="1"/>
    <xf numFmtId="0" fontId="2" fillId="0" borderId="16" xfId="0" applyFont="1" applyBorder="1"/>
    <xf numFmtId="0" fontId="12" fillId="0" borderId="9" xfId="0" applyFont="1" applyBorder="1" applyAlignment="1">
      <alignment horizontal="center"/>
    </xf>
    <xf numFmtId="165" fontId="0" fillId="0" borderId="18" xfId="2" applyFont="1" applyBorder="1"/>
    <xf numFmtId="0" fontId="12" fillId="0" borderId="19" xfId="0" applyFont="1" applyBorder="1" applyAlignment="1">
      <alignment horizontal="center"/>
    </xf>
    <xf numFmtId="165" fontId="0" fillId="0" borderId="20" xfId="2" applyFont="1" applyBorder="1"/>
    <xf numFmtId="0" fontId="0" fillId="0" borderId="4" xfId="0" applyBorder="1"/>
    <xf numFmtId="0" fontId="0" fillId="0" borderId="9" xfId="0" applyBorder="1" applyAlignment="1">
      <alignment horizontal="right"/>
    </xf>
    <xf numFmtId="164" fontId="0" fillId="0" borderId="18" xfId="0" applyNumberFormat="1" applyBorder="1"/>
    <xf numFmtId="0" fontId="0" fillId="0" borderId="17" xfId="0" applyBorder="1" applyAlignment="1">
      <alignment horizontal="right"/>
    </xf>
    <xf numFmtId="164" fontId="0" fillId="0" borderId="16" xfId="0" applyNumberFormat="1" applyBorder="1"/>
    <xf numFmtId="0" fontId="0" fillId="0" borderId="19" xfId="0" applyBorder="1" applyAlignment="1">
      <alignment horizontal="right"/>
    </xf>
    <xf numFmtId="164" fontId="0" fillId="0" borderId="20" xfId="0" applyNumberFormat="1" applyBorder="1"/>
    <xf numFmtId="164" fontId="6" fillId="0" borderId="0" xfId="0" applyNumberFormat="1" applyFont="1" applyAlignment="1">
      <alignment horizontal="center"/>
    </xf>
    <xf numFmtId="165" fontId="21" fillId="0" borderId="18" xfId="2" applyFont="1" applyBorder="1"/>
    <xf numFmtId="0" fontId="21" fillId="0" borderId="0" xfId="0" applyFont="1"/>
    <xf numFmtId="0" fontId="21" fillId="0" borderId="0" xfId="0" applyFont="1" applyAlignment="1">
      <alignment vertical="center"/>
    </xf>
    <xf numFmtId="164" fontId="21" fillId="0" borderId="0" xfId="0" applyNumberFormat="1" applyFont="1"/>
    <xf numFmtId="0" fontId="6" fillId="10" borderId="0" xfId="0" applyFont="1" applyFill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10" borderId="0" xfId="0" applyFont="1" applyFill="1" applyAlignment="1">
      <alignment vertical="center"/>
    </xf>
    <xf numFmtId="17" fontId="6" fillId="10" borderId="0" xfId="0" applyNumberFormat="1" applyFont="1" applyFill="1" applyAlignment="1">
      <alignment vertical="center"/>
    </xf>
    <xf numFmtId="0" fontId="6" fillId="10" borderId="0" xfId="0" applyFont="1" applyFill="1" applyAlignment="1">
      <alignment horizontal="center" vertical="center"/>
    </xf>
    <xf numFmtId="49" fontId="6" fillId="10" borderId="0" xfId="0" applyNumberFormat="1" applyFont="1" applyFill="1" applyAlignment="1">
      <alignment horizontal="center" vertical="center"/>
    </xf>
    <xf numFmtId="0" fontId="6" fillId="10" borderId="0" xfId="0" applyFont="1" applyFill="1" applyAlignment="1">
      <alignment horizontal="left" vertical="center" shrinkToFit="1"/>
    </xf>
    <xf numFmtId="0" fontId="11" fillId="10" borderId="0" xfId="0" applyFont="1" applyFill="1" applyAlignment="1">
      <alignment horizontal="right"/>
    </xf>
    <xf numFmtId="0" fontId="26" fillId="0" borderId="0" xfId="5" applyFont="1" applyFill="1" applyBorder="1"/>
    <xf numFmtId="0" fontId="6" fillId="0" borderId="0" xfId="0" applyFont="1" applyAlignment="1">
      <alignment horizontal="left"/>
    </xf>
    <xf numFmtId="16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165" fontId="6" fillId="0" borderId="1" xfId="2" applyFont="1" applyFill="1" applyBorder="1" applyAlignment="1">
      <alignment horizontal="right" vertical="center"/>
    </xf>
    <xf numFmtId="165" fontId="6" fillId="0" borderId="1" xfId="0" applyNumberFormat="1" applyFont="1" applyBorder="1" applyAlignment="1">
      <alignment horizontal="center" vertical="center"/>
    </xf>
    <xf numFmtId="165" fontId="6" fillId="0" borderId="1" xfId="2" applyFont="1" applyFill="1" applyBorder="1" applyAlignment="1">
      <alignment vertical="center"/>
    </xf>
    <xf numFmtId="165" fontId="6" fillId="0" borderId="1" xfId="0" applyNumberFormat="1" applyFont="1" applyBorder="1" applyAlignment="1">
      <alignment horizontal="center"/>
    </xf>
    <xf numFmtId="165" fontId="6" fillId="0" borderId="8" xfId="0" applyNumberFormat="1" applyFont="1" applyBorder="1" applyAlignment="1">
      <alignment horizontal="center"/>
    </xf>
    <xf numFmtId="0" fontId="27" fillId="0" borderId="1" xfId="0" applyFont="1" applyBorder="1" applyAlignment="1">
      <alignment vertical="center" shrinkToFit="1"/>
    </xf>
    <xf numFmtId="165" fontId="6" fillId="0" borderId="1" xfId="2" applyFont="1" applyFill="1" applyBorder="1" applyAlignment="1">
      <alignment horizontal="right" vertical="center" shrinkToFit="1"/>
    </xf>
    <xf numFmtId="0" fontId="6" fillId="0" borderId="1" xfId="0" applyFont="1" applyBorder="1"/>
    <xf numFmtId="165" fontId="5" fillId="0" borderId="1" xfId="2" applyFont="1" applyFill="1" applyBorder="1" applyAlignment="1">
      <alignment horizontal="right"/>
    </xf>
    <xf numFmtId="165" fontId="5" fillId="0" borderId="1" xfId="2" applyFont="1" applyFill="1" applyBorder="1" applyAlignment="1">
      <alignment vertical="center"/>
    </xf>
    <xf numFmtId="165" fontId="5" fillId="0" borderId="8" xfId="2" applyFont="1" applyFill="1" applyBorder="1" applyAlignment="1">
      <alignment horizontal="right"/>
    </xf>
    <xf numFmtId="165" fontId="6" fillId="0" borderId="0" xfId="2" applyFont="1" applyFill="1" applyBorder="1" applyAlignment="1">
      <alignment horizontal="right"/>
    </xf>
    <xf numFmtId="165" fontId="6" fillId="0" borderId="0" xfId="2" applyFont="1" applyFill="1" applyBorder="1"/>
    <xf numFmtId="0" fontId="5" fillId="0" borderId="1" xfId="0" applyFont="1" applyBorder="1"/>
    <xf numFmtId="165" fontId="5" fillId="0" borderId="1" xfId="2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shrinkToFit="1"/>
    </xf>
    <xf numFmtId="165" fontId="6" fillId="0" borderId="1" xfId="2" applyFont="1" applyFill="1" applyBorder="1"/>
    <xf numFmtId="0" fontId="6" fillId="4" borderId="1" xfId="0" applyFont="1" applyFill="1" applyBorder="1" applyAlignment="1">
      <alignment horizontal="center"/>
    </xf>
    <xf numFmtId="165" fontId="6" fillId="0" borderId="8" xfId="2" applyFont="1" applyFill="1" applyBorder="1"/>
    <xf numFmtId="0" fontId="6" fillId="0" borderId="1" xfId="0" applyFont="1" applyBorder="1" applyAlignment="1">
      <alignment shrinkToFi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shrinkToFit="1"/>
    </xf>
    <xf numFmtId="165" fontId="6" fillId="0" borderId="1" xfId="2" applyFont="1" applyFill="1" applyBorder="1" applyAlignment="1">
      <alignment horizontal="right"/>
    </xf>
    <xf numFmtId="165" fontId="5" fillId="0" borderId="1" xfId="2" applyFont="1" applyFill="1" applyBorder="1"/>
    <xf numFmtId="165" fontId="5" fillId="10" borderId="1" xfId="2" applyFont="1" applyFill="1" applyBorder="1"/>
    <xf numFmtId="43" fontId="6" fillId="0" borderId="0" xfId="0" applyNumberFormat="1" applyFont="1"/>
    <xf numFmtId="4" fontId="6" fillId="0" borderId="1" xfId="4" applyNumberFormat="1" applyFont="1" applyFill="1" applyBorder="1" applyAlignment="1">
      <alignment vertical="center" shrinkToFit="1"/>
    </xf>
    <xf numFmtId="165" fontId="6" fillId="0" borderId="8" xfId="2" applyFont="1" applyFill="1" applyBorder="1" applyAlignment="1">
      <alignment horizontal="right"/>
    </xf>
    <xf numFmtId="165" fontId="6" fillId="0" borderId="1" xfId="0" applyNumberFormat="1" applyFont="1" applyBorder="1" applyAlignment="1">
      <alignment horizontal="left"/>
    </xf>
    <xf numFmtId="165" fontId="6" fillId="0" borderId="8" xfId="0" applyNumberFormat="1" applyFont="1" applyBorder="1" applyAlignment="1">
      <alignment horizontal="left"/>
    </xf>
    <xf numFmtId="165" fontId="6" fillId="0" borderId="0" xfId="0" applyNumberFormat="1" applyFont="1" applyAlignment="1">
      <alignment horizontal="left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vertical="center" shrinkToFit="1"/>
    </xf>
    <xf numFmtId="0" fontId="28" fillId="0" borderId="0" xfId="0" applyFont="1"/>
    <xf numFmtId="165" fontId="6" fillId="0" borderId="0" xfId="0" applyNumberFormat="1" applyFont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left" shrinkToFit="1"/>
    </xf>
    <xf numFmtId="165" fontId="6" fillId="10" borderId="1" xfId="2" applyFont="1" applyFill="1" applyBorder="1"/>
    <xf numFmtId="0" fontId="5" fillId="0" borderId="0" xfId="0" applyFont="1" applyAlignment="1">
      <alignment horizontal="center"/>
    </xf>
    <xf numFmtId="165" fontId="5" fillId="0" borderId="0" xfId="2" applyFont="1" applyFill="1" applyBorder="1" applyAlignment="1">
      <alignment horizontal="right"/>
    </xf>
    <xf numFmtId="165" fontId="6" fillId="0" borderId="1" xfId="2" applyFont="1" applyFill="1" applyBorder="1" applyAlignment="1">
      <alignment horizontal="left"/>
    </xf>
    <xf numFmtId="165" fontId="6" fillId="0" borderId="8" xfId="2" applyFont="1" applyFill="1" applyBorder="1" applyAlignment="1">
      <alignment horizontal="left"/>
    </xf>
    <xf numFmtId="165" fontId="6" fillId="0" borderId="0" xfId="2" applyFont="1" applyFill="1" applyBorder="1" applyAlignment="1">
      <alignment horizontal="left"/>
    </xf>
    <xf numFmtId="165" fontId="6" fillId="10" borderId="1" xfId="2" applyFont="1" applyFill="1" applyBorder="1" applyAlignment="1">
      <alignment horizontal="left"/>
    </xf>
    <xf numFmtId="0" fontId="5" fillId="0" borderId="2" xfId="0" applyFont="1" applyBorder="1"/>
    <xf numFmtId="165" fontId="5" fillId="0" borderId="4" xfId="2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10" borderId="1" xfId="0" applyFont="1" applyFill="1" applyBorder="1" applyAlignment="1">
      <alignment shrinkToFit="1"/>
    </xf>
    <xf numFmtId="165" fontId="6" fillId="10" borderId="1" xfId="2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168" fontId="6" fillId="0" borderId="0" xfId="0" applyNumberFormat="1" applyFont="1" applyAlignment="1">
      <alignment horizontal="right"/>
    </xf>
    <xf numFmtId="168" fontId="6" fillId="0" borderId="0" xfId="0" applyNumberFormat="1" applyFont="1"/>
    <xf numFmtId="164" fontId="5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2" xfId="4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65" fontId="6" fillId="0" borderId="4" xfId="2" applyFont="1" applyFill="1" applyBorder="1" applyAlignment="1">
      <alignment horizontal="right" vertical="center"/>
    </xf>
    <xf numFmtId="165" fontId="6" fillId="0" borderId="4" xfId="2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shrinkToFit="1"/>
    </xf>
    <xf numFmtId="165" fontId="6" fillId="4" borderId="1" xfId="2" applyFont="1" applyFill="1" applyBorder="1" applyAlignment="1">
      <alignment horizontal="right" vertical="center"/>
    </xf>
    <xf numFmtId="165" fontId="6" fillId="4" borderId="4" xfId="2" applyFont="1" applyFill="1" applyBorder="1" applyAlignment="1">
      <alignment vertical="center"/>
    </xf>
    <xf numFmtId="165" fontId="5" fillId="0" borderId="1" xfId="2" applyFont="1" applyFill="1" applyBorder="1" applyAlignment="1">
      <alignment horizontal="right" vertical="center"/>
    </xf>
    <xf numFmtId="165" fontId="5" fillId="0" borderId="4" xfId="2" applyFont="1" applyFill="1" applyBorder="1" applyAlignment="1">
      <alignment vertical="center"/>
    </xf>
    <xf numFmtId="165" fontId="6" fillId="0" borderId="1" xfId="2" applyFont="1" applyFill="1" applyBorder="1" applyAlignment="1">
      <alignment horizontal="left" vertical="center"/>
    </xf>
    <xf numFmtId="165" fontId="6" fillId="4" borderId="1" xfId="2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165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5" fillId="0" borderId="0" xfId="2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68" fontId="5" fillId="0" borderId="1" xfId="0" applyNumberFormat="1" applyFont="1" applyBorder="1" applyAlignment="1">
      <alignment horizontal="center" vertical="center"/>
    </xf>
    <xf numFmtId="165" fontId="5" fillId="0" borderId="1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0" fontId="6" fillId="0" borderId="1" xfId="0" applyFont="1" applyBorder="1" applyAlignment="1">
      <alignment horizontal="left"/>
    </xf>
    <xf numFmtId="165" fontId="6" fillId="0" borderId="2" xfId="2" applyFont="1" applyFill="1" applyBorder="1" applyAlignment="1">
      <alignment horizontal="right"/>
    </xf>
    <xf numFmtId="165" fontId="5" fillId="0" borderId="1" xfId="0" applyNumberFormat="1" applyFont="1" applyBorder="1" applyAlignment="1">
      <alignment horizontal="center"/>
    </xf>
    <xf numFmtId="165" fontId="6" fillId="0" borderId="2" xfId="2" applyFont="1" applyFill="1" applyBorder="1"/>
    <xf numFmtId="0" fontId="6" fillId="0" borderId="9" xfId="0" applyFont="1" applyBorder="1"/>
    <xf numFmtId="49" fontId="6" fillId="0" borderId="1" xfId="0" applyNumberFormat="1" applyFont="1" applyBorder="1" applyAlignment="1">
      <alignment horizontal="center"/>
    </xf>
    <xf numFmtId="0" fontId="26" fillId="0" borderId="0" xfId="5" applyFont="1" applyFill="1"/>
    <xf numFmtId="165" fontId="5" fillId="0" borderId="0" xfId="0" applyNumberFormat="1" applyFont="1"/>
    <xf numFmtId="9" fontId="6" fillId="0" borderId="0" xfId="2" applyNumberFormat="1" applyFont="1" applyFill="1" applyBorder="1" applyAlignment="1">
      <alignment horizontal="right"/>
    </xf>
    <xf numFmtId="9" fontId="6" fillId="0" borderId="0" xfId="2" applyNumberFormat="1" applyFont="1" applyFill="1" applyBorder="1"/>
    <xf numFmtId="165" fontId="6" fillId="0" borderId="0" xfId="2" applyFont="1" applyFill="1" applyBorder="1" applyAlignment="1">
      <alignment horizontal="center"/>
    </xf>
    <xf numFmtId="168" fontId="6" fillId="0" borderId="0" xfId="1" applyNumberFormat="1" applyFont="1" applyFill="1" applyBorder="1" applyAlignment="1">
      <alignment horizontal="right"/>
    </xf>
    <xf numFmtId="168" fontId="6" fillId="0" borderId="0" xfId="1" applyNumberFormat="1" applyFont="1" applyFill="1" applyBorder="1" applyAlignment="1">
      <alignment horizontal="center"/>
    </xf>
    <xf numFmtId="168" fontId="6" fillId="0" borderId="0" xfId="0" applyNumberFormat="1" applyFont="1" applyAlignment="1">
      <alignment horizontal="center"/>
    </xf>
    <xf numFmtId="0" fontId="22" fillId="0" borderId="5" xfId="0" applyFont="1" applyBorder="1"/>
    <xf numFmtId="0" fontId="17" fillId="2" borderId="6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>
      <alignment vertical="center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>
      <alignment horizont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Border="1"/>
    <xf numFmtId="1" fontId="18" fillId="6" borderId="1" xfId="0" applyNumberFormat="1" applyFont="1" applyFill="1" applyBorder="1" applyAlignment="1" applyProtection="1">
      <alignment horizontal="center" vertical="center"/>
      <protection locked="0"/>
    </xf>
    <xf numFmtId="0" fontId="18" fillId="6" borderId="4" xfId="0" applyFont="1" applyFill="1" applyBorder="1" applyAlignment="1" applyProtection="1">
      <alignment vertical="center"/>
      <protection locked="0"/>
    </xf>
    <xf numFmtId="0" fontId="6" fillId="6" borderId="1" xfId="0" applyFont="1" applyFill="1" applyBorder="1"/>
    <xf numFmtId="0" fontId="19" fillId="6" borderId="1" xfId="0" applyFont="1" applyFill="1" applyBorder="1"/>
    <xf numFmtId="165" fontId="17" fillId="6" borderId="1" xfId="0" applyNumberFormat="1" applyFont="1" applyFill="1" applyBorder="1"/>
    <xf numFmtId="1" fontId="18" fillId="5" borderId="1" xfId="0" applyNumberFormat="1" applyFont="1" applyFill="1" applyBorder="1" applyAlignment="1" applyProtection="1">
      <alignment horizontal="center" vertical="center"/>
      <protection locked="0"/>
    </xf>
    <xf numFmtId="0" fontId="18" fillId="5" borderId="4" xfId="0" applyFont="1" applyFill="1" applyBorder="1" applyAlignment="1" applyProtection="1">
      <alignment vertical="center"/>
      <protection locked="0"/>
    </xf>
    <xf numFmtId="165" fontId="17" fillId="5" borderId="1" xfId="0" applyNumberFormat="1" applyFont="1" applyFill="1" applyBorder="1"/>
    <xf numFmtId="0" fontId="6" fillId="5" borderId="1" xfId="0" applyFont="1" applyFill="1" applyBorder="1"/>
    <xf numFmtId="0" fontId="19" fillId="5" borderId="1" xfId="0" applyFont="1" applyFill="1" applyBorder="1"/>
    <xf numFmtId="1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1" xfId="0" applyFont="1" applyBorder="1"/>
    <xf numFmtId="0" fontId="18" fillId="6" borderId="1" xfId="0" applyFont="1" applyFill="1" applyBorder="1" applyAlignment="1" applyProtection="1">
      <alignment horizontal="center" vertical="center"/>
      <protection locked="0"/>
    </xf>
    <xf numFmtId="0" fontId="18" fillId="6" borderId="1" xfId="0" applyFont="1" applyFill="1" applyBorder="1" applyAlignment="1" applyProtection="1">
      <alignment vertical="center"/>
      <protection locked="0"/>
    </xf>
    <xf numFmtId="165" fontId="6" fillId="6" borderId="1" xfId="0" applyNumberFormat="1" applyFont="1" applyFill="1" applyBorder="1"/>
    <xf numFmtId="0" fontId="17" fillId="6" borderId="1" xfId="0" applyFont="1" applyFill="1" applyBorder="1"/>
    <xf numFmtId="0" fontId="18" fillId="5" borderId="1" xfId="0" applyFont="1" applyFill="1" applyBorder="1" applyAlignment="1" applyProtection="1">
      <alignment horizontal="center" vertical="center"/>
      <protection locked="0"/>
    </xf>
    <xf numFmtId="0" fontId="18" fillId="5" borderId="1" xfId="0" applyFont="1" applyFill="1" applyBorder="1" applyAlignment="1" applyProtection="1">
      <alignment vertical="center"/>
      <protection locked="0"/>
    </xf>
    <xf numFmtId="0" fontId="17" fillId="5" borderId="1" xfId="0" applyFont="1" applyFill="1" applyBorder="1"/>
    <xf numFmtId="165" fontId="6" fillId="2" borderId="1" xfId="0" applyNumberFormat="1" applyFont="1" applyFill="1" applyBorder="1"/>
    <xf numFmtId="0" fontId="11" fillId="6" borderId="1" xfId="0" applyFont="1" applyFill="1" applyBorder="1"/>
    <xf numFmtId="165" fontId="19" fillId="6" borderId="1" xfId="0" applyNumberFormat="1" applyFont="1" applyFill="1" applyBorder="1"/>
    <xf numFmtId="165" fontId="19" fillId="5" borderId="1" xfId="0" applyNumberFormat="1" applyFont="1" applyFill="1" applyBorder="1"/>
    <xf numFmtId="165" fontId="6" fillId="5" borderId="1" xfId="0" applyNumberFormat="1" applyFont="1" applyFill="1" applyBorder="1"/>
    <xf numFmtId="165" fontId="19" fillId="0" borderId="1" xfId="2" applyFont="1" applyFill="1" applyBorder="1" applyAlignment="1" applyProtection="1"/>
    <xf numFmtId="165" fontId="17" fillId="6" borderId="1" xfId="2" applyFont="1" applyFill="1" applyBorder="1" applyAlignment="1" applyProtection="1"/>
    <xf numFmtId="165" fontId="17" fillId="5" borderId="1" xfId="2" applyFont="1" applyFill="1" applyBorder="1" applyAlignment="1" applyProtection="1"/>
    <xf numFmtId="164" fontId="19" fillId="0" borderId="1" xfId="0" applyNumberFormat="1" applyFont="1" applyBorder="1"/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165" fontId="17" fillId="0" borderId="1" xfId="0" applyNumberFormat="1" applyFont="1" applyBorder="1" applyProtection="1">
      <protection locked="0"/>
    </xf>
    <xf numFmtId="0" fontId="18" fillId="6" borderId="1" xfId="0" applyFont="1" applyFill="1" applyBorder="1" applyAlignment="1" applyProtection="1">
      <alignment horizontal="left" vertical="center"/>
      <protection locked="0"/>
    </xf>
    <xf numFmtId="0" fontId="18" fillId="5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Protection="1">
      <protection locked="0"/>
    </xf>
    <xf numFmtId="0" fontId="22" fillId="2" borderId="1" xfId="0" applyFont="1" applyFill="1" applyBorder="1" applyAlignment="1" applyProtection="1">
      <alignment horizontal="left"/>
      <protection locked="0"/>
    </xf>
    <xf numFmtId="0" fontId="21" fillId="6" borderId="1" xfId="0" applyFont="1" applyFill="1" applyBorder="1" applyAlignment="1" applyProtection="1">
      <alignment horizontal="left"/>
      <protection locked="0"/>
    </xf>
    <xf numFmtId="165" fontId="5" fillId="6" borderId="1" xfId="0" applyNumberFormat="1" applyFont="1" applyFill="1" applyBorder="1"/>
    <xf numFmtId="0" fontId="30" fillId="5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21" fillId="2" borderId="1" xfId="0" applyFont="1" applyFill="1" applyBorder="1" applyAlignment="1" applyProtection="1">
      <alignment horizontal="left"/>
      <protection locked="0"/>
    </xf>
    <xf numFmtId="0" fontId="21" fillId="5" borderId="1" xfId="0" applyFont="1" applyFill="1" applyBorder="1" applyAlignment="1" applyProtection="1">
      <alignment horizontal="left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0" borderId="6" xfId="0" applyFont="1" applyBorder="1"/>
    <xf numFmtId="0" fontId="19" fillId="0" borderId="6" xfId="0" applyFont="1" applyBorder="1"/>
    <xf numFmtId="165" fontId="19" fillId="0" borderId="6" xfId="0" applyNumberFormat="1" applyFont="1" applyBorder="1"/>
    <xf numFmtId="0" fontId="5" fillId="2" borderId="4" xfId="0" applyFont="1" applyFill="1" applyBorder="1" applyAlignment="1" applyProtection="1">
      <alignment horizontal="center"/>
      <protection locked="0"/>
    </xf>
    <xf numFmtId="165" fontId="6" fillId="0" borderId="4" xfId="0" applyNumberFormat="1" applyFont="1" applyBorder="1"/>
    <xf numFmtId="165" fontId="17" fillId="3" borderId="4" xfId="0" applyNumberFormat="1" applyFont="1" applyFill="1" applyBorder="1"/>
    <xf numFmtId="0" fontId="19" fillId="3" borderId="4" xfId="0" applyFont="1" applyFill="1" applyBorder="1"/>
    <xf numFmtId="165" fontId="17" fillId="0" borderId="4" xfId="0" applyNumberFormat="1" applyFont="1" applyBorder="1"/>
    <xf numFmtId="164" fontId="6" fillId="7" borderId="5" xfId="0" applyNumberFormat="1" applyFont="1" applyFill="1" applyBorder="1"/>
    <xf numFmtId="164" fontId="6" fillId="4" borderId="5" xfId="0" applyNumberFormat="1" applyFont="1" applyFill="1" applyBorder="1"/>
    <xf numFmtId="164" fontId="31" fillId="0" borderId="0" xfId="0" applyNumberFormat="1" applyFont="1"/>
    <xf numFmtId="9" fontId="32" fillId="0" borderId="0" xfId="0" applyNumberFormat="1" applyFont="1"/>
    <xf numFmtId="0" fontId="32" fillId="0" borderId="0" xfId="0" applyFont="1"/>
    <xf numFmtId="165" fontId="5" fillId="0" borderId="0" xfId="2" applyFont="1" applyFill="1"/>
    <xf numFmtId="164" fontId="6" fillId="0" borderId="5" xfId="0" applyNumberFormat="1" applyFont="1" applyBorder="1"/>
    <xf numFmtId="164" fontId="32" fillId="0" borderId="0" xfId="0" applyNumberFormat="1" applyFont="1"/>
    <xf numFmtId="165" fontId="5" fillId="8" borderId="0" xfId="2" applyFont="1" applyFill="1"/>
    <xf numFmtId="164" fontId="5" fillId="8" borderId="0" xfId="0" applyNumberFormat="1" applyFont="1" applyFill="1"/>
    <xf numFmtId="0" fontId="6" fillId="0" borderId="0" xfId="0" applyFont="1" applyAlignment="1">
      <alignment horizontal="right" wrapText="1"/>
    </xf>
    <xf numFmtId="165" fontId="6" fillId="11" borderId="0" xfId="2" applyFont="1" applyFill="1"/>
    <xf numFmtId="164" fontId="6" fillId="11" borderId="0" xfId="0" applyNumberFormat="1" applyFont="1" applyFill="1"/>
    <xf numFmtId="0" fontId="6" fillId="0" borderId="11" xfId="0" applyFont="1" applyBorder="1"/>
    <xf numFmtId="0" fontId="6" fillId="0" borderId="14" xfId="0" applyFont="1" applyBorder="1"/>
    <xf numFmtId="0" fontId="6" fillId="0" borderId="15" xfId="0" applyFont="1" applyBorder="1"/>
    <xf numFmtId="165" fontId="6" fillId="4" borderId="0" xfId="2" applyFont="1" applyFill="1"/>
    <xf numFmtId="0" fontId="6" fillId="7" borderId="0" xfId="0" applyFont="1" applyFill="1" applyAlignment="1">
      <alignment horizontal="right"/>
    </xf>
    <xf numFmtId="165" fontId="5" fillId="7" borderId="0" xfId="2" applyFont="1" applyFill="1"/>
    <xf numFmtId="164" fontId="6" fillId="5" borderId="0" xfId="0" applyNumberFormat="1" applyFont="1" applyFill="1"/>
    <xf numFmtId="164" fontId="6" fillId="0" borderId="13" xfId="0" applyNumberFormat="1" applyFont="1" applyBorder="1"/>
    <xf numFmtId="0" fontId="6" fillId="0" borderId="0" xfId="0" applyFont="1" applyAlignment="1">
      <alignment horizontal="left" vertical="center"/>
    </xf>
    <xf numFmtId="0" fontId="33" fillId="0" borderId="0" xfId="0" applyFont="1"/>
    <xf numFmtId="0" fontId="26" fillId="0" borderId="0" xfId="5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8" fontId="5" fillId="9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vertical="center"/>
    </xf>
    <xf numFmtId="43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vertical="center"/>
    </xf>
    <xf numFmtId="165" fontId="6" fillId="0" borderId="0" xfId="2" applyFont="1" applyFill="1" applyBorder="1" applyAlignment="1">
      <alignment horizontal="right" vertical="center"/>
    </xf>
    <xf numFmtId="165" fontId="6" fillId="0" borderId="0" xfId="2" applyFont="1" applyFill="1" applyBorder="1" applyAlignment="1">
      <alignment vertical="center"/>
    </xf>
    <xf numFmtId="165" fontId="6" fillId="4" borderId="1" xfId="2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168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69" fontId="6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6" fillId="10" borderId="1" xfId="0" applyFont="1" applyFill="1" applyBorder="1" applyAlignment="1">
      <alignment vertical="center"/>
    </xf>
    <xf numFmtId="165" fontId="6" fillId="10" borderId="1" xfId="2" applyFont="1" applyFill="1" applyBorder="1" applyAlignment="1">
      <alignment horizontal="right" vertical="center"/>
    </xf>
    <xf numFmtId="165" fontId="6" fillId="10" borderId="1" xfId="2" applyFont="1" applyFill="1" applyBorder="1" applyAlignment="1">
      <alignment vertical="center"/>
    </xf>
    <xf numFmtId="165" fontId="5" fillId="0" borderId="0" xfId="2" applyFont="1" applyFill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12" xfId="3" applyNumberFormat="1" applyFont="1" applyFill="1" applyBorder="1" applyAlignment="1">
      <alignment horizontal="center"/>
    </xf>
    <xf numFmtId="4" fontId="6" fillId="0" borderId="1" xfId="3" applyNumberFormat="1" applyFont="1" applyFill="1" applyBorder="1" applyAlignment="1">
      <alignment wrapText="1"/>
    </xf>
    <xf numFmtId="165" fontId="5" fillId="0" borderId="4" xfId="2" applyFont="1" applyFill="1" applyBorder="1" applyAlignment="1">
      <alignment horizontal="center" vertical="center"/>
    </xf>
    <xf numFmtId="4" fontId="6" fillId="0" borderId="1" xfId="3" applyNumberFormat="1" applyFont="1" applyFill="1" applyBorder="1"/>
    <xf numFmtId="0" fontId="6" fillId="0" borderId="1" xfId="0" applyFont="1" applyBorder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68" fontId="6" fillId="0" borderId="0" xfId="1" applyNumberFormat="1" applyFont="1" applyFill="1" applyBorder="1" applyAlignment="1">
      <alignment horizontal="right" vertical="center"/>
    </xf>
    <xf numFmtId="168" fontId="6" fillId="0" borderId="0" xfId="1" applyNumberFormat="1" applyFont="1" applyFill="1" applyBorder="1" applyAlignment="1">
      <alignment vertical="center"/>
    </xf>
    <xf numFmtId="165" fontId="6" fillId="9" borderId="1" xfId="2" applyFont="1" applyFill="1" applyBorder="1" applyAlignment="1">
      <alignment horizontal="right" vertical="center"/>
    </xf>
    <xf numFmtId="164" fontId="6" fillId="10" borderId="1" xfId="2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165" fontId="6" fillId="10" borderId="1" xfId="2" applyFont="1" applyFill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165" fontId="6" fillId="0" borderId="0" xfId="2" applyFont="1" applyFill="1" applyAlignment="1">
      <alignment vertical="center"/>
    </xf>
    <xf numFmtId="165" fontId="6" fillId="0" borderId="2" xfId="2" applyFont="1" applyFill="1" applyBorder="1" applyAlignment="1">
      <alignment horizontal="right" vertical="center"/>
    </xf>
    <xf numFmtId="165" fontId="6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6" fillId="0" borderId="2" xfId="2" applyFont="1" applyFill="1" applyBorder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4" xfId="0" applyFont="1" applyBorder="1" applyAlignment="1">
      <alignment horizontal="left" vertical="center"/>
    </xf>
    <xf numFmtId="165" fontId="5" fillId="9" borderId="1" xfId="2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10" fontId="6" fillId="0" borderId="0" xfId="0" applyNumberFormat="1" applyFont="1" applyAlignment="1">
      <alignment horizontal="right" vertical="center"/>
    </xf>
    <xf numFmtId="165" fontId="5" fillId="0" borderId="8" xfId="2" applyFont="1" applyFill="1" applyBorder="1" applyAlignment="1">
      <alignment horizontal="right" vertical="center"/>
    </xf>
    <xf numFmtId="165" fontId="6" fillId="0" borderId="9" xfId="2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0" fontId="6" fillId="0" borderId="4" xfId="0" applyFont="1" applyBorder="1" applyAlignment="1">
      <alignment horizontal="right" vertical="center"/>
    </xf>
    <xf numFmtId="165" fontId="5" fillId="0" borderId="8" xfId="2" applyFont="1" applyFill="1" applyBorder="1" applyAlignment="1">
      <alignment vertical="center"/>
    </xf>
    <xf numFmtId="165" fontId="33" fillId="0" borderId="0" xfId="2" applyFont="1" applyFill="1" applyBorder="1" applyAlignment="1">
      <alignment horizontal="right" vertical="center"/>
    </xf>
    <xf numFmtId="165" fontId="34" fillId="0" borderId="0" xfId="2" applyFont="1" applyFill="1" applyBorder="1" applyAlignment="1">
      <alignment horizontal="right" vertical="center"/>
    </xf>
    <xf numFmtId="165" fontId="34" fillId="0" borderId="0" xfId="2" applyFont="1" applyFill="1" applyBorder="1" applyAlignment="1">
      <alignment vertical="center"/>
    </xf>
    <xf numFmtId="49" fontId="6" fillId="10" borderId="1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left" vertical="center" shrinkToFit="1"/>
    </xf>
    <xf numFmtId="0" fontId="5" fillId="10" borderId="1" xfId="0" applyFont="1" applyFill="1" applyBorder="1" applyAlignment="1">
      <alignment horizontal="center" vertical="center"/>
    </xf>
    <xf numFmtId="165" fontId="5" fillId="10" borderId="1" xfId="2" applyFont="1" applyFill="1" applyBorder="1" applyAlignment="1">
      <alignment horizontal="right" vertical="center"/>
    </xf>
    <xf numFmtId="165" fontId="5" fillId="10" borderId="1" xfId="2" applyFont="1" applyFill="1" applyBorder="1" applyAlignment="1">
      <alignment vertical="center"/>
    </xf>
    <xf numFmtId="0" fontId="26" fillId="0" borderId="0" xfId="5" applyFont="1" applyFill="1" applyAlignment="1">
      <alignment vertical="center"/>
    </xf>
    <xf numFmtId="165" fontId="35" fillId="0" borderId="0" xfId="2" applyFont="1" applyFill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vertical="center"/>
    </xf>
    <xf numFmtId="9" fontId="6" fillId="0" borderId="0" xfId="2" applyNumberFormat="1" applyFont="1" applyFill="1" applyBorder="1" applyAlignment="1">
      <alignment horizontal="right" vertical="center"/>
    </xf>
    <xf numFmtId="9" fontId="6" fillId="0" borderId="0" xfId="2" applyNumberFormat="1" applyFont="1" applyFill="1" applyBorder="1" applyAlignment="1">
      <alignment vertical="center"/>
    </xf>
    <xf numFmtId="165" fontId="6" fillId="0" borderId="0" xfId="2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168" fontId="6" fillId="0" borderId="0" xfId="1" applyNumberFormat="1" applyFont="1" applyFill="1" applyBorder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0" fontId="36" fillId="0" borderId="0" xfId="0" applyFont="1"/>
    <xf numFmtId="0" fontId="19" fillId="0" borderId="0" xfId="0" applyFont="1"/>
    <xf numFmtId="165" fontId="17" fillId="0" borderId="0" xfId="2" applyFont="1" applyFill="1" applyBorder="1"/>
    <xf numFmtId="165" fontId="5" fillId="0" borderId="0" xfId="2" applyFont="1" applyFill="1" applyBorder="1"/>
    <xf numFmtId="0" fontId="17" fillId="0" borderId="1" xfId="0" applyFont="1" applyBorder="1"/>
    <xf numFmtId="0" fontId="17" fillId="0" borderId="0" xfId="0" applyFont="1"/>
    <xf numFmtId="165" fontId="5" fillId="0" borderId="1" xfId="0" applyNumberFormat="1" applyFont="1" applyBorder="1"/>
    <xf numFmtId="165" fontId="17" fillId="0" borderId="0" xfId="0" applyNumberFormat="1" applyFont="1"/>
    <xf numFmtId="165" fontId="17" fillId="0" borderId="0" xfId="2" applyFont="1" applyBorder="1"/>
    <xf numFmtId="165" fontId="6" fillId="0" borderId="0" xfId="2" applyFont="1" applyBorder="1"/>
    <xf numFmtId="0" fontId="11" fillId="0" borderId="1" xfId="0" applyFont="1" applyBorder="1"/>
    <xf numFmtId="165" fontId="36" fillId="0" borderId="0" xfId="0" applyNumberFormat="1" applyFont="1"/>
    <xf numFmtId="167" fontId="5" fillId="0" borderId="0" xfId="2" applyNumberFormat="1" applyFont="1"/>
    <xf numFmtId="165" fontId="5" fillId="0" borderId="0" xfId="2" applyFont="1" applyBorder="1"/>
    <xf numFmtId="0" fontId="37" fillId="0" borderId="0" xfId="0" applyFont="1" applyAlignment="1">
      <alignment horizontal="center"/>
    </xf>
    <xf numFmtId="165" fontId="37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165" fontId="38" fillId="0" borderId="0" xfId="0" applyNumberFormat="1" applyFont="1"/>
    <xf numFmtId="10" fontId="38" fillId="0" borderId="0" xfId="0" applyNumberFormat="1" applyFont="1"/>
    <xf numFmtId="0" fontId="19" fillId="2" borderId="1" xfId="0" applyFont="1" applyFill="1" applyBorder="1" applyAlignment="1" applyProtection="1">
      <alignment vertical="center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165" fontId="38" fillId="0" borderId="0" xfId="0" applyNumberFormat="1" applyFont="1" applyAlignment="1">
      <alignment horizontal="left"/>
    </xf>
    <xf numFmtId="165" fontId="5" fillId="0" borderId="1" xfId="0" applyNumberFormat="1" applyFont="1" applyBorder="1" applyAlignment="1">
      <alignment horizontal="left"/>
    </xf>
    <xf numFmtId="165" fontId="5" fillId="0" borderId="0" xfId="0" applyNumberFormat="1" applyFont="1" applyAlignment="1">
      <alignment horizontal="center"/>
    </xf>
    <xf numFmtId="10" fontId="6" fillId="0" borderId="0" xfId="0" applyNumberFormat="1" applyFont="1"/>
    <xf numFmtId="165" fontId="37" fillId="0" borderId="0" xfId="2" applyFont="1" applyFill="1" applyBorder="1" applyAlignment="1">
      <alignment horizontal="right"/>
    </xf>
    <xf numFmtId="10" fontId="5" fillId="0" borderId="0" xfId="0" applyNumberFormat="1" applyFont="1"/>
    <xf numFmtId="0" fontId="5" fillId="0" borderId="0" xfId="0" applyFont="1" applyAlignment="1">
      <alignment horizontal="right"/>
    </xf>
    <xf numFmtId="0" fontId="7" fillId="0" borderId="0" xfId="5"/>
    <xf numFmtId="0" fontId="6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169" fontId="6" fillId="0" borderId="0" xfId="0" applyNumberFormat="1" applyFont="1"/>
    <xf numFmtId="0" fontId="5" fillId="14" borderId="0" xfId="0" applyFont="1" applyFill="1" applyAlignment="1">
      <alignment vertical="center"/>
    </xf>
    <xf numFmtId="0" fontId="6" fillId="14" borderId="0" xfId="0" applyFont="1" applyFill="1" applyAlignment="1">
      <alignment horizontal="left" vertical="center"/>
    </xf>
    <xf numFmtId="0" fontId="6" fillId="14" borderId="0" xfId="0" applyFont="1" applyFill="1" applyAlignment="1">
      <alignment vertical="center"/>
    </xf>
    <xf numFmtId="0" fontId="6" fillId="14" borderId="0" xfId="0" applyFont="1" applyFill="1" applyAlignment="1">
      <alignment horizontal="right" vertical="center"/>
    </xf>
    <xf numFmtId="0" fontId="6" fillId="14" borderId="0" xfId="0" applyFont="1" applyFill="1" applyAlignment="1">
      <alignment vertical="center" shrinkToFit="1"/>
    </xf>
    <xf numFmtId="165" fontId="6" fillId="14" borderId="0" xfId="2" applyFont="1" applyFill="1" applyBorder="1" applyAlignment="1">
      <alignment vertical="center"/>
    </xf>
    <xf numFmtId="165" fontId="6" fillId="14" borderId="0" xfId="2" applyFont="1" applyFill="1" applyBorder="1" applyAlignment="1">
      <alignment horizontal="right" vertical="center"/>
    </xf>
    <xf numFmtId="0" fontId="6" fillId="14" borderId="0" xfId="0" applyFont="1" applyFill="1" applyAlignment="1">
      <alignment horizontal="center" vertical="center"/>
    </xf>
    <xf numFmtId="0" fontId="5" fillId="14" borderId="0" xfId="0" applyFont="1" applyFill="1" applyAlignment="1">
      <alignment horizontal="center" vertical="center"/>
    </xf>
    <xf numFmtId="165" fontId="5" fillId="14" borderId="0" xfId="2" applyFont="1" applyFill="1" applyBorder="1" applyAlignment="1">
      <alignment horizontal="right" vertical="center"/>
    </xf>
    <xf numFmtId="168" fontId="6" fillId="14" borderId="0" xfId="0" applyNumberFormat="1" applyFont="1" applyFill="1" applyAlignment="1">
      <alignment horizontal="right" vertical="center"/>
    </xf>
    <xf numFmtId="168" fontId="6" fillId="14" borderId="0" xfId="0" applyNumberFormat="1" applyFont="1" applyFill="1" applyAlignment="1">
      <alignment vertical="center"/>
    </xf>
    <xf numFmtId="168" fontId="6" fillId="14" borderId="0" xfId="1" applyNumberFormat="1" applyFont="1" applyFill="1" applyBorder="1" applyAlignment="1">
      <alignment horizontal="right" vertical="center"/>
    </xf>
    <xf numFmtId="168" fontId="6" fillId="14" borderId="0" xfId="1" applyNumberFormat="1" applyFont="1" applyFill="1" applyBorder="1" applyAlignment="1">
      <alignment horizontal="center" vertical="center"/>
    </xf>
    <xf numFmtId="168" fontId="6" fillId="14" borderId="0" xfId="1" applyNumberFormat="1" applyFont="1" applyFill="1" applyBorder="1" applyAlignment="1">
      <alignment vertical="center"/>
    </xf>
    <xf numFmtId="165" fontId="6" fillId="10" borderId="1" xfId="0" applyNumberFormat="1" applyFont="1" applyFill="1" applyBorder="1" applyAlignment="1">
      <alignment horizontal="center" vertical="center"/>
    </xf>
    <xf numFmtId="165" fontId="6" fillId="15" borderId="1" xfId="2" applyFont="1" applyFill="1" applyBorder="1" applyAlignment="1">
      <alignment vertical="center"/>
    </xf>
    <xf numFmtId="165" fontId="6" fillId="10" borderId="4" xfId="2" applyFont="1" applyFill="1" applyBorder="1" applyAlignment="1">
      <alignment vertical="center"/>
    </xf>
    <xf numFmtId="0" fontId="6" fillId="10" borderId="11" xfId="0" applyFont="1" applyFill="1" applyBorder="1" applyAlignment="1">
      <alignment horizontal="center"/>
    </xf>
    <xf numFmtId="0" fontId="6" fillId="10" borderId="10" xfId="0" applyFont="1" applyFill="1" applyBorder="1"/>
    <xf numFmtId="49" fontId="6" fillId="10" borderId="1" xfId="0" applyNumberFormat="1" applyFont="1" applyFill="1" applyBorder="1" applyAlignment="1">
      <alignment horizontal="center"/>
    </xf>
    <xf numFmtId="0" fontId="6" fillId="10" borderId="1" xfId="5" applyFont="1" applyFill="1" applyBorder="1" applyAlignment="1">
      <alignment shrinkToFit="1"/>
    </xf>
    <xf numFmtId="0" fontId="6" fillId="10" borderId="0" xfId="0" applyFont="1" applyFill="1"/>
    <xf numFmtId="0" fontId="6" fillId="10" borderId="0" xfId="0" applyFont="1" applyFill="1" applyAlignment="1">
      <alignment horizontal="center"/>
    </xf>
    <xf numFmtId="17" fontId="6" fillId="10" borderId="0" xfId="0" applyNumberFormat="1" applyFont="1" applyFill="1"/>
    <xf numFmtId="49" fontId="6" fillId="10" borderId="0" xfId="0" applyNumberFormat="1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6" fillId="10" borderId="0" xfId="5" applyFont="1" applyFill="1" applyBorder="1" applyAlignment="1">
      <alignment shrinkToFit="1"/>
    </xf>
    <xf numFmtId="0" fontId="39" fillId="10" borderId="0" xfId="5" applyFont="1" applyFill="1" applyBorder="1" applyAlignment="1">
      <alignment shrinkToFit="1"/>
    </xf>
    <xf numFmtId="0" fontId="6" fillId="10" borderId="1" xfId="0" applyFont="1" applyFill="1" applyBorder="1"/>
    <xf numFmtId="0" fontId="6" fillId="10" borderId="1" xfId="0" applyFont="1" applyFill="1" applyBorder="1" applyAlignment="1">
      <alignment horizontal="left"/>
    </xf>
    <xf numFmtId="0" fontId="2" fillId="10" borderId="1" xfId="5" applyFont="1" applyFill="1" applyBorder="1" applyAlignment="1">
      <alignment shrinkToFit="1"/>
    </xf>
    <xf numFmtId="0" fontId="7" fillId="10" borderId="0" xfId="5" applyFill="1" applyBorder="1" applyAlignment="1">
      <alignment shrinkToFit="1"/>
    </xf>
    <xf numFmtId="0" fontId="5" fillId="0" borderId="4" xfId="0" applyFont="1" applyBorder="1" applyAlignment="1">
      <alignment horizontal="center" vertical="center"/>
    </xf>
    <xf numFmtId="165" fontId="6" fillId="0" borderId="1" xfId="2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8" fontId="5" fillId="0" borderId="1" xfId="0" applyNumberFormat="1" applyFont="1" applyFill="1" applyBorder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25" fillId="10" borderId="0" xfId="0" applyFont="1" applyFill="1" applyAlignment="1">
      <alignment horizontal="center" vertical="center" wrapText="1"/>
    </xf>
    <xf numFmtId="0" fontId="25" fillId="10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/>
    <xf numFmtId="0" fontId="5" fillId="0" borderId="4" xfId="0" applyFont="1" applyBorder="1"/>
    <xf numFmtId="0" fontId="5" fillId="0" borderId="0" xfId="0" applyFont="1" applyAlignment="1">
      <alignment horizontal="center" shrinkToFi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2" xfId="2" applyFont="1" applyFill="1" applyBorder="1" applyAlignment="1">
      <alignment horizontal="center" vertical="center"/>
    </xf>
    <xf numFmtId="165" fontId="5" fillId="0" borderId="4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5" fontId="5" fillId="0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8" fontId="6" fillId="0" borderId="0" xfId="1" applyNumberFormat="1" applyFont="1" applyFill="1" applyBorder="1" applyAlignment="1">
      <alignment horizontal="center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5" xfId="0" applyFont="1" applyBorder="1" applyAlignment="1">
      <alignment horizontal="center" wrapText="1"/>
    </xf>
    <xf numFmtId="0" fontId="5" fillId="14" borderId="0" xfId="0" applyFont="1" applyFill="1" applyAlignment="1">
      <alignment horizontal="center" vertical="center"/>
    </xf>
    <xf numFmtId="0" fontId="5" fillId="14" borderId="0" xfId="0" applyFont="1" applyFill="1" applyAlignment="1">
      <alignment horizontal="center" vertical="center" shrinkToFit="1"/>
    </xf>
    <xf numFmtId="0" fontId="5" fillId="14" borderId="5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165" fontId="5" fillId="9" borderId="2" xfId="2" applyFont="1" applyFill="1" applyBorder="1" applyAlignment="1">
      <alignment horizontal="center" vertical="center"/>
    </xf>
    <xf numFmtId="165" fontId="5" fillId="9" borderId="4" xfId="2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vertical="center"/>
    </xf>
    <xf numFmtId="0" fontId="5" fillId="9" borderId="4" xfId="0" applyFont="1" applyFill="1" applyBorder="1" applyAlignment="1">
      <alignment vertical="center"/>
    </xf>
    <xf numFmtId="168" fontId="6" fillId="0" borderId="0" xfId="1" applyNumberFormat="1" applyFont="1" applyFill="1" applyBorder="1" applyAlignment="1">
      <alignment horizontal="center" vertical="center"/>
    </xf>
    <xf numFmtId="165" fontId="5" fillId="9" borderId="1" xfId="2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164" fontId="6" fillId="0" borderId="0" xfId="0" applyNumberFormat="1" applyFont="1" applyAlignment="1">
      <alignment horizontal="center"/>
    </xf>
    <xf numFmtId="10" fontId="17" fillId="12" borderId="8" xfId="0" applyNumberFormat="1" applyFont="1" applyFill="1" applyBorder="1" applyAlignment="1">
      <alignment horizontal="center" wrapText="1"/>
    </xf>
  </cellXfs>
  <cellStyles count="10">
    <cellStyle name="Euro" xfId="3"/>
    <cellStyle name="Euro 2" xfId="4"/>
    <cellStyle name="Euro 3" xfId="8"/>
    <cellStyle name="Hipervínculo" xfId="5" builtinId="8"/>
    <cellStyle name="Millares" xfId="1" builtinId="3"/>
    <cellStyle name="Moneda" xfId="2" builtinId="4"/>
    <cellStyle name="Moneda 2" xfId="7"/>
    <cellStyle name="Normal" xfId="0" builtinId="0"/>
    <cellStyle name="Normal 2" xfId="6"/>
    <cellStyle name="Porcentaje" xfId="9" builtinId="5"/>
  </cellStyles>
  <dxfs count="13">
    <dxf>
      <numFmt numFmtId="164" formatCode="_-&quot;$&quot;* #,##0.00_-;\-&quot;$&quot;* #,##0.00_-;_-&quot;$&quot;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CCFF66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PRESUPUESTO DE INGRESOS POR CUENTA</a:t>
            </a:r>
          </a:p>
        </c:rich>
      </c:tx>
      <c:layout>
        <c:manualLayout>
          <c:xMode val="edge"/>
          <c:yMode val="edge"/>
          <c:x val="0.31631520532743146"/>
          <c:y val="1.95758564437199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50388457270444"/>
          <c:y val="0.12372881355932204"/>
          <c:w val="0.51831298557158656"/>
          <c:h val="0.79152542372881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'CONSOL CUENTA'!$A$13:$B$13</c:f>
              <c:strCache>
                <c:ptCount val="2"/>
                <c:pt idx="0">
                  <c:v>118</c:v>
                </c:pt>
                <c:pt idx="1">
                  <c:v>IMPUESTOS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'CONSOL CUENTA'!$C$2:$C$12</c:f>
              <c:strCache>
                <c:ptCount val="11"/>
                <c:pt idx="10">
                  <c:v>MONTO</c:v>
                </c:pt>
              </c:strCache>
            </c:strRef>
          </c:cat>
          <c:val>
            <c:numRef>
              <c:f>'CONSOL CUENTA'!$C$13</c:f>
              <c:numCache>
                <c:formatCode>_("$"* #,##0.00_);_("$"* \(#,##0.00\);_("$"* "-"??_);_(@_)</c:formatCode>
                <c:ptCount val="1"/>
                <c:pt idx="0">
                  <c:v>1033130.82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50-4385-920F-C7FBDB481B04}"/>
            </c:ext>
          </c:extLst>
        </c:ser>
        <c:ser>
          <c:idx val="1"/>
          <c:order val="1"/>
          <c:tx>
            <c:strRef>
              <c:f>'CONSOL CUENTA'!$A$14:$B$14</c:f>
              <c:strCache>
                <c:ptCount val="2"/>
                <c:pt idx="0">
                  <c:v>121</c:v>
                </c:pt>
                <c:pt idx="1">
                  <c:v>TASAS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'CONSOL CUENTA'!$C$2:$C$12</c:f>
              <c:strCache>
                <c:ptCount val="11"/>
                <c:pt idx="10">
                  <c:v>MONTO</c:v>
                </c:pt>
              </c:strCache>
            </c:strRef>
          </c:cat>
          <c:val>
            <c:numRef>
              <c:f>'CONSOL CUENTA'!$C$14</c:f>
              <c:numCache>
                <c:formatCode>_("$"* #,##0.00_);_("$"* \(#,##0.00\);_("$"* "-"??_);_(@_)</c:formatCode>
                <c:ptCount val="1"/>
                <c:pt idx="0">
                  <c:v>2342664.61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50-4385-920F-C7FBDB481B04}"/>
            </c:ext>
          </c:extLst>
        </c:ser>
        <c:ser>
          <c:idx val="2"/>
          <c:order val="2"/>
          <c:tx>
            <c:strRef>
              <c:f>'CONSOL CUENTA'!$A$15:$B$15</c:f>
              <c:strCache>
                <c:ptCount val="2"/>
                <c:pt idx="0">
                  <c:v>122</c:v>
                </c:pt>
                <c:pt idx="1">
                  <c:v>DERECHOS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'CONSOL CUENTA'!$C$2:$C$12</c:f>
              <c:strCache>
                <c:ptCount val="11"/>
                <c:pt idx="10">
                  <c:v>MONTO</c:v>
                </c:pt>
              </c:strCache>
            </c:strRef>
          </c:cat>
          <c:val>
            <c:numRef>
              <c:f>'CONSOL CUENTA'!$C$15</c:f>
              <c:numCache>
                <c:formatCode>_("$"* #,##0.00_);_("$"* \(#,##0.00\);_("$"* "-"??_);_(@_)</c:formatCode>
                <c:ptCount val="1"/>
                <c:pt idx="0">
                  <c:v>242351.85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50-4385-920F-C7FBDB481B04}"/>
            </c:ext>
          </c:extLst>
        </c:ser>
        <c:ser>
          <c:idx val="3"/>
          <c:order val="3"/>
          <c:tx>
            <c:strRef>
              <c:f>'CONSOL CUENTA'!$A$16:$B$16</c:f>
              <c:strCache>
                <c:ptCount val="2"/>
                <c:pt idx="0">
                  <c:v>153</c:v>
                </c:pt>
                <c:pt idx="1">
                  <c:v>MULTAS E INTERESES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'CONSOL CUENTA'!$C$2:$C$12</c:f>
              <c:strCache>
                <c:ptCount val="11"/>
                <c:pt idx="10">
                  <c:v>MONTO</c:v>
                </c:pt>
              </c:strCache>
            </c:strRef>
          </c:cat>
          <c:val>
            <c:numRef>
              <c:f>'CONSOL CUENTA'!$C$16</c:f>
              <c:numCache>
                <c:formatCode>_("$"* #,##0.00_);_("$"* \(#,##0.00\);_("$"* "-"??_);_(@_)</c:formatCode>
                <c:ptCount val="1"/>
                <c:pt idx="0">
                  <c:v>69284.479999999996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350-4385-920F-C7FBDB481B04}"/>
            </c:ext>
          </c:extLst>
        </c:ser>
        <c:ser>
          <c:idx val="4"/>
          <c:order val="4"/>
          <c:tx>
            <c:strRef>
              <c:f>'CONSOL CUENTA'!$A$17:$B$17</c:f>
              <c:strCache>
                <c:ptCount val="2"/>
                <c:pt idx="0">
                  <c:v>154</c:v>
                </c:pt>
                <c:pt idx="1">
                  <c:v>ARRENDAMIENTO DE BIENES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'CONSOL CUENTA'!$C$2:$C$12</c:f>
              <c:strCache>
                <c:ptCount val="11"/>
                <c:pt idx="10">
                  <c:v>MONTO</c:v>
                </c:pt>
              </c:strCache>
            </c:strRef>
          </c:cat>
          <c:val>
            <c:numRef>
              <c:f>'CONSOL CUENTA'!$C$17</c:f>
              <c:numCache>
                <c:formatCode>_("$"* #,##0.00_);_("$"* \(#,##0.00\);_("$"* "-"??_);_(@_)</c:formatCode>
                <c:ptCount val="1"/>
                <c:pt idx="0">
                  <c:v>182.31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350-4385-920F-C7FBDB481B04}"/>
            </c:ext>
          </c:extLst>
        </c:ser>
        <c:ser>
          <c:idx val="5"/>
          <c:order val="5"/>
          <c:tx>
            <c:strRef>
              <c:f>'CONSOL CUENTA'!$A$18:$B$18</c:f>
              <c:strCache>
                <c:ptCount val="2"/>
                <c:pt idx="0">
                  <c:v>157</c:v>
                </c:pt>
                <c:pt idx="1">
                  <c:v>OTROS INGRESOS NO CLASIFICADOS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'CONSOL CUENTA'!$C$2:$C$12</c:f>
              <c:strCache>
                <c:ptCount val="11"/>
                <c:pt idx="10">
                  <c:v>MONTO</c:v>
                </c:pt>
              </c:strCache>
            </c:strRef>
          </c:cat>
          <c:val>
            <c:numRef>
              <c:f>'CONSOL CUENTA'!$C$18</c:f>
              <c:numCache>
                <c:formatCode>_("$"* #,##0.00_);_("$"* \(#,##0.00\);_("$"* "-"??_);_(@_)</c:formatCode>
                <c:ptCount val="1"/>
                <c:pt idx="0">
                  <c:v>124054.17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350-4385-920F-C7FBDB481B04}"/>
            </c:ext>
          </c:extLst>
        </c:ser>
        <c:ser>
          <c:idx val="6"/>
          <c:order val="6"/>
          <c:tx>
            <c:strRef>
              <c:f>'CONSOL CUENTA'!#REF!</c:f>
              <c:strCache>
                <c:ptCount val="1"/>
                <c:pt idx="0">
                  <c:v>221 VENTA DE BIENES MUEBLES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'CONSOL CUENTA'!$C$2:$C$12</c:f>
              <c:strCache>
                <c:ptCount val="11"/>
                <c:pt idx="10">
                  <c:v>MONTO</c:v>
                </c:pt>
              </c:strCache>
            </c:strRef>
          </c:cat>
          <c:val>
            <c:numRef>
              <c:f>'CONSOL CUENTA'!#REF!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350-4385-920F-C7FBDB481B04}"/>
            </c:ext>
          </c:extLst>
        </c:ser>
        <c:ser>
          <c:idx val="7"/>
          <c:order val="7"/>
          <c:tx>
            <c:strRef>
              <c:f>'CONSOL CUENTA'!$A$20:$B$20</c:f>
              <c:strCache>
                <c:ptCount val="2"/>
                <c:pt idx="0">
                  <c:v>322</c:v>
                </c:pt>
                <c:pt idx="1">
                  <c:v>SALDOS DE AÑOS ANTERIORES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'CONSOL CUENTA'!$C$2:$C$12</c:f>
              <c:strCache>
                <c:ptCount val="11"/>
                <c:pt idx="10">
                  <c:v>MONTO</c:v>
                </c:pt>
              </c:strCache>
            </c:strRef>
          </c:cat>
          <c:val>
            <c:numRef>
              <c:f>'CONSOL CUENTA'!$C$20</c:f>
              <c:numCache>
                <c:formatCode>_("$"* #,##0.00_);_("$"* \(#,##0.00\);_("$"* "-"??_);_(@_)</c:formatCode>
                <c:ptCount val="1"/>
                <c:pt idx="0">
                  <c:v>3000000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350-4385-920F-C7FBDB481B04}"/>
            </c:ext>
          </c:extLst>
        </c:ser>
        <c:ser>
          <c:idx val="8"/>
          <c:order val="8"/>
          <c:tx>
            <c:strRef>
              <c:f>'CONSOL CUENTA'!$A$21:$B$21</c:f>
              <c:strCache>
                <c:ptCount val="2"/>
                <c:pt idx="0">
                  <c:v>162</c:v>
                </c:pt>
                <c:pt idx="1">
                  <c:v>TRANSFERENCIAS CORRIENTES (25%)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'CONSOL CUENTA'!$C$2:$C$12</c:f>
              <c:strCache>
                <c:ptCount val="11"/>
                <c:pt idx="10">
                  <c:v>MONTO</c:v>
                </c:pt>
              </c:strCache>
            </c:strRef>
          </c:cat>
          <c:val>
            <c:numRef>
              <c:f>'CONSOL CUENTA'!$C$21</c:f>
              <c:numCache>
                <c:formatCode>_("$"* #,##0.00_);_("$"* \(#,##0.00\);_("$"* "-"??_);_(@_)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350-4385-920F-C7FBDB481B04}"/>
            </c:ext>
          </c:extLst>
        </c:ser>
        <c:ser>
          <c:idx val="9"/>
          <c:order val="9"/>
          <c:tx>
            <c:strRef>
              <c:f>'CONSOL CUENTA'!$A$23:$B$23</c:f>
              <c:strCache>
                <c:ptCount val="2"/>
                <c:pt idx="0">
                  <c:v>222</c:v>
                </c:pt>
                <c:pt idx="1">
                  <c:v>TRANSFERENCIAS DE CAPITAL  (75%)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'CONSOL CUENTA'!$C$2:$C$12</c:f>
              <c:strCache>
                <c:ptCount val="11"/>
                <c:pt idx="10">
                  <c:v>MONTO</c:v>
                </c:pt>
              </c:strCache>
            </c:strRef>
          </c:cat>
          <c:val>
            <c:numRef>
              <c:f>'CONSOL CUENTA'!$C$23</c:f>
              <c:numCache>
                <c:formatCode>_("$"* #,##0.00_);_("$"* \(#,##0.00\);_("$"* "-"??_);_(@_)</c:formatCode>
                <c:ptCount val="1"/>
                <c:pt idx="0">
                  <c:v>711273.48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350-4385-920F-C7FBDB481B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7167008"/>
        <c:axId val="307170536"/>
      </c:barChart>
      <c:catAx>
        <c:axId val="30716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TIPO DE INGRESO</a:t>
                </a:r>
              </a:p>
            </c:rich>
          </c:tx>
          <c:layout>
            <c:manualLayout>
              <c:xMode val="edge"/>
              <c:yMode val="edge"/>
              <c:x val="0.33962264150945343"/>
              <c:y val="0.941272430668860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7170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7170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MONTO </a:t>
                </a:r>
              </a:p>
            </c:rich>
          </c:tx>
          <c:layout>
            <c:manualLayout>
              <c:xMode val="edge"/>
              <c:yMode val="edge"/>
              <c:x val="1.2208657047724751E-2"/>
              <c:y val="0.47634584013050568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7167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591564927860825"/>
          <c:y val="0.34094616639479164"/>
          <c:w val="0.31964483906771257"/>
          <c:h val="0.469820554649277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áfico9"/>
  <sheetViews>
    <sheetView zoomScale="87" workbookViewId="0"/>
  </sheetViews>
  <pageMargins left="0.75" right="0.75" top="1" bottom="1" header="0" footer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16328</xdr:rowOff>
    </xdr:from>
    <xdr:to>
      <xdr:col>4</xdr:col>
      <xdr:colOff>1006929</xdr:colOff>
      <xdr:row>48</xdr:row>
      <xdr:rowOff>54429</xdr:rowOff>
    </xdr:to>
    <xdr:sp macro="" textlink="">
      <xdr:nvSpPr>
        <xdr:cNvPr id="3" name="Rectángulo redondeado 2" title="ALCALDIA MUNICIPAL DE SAN MARTI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76200" y="16328"/>
          <a:ext cx="5285015" cy="8528958"/>
        </a:xfrm>
        <a:prstGeom prst="roundRect">
          <a:avLst/>
        </a:prstGeom>
        <a:noFill/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0</xdr:col>
      <xdr:colOff>408214</xdr:colOff>
      <xdr:row>8</xdr:row>
      <xdr:rowOff>68035</xdr:rowOff>
    </xdr:from>
    <xdr:to>
      <xdr:col>4</xdr:col>
      <xdr:colOff>451757</xdr:colOff>
      <xdr:row>33</xdr:row>
      <xdr:rowOff>43543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1483178"/>
          <a:ext cx="4397829" cy="43978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431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21</xdr:row>
          <xdr:rowOff>104775</xdr:rowOff>
        </xdr:from>
        <xdr:to>
          <xdr:col>5</xdr:col>
          <xdr:colOff>1409700</xdr:colOff>
          <xdr:row>23</xdr:row>
          <xdr:rowOff>152400</xdr:rowOff>
        </xdr:to>
        <xdr:sp macro="" textlink="">
          <xdr:nvSpPr>
            <xdr:cNvPr id="17411" name="Object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xmlns="" id="{00000000-0008-0000-0A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1981200</xdr:colOff>
          <xdr:row>21</xdr:row>
          <xdr:rowOff>38100</xdr:rowOff>
        </xdr:from>
        <xdr:to>
          <xdr:col>8</xdr:col>
          <xdr:colOff>76200</xdr:colOff>
          <xdr:row>23</xdr:row>
          <xdr:rowOff>133350</xdr:rowOff>
        </xdr:to>
        <xdr:sp macro="" textlink="">
          <xdr:nvSpPr>
            <xdr:cNvPr id="17413" name="Object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xmlns="" id="{00000000-0008-0000-0A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LA%20BORRADOR%20PRESU2024%20de%20Microsoft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BILIDAD%20H4\Desktop\2023\Proyeccion%20de%20Ingres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2023 V9 01-09-2023"/>
      <sheetName val="Hoja1"/>
    </sheetNames>
    <sheetDataSet>
      <sheetData sheetId="0">
        <row r="424">
          <cell r="I424">
            <v>45180</v>
          </cell>
        </row>
        <row r="426">
          <cell r="I426">
            <v>3559.5</v>
          </cell>
        </row>
        <row r="427">
          <cell r="I427">
            <v>3840.3</v>
          </cell>
        </row>
        <row r="433">
          <cell r="G433">
            <v>3765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Formula"/>
      <sheetName val="Distrubucion Ingreso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2" name="Tabla2" displayName="Tabla2" ref="A2:C12" totalsRowShown="0" headerRowDxfId="10" headerRowBorderDxfId="9" tableBorderDxfId="8" totalsRowBorderDxfId="7">
  <autoFilter ref="A2:C12"/>
  <tableColumns count="3">
    <tableColumn id="1" name="En Banco al 30 de Septiembre de 2022" dataDxfId="6"/>
    <tableColumn id="2" name="Total" dataDxfId="5" dataCellStyle="Moneda"/>
    <tableColumn id="3" name="Columna1"/>
  </tableColumns>
  <tableStyleInfo name="TableStyleDark2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A34:B38" totalsRowShown="0" headerRowBorderDxfId="4" tableBorderDxfId="3" totalsRowBorderDxfId="2">
  <autoFilter ref="A34:B38"/>
  <tableColumns count="2">
    <tableColumn id="1" name="Columna1" dataDxfId="1"/>
    <tableColumn id="2" name="Columna2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oleObject" Target="../embeddings/oleObject1.bin"/><Relationship Id="rId7" Type="http://schemas.openxmlformats.org/officeDocument/2006/relationships/table" Target="../tables/table1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3.xml"/><Relationship Id="rId6" Type="http://schemas.openxmlformats.org/officeDocument/2006/relationships/image" Target="../media/image4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180"/>
  <sheetViews>
    <sheetView tabSelected="1" zoomScale="85" zoomScaleNormal="85" zoomScaleSheetLayoutView="100" workbookViewId="0"/>
  </sheetViews>
  <sheetFormatPr baseColWidth="10" defaultColWidth="17.5703125" defaultRowHeight="14.25" customHeight="1" x14ac:dyDescent="0.2"/>
  <cols>
    <col min="1" max="5" width="16.28515625" style="63" customWidth="1"/>
    <col min="6" max="16384" width="17.5703125" style="63"/>
  </cols>
  <sheetData>
    <row r="1" spans="1:6" ht="14.25" customHeight="1" x14ac:dyDescent="0.2">
      <c r="B1" s="398"/>
      <c r="C1" s="398"/>
    </row>
    <row r="2" spans="1:6" ht="14.25" customHeight="1" x14ac:dyDescent="0.2">
      <c r="F2" s="64"/>
    </row>
    <row r="3" spans="1:6" ht="14.25" customHeight="1" x14ac:dyDescent="0.2">
      <c r="B3" s="65"/>
      <c r="C3" s="65"/>
      <c r="F3" s="64"/>
    </row>
    <row r="4" spans="1:6" ht="14.25" customHeight="1" x14ac:dyDescent="0.2">
      <c r="B4" s="66"/>
      <c r="C4" s="60"/>
      <c r="F4" s="64"/>
    </row>
    <row r="5" spans="1:6" ht="14.25" customHeight="1" x14ac:dyDescent="0.2">
      <c r="A5" s="399" t="s">
        <v>119</v>
      </c>
      <c r="B5" s="400"/>
      <c r="C5" s="399"/>
      <c r="D5" s="399"/>
      <c r="E5" s="399"/>
      <c r="F5" s="64"/>
    </row>
    <row r="6" spans="1:6" ht="14.25" customHeight="1" x14ac:dyDescent="0.2">
      <c r="A6" s="399"/>
      <c r="B6" s="399"/>
      <c r="C6" s="399"/>
      <c r="D6" s="399"/>
      <c r="E6" s="399"/>
      <c r="F6" s="64"/>
    </row>
    <row r="7" spans="1:6" ht="14.25" customHeight="1" x14ac:dyDescent="0.2">
      <c r="A7" s="399"/>
      <c r="B7" s="399"/>
      <c r="C7" s="399"/>
      <c r="D7" s="399"/>
      <c r="E7" s="399"/>
      <c r="F7" s="64"/>
    </row>
    <row r="8" spans="1:6" ht="14.25" customHeight="1" x14ac:dyDescent="0.2">
      <c r="B8" s="66"/>
      <c r="C8" s="60"/>
      <c r="F8" s="64"/>
    </row>
    <row r="9" spans="1:6" ht="14.25" customHeight="1" x14ac:dyDescent="0.2">
      <c r="B9" s="66"/>
      <c r="C9" s="60"/>
      <c r="F9" s="64"/>
    </row>
    <row r="10" spans="1:6" ht="14.25" customHeight="1" x14ac:dyDescent="0.2">
      <c r="B10" s="66"/>
      <c r="C10" s="60"/>
      <c r="F10" s="64"/>
    </row>
    <row r="11" spans="1:6" ht="14.25" customHeight="1" x14ac:dyDescent="0.2">
      <c r="B11" s="66"/>
      <c r="C11" s="60"/>
      <c r="F11" s="64"/>
    </row>
    <row r="12" spans="1:6" ht="14.25" customHeight="1" x14ac:dyDescent="0.2">
      <c r="B12" s="66"/>
      <c r="C12" s="60"/>
      <c r="F12" s="64"/>
    </row>
    <row r="13" spans="1:6" ht="14.25" customHeight="1" x14ac:dyDescent="0.2">
      <c r="B13" s="66"/>
      <c r="C13" s="60"/>
      <c r="F13" s="64"/>
    </row>
    <row r="14" spans="1:6" ht="14.25" customHeight="1" x14ac:dyDescent="0.2">
      <c r="B14" s="66"/>
      <c r="C14" s="60"/>
      <c r="F14" s="64"/>
    </row>
    <row r="15" spans="1:6" ht="14.25" customHeight="1" x14ac:dyDescent="0.2">
      <c r="B15" s="66"/>
      <c r="C15" s="60"/>
      <c r="F15" s="64"/>
    </row>
    <row r="16" spans="1:6" ht="14.25" customHeight="1" x14ac:dyDescent="0.2">
      <c r="B16" s="66"/>
      <c r="C16" s="60"/>
      <c r="F16" s="64"/>
    </row>
    <row r="17" spans="2:6" ht="14.25" customHeight="1" x14ac:dyDescent="0.2">
      <c r="B17" s="66"/>
      <c r="C17" s="60"/>
      <c r="F17" s="64"/>
    </row>
    <row r="18" spans="2:6" ht="14.25" customHeight="1" x14ac:dyDescent="0.2">
      <c r="B18" s="66"/>
      <c r="C18" s="60"/>
      <c r="F18" s="64"/>
    </row>
    <row r="19" spans="2:6" ht="14.25" customHeight="1" x14ac:dyDescent="0.2">
      <c r="B19" s="66"/>
      <c r="C19" s="60"/>
      <c r="F19" s="64"/>
    </row>
    <row r="20" spans="2:6" ht="14.25" customHeight="1" x14ac:dyDescent="0.2">
      <c r="B20" s="66"/>
      <c r="C20" s="60"/>
      <c r="F20" s="64"/>
    </row>
    <row r="21" spans="2:6" ht="14.25" customHeight="1" x14ac:dyDescent="0.2">
      <c r="B21" s="66"/>
      <c r="C21" s="67"/>
      <c r="F21" s="64"/>
    </row>
    <row r="22" spans="2:6" ht="14.25" customHeight="1" x14ac:dyDescent="0.2">
      <c r="B22" s="66"/>
      <c r="C22" s="67"/>
      <c r="F22" s="64"/>
    </row>
    <row r="23" spans="2:6" ht="14.25" customHeight="1" x14ac:dyDescent="0.2">
      <c r="B23" s="66"/>
      <c r="C23" s="67"/>
      <c r="F23" s="64"/>
    </row>
    <row r="24" spans="2:6" ht="14.25" customHeight="1" x14ac:dyDescent="0.2">
      <c r="B24" s="66"/>
      <c r="C24" s="67"/>
      <c r="F24" s="64"/>
    </row>
    <row r="25" spans="2:6" ht="14.25" customHeight="1" x14ac:dyDescent="0.2">
      <c r="B25" s="66"/>
      <c r="C25" s="67"/>
      <c r="F25" s="64"/>
    </row>
    <row r="26" spans="2:6" ht="14.25" customHeight="1" x14ac:dyDescent="0.2">
      <c r="B26" s="66"/>
      <c r="C26" s="67"/>
      <c r="F26" s="64"/>
    </row>
    <row r="27" spans="2:6" ht="14.25" customHeight="1" x14ac:dyDescent="0.2">
      <c r="B27" s="66"/>
      <c r="C27" s="67"/>
      <c r="F27" s="64"/>
    </row>
    <row r="28" spans="2:6" ht="14.25" customHeight="1" x14ac:dyDescent="0.2">
      <c r="B28" s="66"/>
      <c r="C28" s="67"/>
      <c r="F28" s="64"/>
    </row>
    <row r="29" spans="2:6" ht="14.25" customHeight="1" x14ac:dyDescent="0.2">
      <c r="B29" s="66"/>
      <c r="C29" s="67"/>
      <c r="F29" s="64"/>
    </row>
    <row r="30" spans="2:6" ht="14.25" customHeight="1" x14ac:dyDescent="0.2">
      <c r="B30" s="66"/>
      <c r="C30" s="67"/>
      <c r="F30" s="64"/>
    </row>
    <row r="31" spans="2:6" ht="14.25" customHeight="1" x14ac:dyDescent="0.2">
      <c r="B31" s="66"/>
      <c r="C31" s="67"/>
      <c r="F31" s="64"/>
    </row>
    <row r="32" spans="2:6" ht="14.25" customHeight="1" x14ac:dyDescent="0.2">
      <c r="B32" s="66"/>
      <c r="C32" s="67"/>
      <c r="F32" s="64"/>
    </row>
    <row r="33" spans="1:6" ht="14.25" customHeight="1" x14ac:dyDescent="0.2">
      <c r="B33" s="66"/>
      <c r="C33" s="67"/>
      <c r="F33" s="64"/>
    </row>
    <row r="34" spans="1:6" ht="14.25" customHeight="1" x14ac:dyDescent="0.2">
      <c r="B34" s="66"/>
      <c r="C34" s="67"/>
      <c r="F34" s="64"/>
    </row>
    <row r="35" spans="1:6" ht="14.25" customHeight="1" x14ac:dyDescent="0.2">
      <c r="B35" s="66"/>
      <c r="C35" s="67"/>
      <c r="F35" s="64"/>
    </row>
    <row r="36" spans="1:6" ht="14.25" customHeight="1" x14ac:dyDescent="0.2">
      <c r="B36" s="66"/>
      <c r="C36" s="67"/>
      <c r="F36" s="64"/>
    </row>
    <row r="37" spans="1:6" ht="14.25" customHeight="1" x14ac:dyDescent="0.2">
      <c r="A37" s="401" t="s">
        <v>845</v>
      </c>
      <c r="B37" s="402"/>
      <c r="C37" s="402"/>
      <c r="D37" s="402"/>
      <c r="E37" s="402"/>
      <c r="F37" s="64"/>
    </row>
    <row r="38" spans="1:6" ht="14.25" customHeight="1" x14ac:dyDescent="0.2">
      <c r="A38" s="402"/>
      <c r="B38" s="402"/>
      <c r="C38" s="402"/>
      <c r="D38" s="402"/>
      <c r="E38" s="402"/>
      <c r="F38" s="64"/>
    </row>
    <row r="39" spans="1:6" ht="14.25" customHeight="1" x14ac:dyDescent="0.2">
      <c r="A39" s="402"/>
      <c r="B39" s="402"/>
      <c r="C39" s="402"/>
      <c r="D39" s="402"/>
      <c r="E39" s="402"/>
      <c r="F39" s="64"/>
    </row>
    <row r="40" spans="1:6" ht="14.25" customHeight="1" x14ac:dyDescent="0.2">
      <c r="B40" s="66"/>
      <c r="C40" s="67"/>
      <c r="F40" s="64"/>
    </row>
    <row r="41" spans="1:6" ht="14.25" customHeight="1" x14ac:dyDescent="0.2">
      <c r="B41" s="66"/>
      <c r="C41" s="67"/>
      <c r="F41" s="64"/>
    </row>
    <row r="42" spans="1:6" ht="14.25" customHeight="1" x14ac:dyDescent="0.2">
      <c r="B42" s="66"/>
      <c r="C42" s="67"/>
      <c r="F42" s="64"/>
    </row>
    <row r="43" spans="1:6" ht="14.25" customHeight="1" x14ac:dyDescent="0.25">
      <c r="B43" s="66"/>
      <c r="D43" s="68" t="s">
        <v>846</v>
      </c>
      <c r="F43" s="64"/>
    </row>
    <row r="44" spans="1:6" ht="14.25" customHeight="1" x14ac:dyDescent="0.2">
      <c r="B44" s="66"/>
      <c r="C44" s="67"/>
      <c r="F44" s="64"/>
    </row>
    <row r="45" spans="1:6" ht="14.25" customHeight="1" x14ac:dyDescent="0.2">
      <c r="B45" s="66"/>
      <c r="C45" s="67"/>
      <c r="F45" s="64"/>
    </row>
    <row r="46" spans="1:6" ht="14.25" customHeight="1" x14ac:dyDescent="0.2">
      <c r="B46" s="66"/>
      <c r="C46" s="67"/>
      <c r="F46" s="64"/>
    </row>
    <row r="47" spans="1:6" ht="14.25" customHeight="1" x14ac:dyDescent="0.2">
      <c r="B47" s="66"/>
      <c r="C47" s="67"/>
      <c r="F47" s="64"/>
    </row>
    <row r="48" spans="1:6" ht="14.25" customHeight="1" x14ac:dyDescent="0.2">
      <c r="B48" s="66"/>
      <c r="C48" s="67"/>
      <c r="F48" s="64"/>
    </row>
    <row r="49" spans="6:6" ht="14.25" customHeight="1" x14ac:dyDescent="0.2">
      <c r="F49" s="64"/>
    </row>
    <row r="50" spans="6:6" ht="14.25" customHeight="1" x14ac:dyDescent="0.2">
      <c r="F50" s="64"/>
    </row>
    <row r="51" spans="6:6" ht="14.25" customHeight="1" x14ac:dyDescent="0.2">
      <c r="F51" s="64"/>
    </row>
    <row r="52" spans="6:6" ht="14.25" customHeight="1" x14ac:dyDescent="0.2">
      <c r="F52" s="64"/>
    </row>
    <row r="53" spans="6:6" ht="14.25" customHeight="1" x14ac:dyDescent="0.2">
      <c r="F53" s="64"/>
    </row>
    <row r="54" spans="6:6" ht="14.25" customHeight="1" x14ac:dyDescent="0.2">
      <c r="F54" s="64"/>
    </row>
    <row r="55" spans="6:6" ht="14.25" customHeight="1" x14ac:dyDescent="0.2">
      <c r="F55" s="64"/>
    </row>
    <row r="56" spans="6:6" ht="14.25" customHeight="1" x14ac:dyDescent="0.2">
      <c r="F56" s="64"/>
    </row>
    <row r="57" spans="6:6" ht="14.25" customHeight="1" x14ac:dyDescent="0.2">
      <c r="F57" s="64"/>
    </row>
    <row r="58" spans="6:6" ht="14.25" customHeight="1" x14ac:dyDescent="0.2">
      <c r="F58" s="64"/>
    </row>
    <row r="59" spans="6:6" ht="14.25" customHeight="1" x14ac:dyDescent="0.2">
      <c r="F59" s="64"/>
    </row>
    <row r="60" spans="6:6" ht="14.25" customHeight="1" x14ac:dyDescent="0.2">
      <c r="F60" s="64"/>
    </row>
    <row r="61" spans="6:6" ht="14.25" customHeight="1" x14ac:dyDescent="0.2">
      <c r="F61" s="64"/>
    </row>
    <row r="62" spans="6:6" ht="14.25" customHeight="1" x14ac:dyDescent="0.2">
      <c r="F62" s="64"/>
    </row>
    <row r="63" spans="6:6" ht="14.25" customHeight="1" x14ac:dyDescent="0.2">
      <c r="F63" s="64"/>
    </row>
    <row r="64" spans="6:6" ht="14.25" customHeight="1" x14ac:dyDescent="0.2">
      <c r="F64" s="64"/>
    </row>
    <row r="65" spans="6:6" ht="14.25" customHeight="1" x14ac:dyDescent="0.2">
      <c r="F65" s="64"/>
    </row>
    <row r="66" spans="6:6" ht="14.25" customHeight="1" x14ac:dyDescent="0.2">
      <c r="F66" s="64"/>
    </row>
    <row r="67" spans="6:6" ht="14.25" customHeight="1" x14ac:dyDescent="0.2">
      <c r="F67" s="64"/>
    </row>
    <row r="68" spans="6:6" ht="14.25" customHeight="1" x14ac:dyDescent="0.2">
      <c r="F68" s="64"/>
    </row>
    <row r="69" spans="6:6" ht="14.25" customHeight="1" x14ac:dyDescent="0.2">
      <c r="F69" s="64"/>
    </row>
    <row r="70" spans="6:6" ht="14.25" customHeight="1" x14ac:dyDescent="0.2">
      <c r="F70" s="64"/>
    </row>
    <row r="71" spans="6:6" ht="14.25" customHeight="1" x14ac:dyDescent="0.2">
      <c r="F71" s="64"/>
    </row>
    <row r="72" spans="6:6" ht="14.25" customHeight="1" x14ac:dyDescent="0.2">
      <c r="F72" s="64"/>
    </row>
    <row r="73" spans="6:6" ht="14.25" customHeight="1" x14ac:dyDescent="0.2">
      <c r="F73" s="64"/>
    </row>
    <row r="74" spans="6:6" ht="14.25" customHeight="1" x14ac:dyDescent="0.2">
      <c r="F74" s="64"/>
    </row>
    <row r="75" spans="6:6" ht="14.25" customHeight="1" x14ac:dyDescent="0.2">
      <c r="F75" s="64"/>
    </row>
    <row r="76" spans="6:6" ht="14.25" customHeight="1" x14ac:dyDescent="0.2">
      <c r="F76" s="64"/>
    </row>
    <row r="77" spans="6:6" ht="14.25" customHeight="1" x14ac:dyDescent="0.2">
      <c r="F77" s="64"/>
    </row>
    <row r="78" spans="6:6" ht="14.25" customHeight="1" x14ac:dyDescent="0.2">
      <c r="F78" s="64"/>
    </row>
    <row r="79" spans="6:6" ht="14.25" customHeight="1" x14ac:dyDescent="0.2">
      <c r="F79" s="64"/>
    </row>
    <row r="80" spans="6:6" ht="14.25" customHeight="1" x14ac:dyDescent="0.2">
      <c r="F80" s="64"/>
    </row>
    <row r="81" spans="6:6" ht="14.25" customHeight="1" x14ac:dyDescent="0.2">
      <c r="F81" s="64"/>
    </row>
    <row r="82" spans="6:6" ht="14.25" customHeight="1" x14ac:dyDescent="0.2">
      <c r="F82" s="64"/>
    </row>
    <row r="83" spans="6:6" ht="14.25" customHeight="1" x14ac:dyDescent="0.2">
      <c r="F83" s="64"/>
    </row>
    <row r="84" spans="6:6" ht="14.25" customHeight="1" x14ac:dyDescent="0.2">
      <c r="F84" s="64"/>
    </row>
    <row r="85" spans="6:6" ht="14.25" customHeight="1" x14ac:dyDescent="0.2">
      <c r="F85" s="64"/>
    </row>
    <row r="86" spans="6:6" ht="14.25" customHeight="1" x14ac:dyDescent="0.2">
      <c r="F86" s="64"/>
    </row>
    <row r="87" spans="6:6" ht="14.25" customHeight="1" x14ac:dyDescent="0.2">
      <c r="F87" s="64"/>
    </row>
    <row r="88" spans="6:6" ht="14.25" customHeight="1" x14ac:dyDescent="0.2">
      <c r="F88" s="64"/>
    </row>
    <row r="89" spans="6:6" ht="14.25" customHeight="1" x14ac:dyDescent="0.2">
      <c r="F89" s="64"/>
    </row>
    <row r="90" spans="6:6" ht="14.25" customHeight="1" x14ac:dyDescent="0.2">
      <c r="F90" s="64"/>
    </row>
    <row r="91" spans="6:6" ht="14.25" customHeight="1" x14ac:dyDescent="0.2">
      <c r="F91" s="64"/>
    </row>
    <row r="92" spans="6:6" ht="14.25" customHeight="1" x14ac:dyDescent="0.2">
      <c r="F92" s="64"/>
    </row>
    <row r="93" spans="6:6" ht="14.25" customHeight="1" x14ac:dyDescent="0.2">
      <c r="F93" s="64"/>
    </row>
    <row r="94" spans="6:6" ht="14.25" customHeight="1" x14ac:dyDescent="0.2">
      <c r="F94" s="64"/>
    </row>
    <row r="95" spans="6:6" ht="14.25" customHeight="1" x14ac:dyDescent="0.2">
      <c r="F95" s="64"/>
    </row>
    <row r="96" spans="6:6" ht="14.25" customHeight="1" x14ac:dyDescent="0.2">
      <c r="F96" s="64"/>
    </row>
    <row r="97" spans="6:6" ht="14.25" customHeight="1" x14ac:dyDescent="0.2">
      <c r="F97" s="64"/>
    </row>
    <row r="98" spans="6:6" ht="14.25" customHeight="1" x14ac:dyDescent="0.2">
      <c r="F98" s="64"/>
    </row>
    <row r="99" spans="6:6" ht="14.25" customHeight="1" x14ac:dyDescent="0.2">
      <c r="F99" s="64"/>
    </row>
    <row r="100" spans="6:6" ht="14.25" customHeight="1" x14ac:dyDescent="0.2">
      <c r="F100" s="64"/>
    </row>
    <row r="101" spans="6:6" ht="14.25" customHeight="1" x14ac:dyDescent="0.2">
      <c r="F101" s="64"/>
    </row>
    <row r="102" spans="6:6" ht="14.25" customHeight="1" x14ac:dyDescent="0.2">
      <c r="F102" s="64"/>
    </row>
    <row r="103" spans="6:6" ht="14.25" customHeight="1" x14ac:dyDescent="0.2">
      <c r="F103" s="64"/>
    </row>
    <row r="104" spans="6:6" ht="14.25" customHeight="1" x14ac:dyDescent="0.2">
      <c r="F104" s="64"/>
    </row>
    <row r="105" spans="6:6" ht="14.25" customHeight="1" x14ac:dyDescent="0.2">
      <c r="F105" s="64"/>
    </row>
    <row r="106" spans="6:6" ht="14.25" customHeight="1" x14ac:dyDescent="0.2">
      <c r="F106" s="64"/>
    </row>
    <row r="107" spans="6:6" ht="14.25" customHeight="1" x14ac:dyDescent="0.2">
      <c r="F107" s="64"/>
    </row>
    <row r="108" spans="6:6" ht="14.25" customHeight="1" x14ac:dyDescent="0.2">
      <c r="F108" s="64"/>
    </row>
    <row r="109" spans="6:6" ht="14.25" customHeight="1" x14ac:dyDescent="0.2">
      <c r="F109" s="64"/>
    </row>
    <row r="110" spans="6:6" ht="14.25" customHeight="1" x14ac:dyDescent="0.2">
      <c r="F110" s="64"/>
    </row>
    <row r="111" spans="6:6" ht="14.25" customHeight="1" x14ac:dyDescent="0.2">
      <c r="F111" s="64"/>
    </row>
    <row r="112" spans="6:6" ht="14.25" customHeight="1" x14ac:dyDescent="0.2">
      <c r="F112" s="64"/>
    </row>
    <row r="113" spans="6:6" ht="14.25" customHeight="1" x14ac:dyDescent="0.2">
      <c r="F113" s="64"/>
    </row>
    <row r="114" spans="6:6" ht="14.25" customHeight="1" x14ac:dyDescent="0.2">
      <c r="F114" s="64"/>
    </row>
    <row r="115" spans="6:6" ht="14.25" customHeight="1" x14ac:dyDescent="0.2">
      <c r="F115" s="64"/>
    </row>
    <row r="116" spans="6:6" ht="14.25" customHeight="1" x14ac:dyDescent="0.2">
      <c r="F116" s="64"/>
    </row>
    <row r="117" spans="6:6" ht="14.25" customHeight="1" x14ac:dyDescent="0.2">
      <c r="F117" s="64"/>
    </row>
    <row r="118" spans="6:6" ht="14.25" customHeight="1" x14ac:dyDescent="0.2">
      <c r="F118" s="64"/>
    </row>
    <row r="119" spans="6:6" ht="14.25" customHeight="1" x14ac:dyDescent="0.2">
      <c r="F119" s="64"/>
    </row>
    <row r="120" spans="6:6" ht="14.25" customHeight="1" x14ac:dyDescent="0.2">
      <c r="F120" s="64"/>
    </row>
    <row r="121" spans="6:6" ht="14.25" customHeight="1" x14ac:dyDescent="0.2">
      <c r="F121" s="64"/>
    </row>
    <row r="122" spans="6:6" ht="14.25" customHeight="1" x14ac:dyDescent="0.2">
      <c r="F122" s="64"/>
    </row>
    <row r="123" spans="6:6" ht="14.25" customHeight="1" x14ac:dyDescent="0.2">
      <c r="F123" s="64"/>
    </row>
    <row r="124" spans="6:6" ht="14.25" customHeight="1" x14ac:dyDescent="0.2">
      <c r="F124" s="64"/>
    </row>
    <row r="125" spans="6:6" ht="14.25" customHeight="1" x14ac:dyDescent="0.2">
      <c r="F125" s="64"/>
    </row>
    <row r="126" spans="6:6" ht="14.25" customHeight="1" x14ac:dyDescent="0.2">
      <c r="F126" s="64"/>
    </row>
    <row r="127" spans="6:6" ht="14.25" customHeight="1" x14ac:dyDescent="0.2">
      <c r="F127" s="64"/>
    </row>
    <row r="128" spans="6:6" ht="14.25" customHeight="1" x14ac:dyDescent="0.2">
      <c r="F128" s="64"/>
    </row>
    <row r="129" spans="6:6" ht="14.25" customHeight="1" x14ac:dyDescent="0.2">
      <c r="F129" s="64"/>
    </row>
    <row r="130" spans="6:6" ht="14.25" customHeight="1" x14ac:dyDescent="0.2">
      <c r="F130" s="64"/>
    </row>
    <row r="131" spans="6:6" ht="14.25" customHeight="1" x14ac:dyDescent="0.2">
      <c r="F131" s="64"/>
    </row>
    <row r="132" spans="6:6" ht="14.25" customHeight="1" x14ac:dyDescent="0.2">
      <c r="F132" s="64"/>
    </row>
    <row r="133" spans="6:6" ht="14.25" customHeight="1" x14ac:dyDescent="0.2">
      <c r="F133" s="64"/>
    </row>
    <row r="134" spans="6:6" ht="14.25" customHeight="1" x14ac:dyDescent="0.2">
      <c r="F134" s="64"/>
    </row>
    <row r="135" spans="6:6" ht="14.25" customHeight="1" x14ac:dyDescent="0.2">
      <c r="F135" s="64"/>
    </row>
    <row r="136" spans="6:6" ht="14.25" customHeight="1" x14ac:dyDescent="0.2">
      <c r="F136" s="64"/>
    </row>
    <row r="137" spans="6:6" ht="14.25" customHeight="1" x14ac:dyDescent="0.2">
      <c r="F137" s="64"/>
    </row>
    <row r="138" spans="6:6" ht="14.25" customHeight="1" x14ac:dyDescent="0.2">
      <c r="F138" s="64"/>
    </row>
    <row r="139" spans="6:6" ht="14.25" customHeight="1" x14ac:dyDescent="0.2">
      <c r="F139" s="64"/>
    </row>
    <row r="140" spans="6:6" ht="14.25" customHeight="1" x14ac:dyDescent="0.2">
      <c r="F140" s="64"/>
    </row>
    <row r="141" spans="6:6" ht="14.25" customHeight="1" x14ac:dyDescent="0.2">
      <c r="F141" s="64"/>
    </row>
    <row r="142" spans="6:6" ht="14.25" customHeight="1" x14ac:dyDescent="0.2">
      <c r="F142" s="64"/>
    </row>
    <row r="143" spans="6:6" ht="14.25" customHeight="1" x14ac:dyDescent="0.2">
      <c r="F143" s="64"/>
    </row>
    <row r="144" spans="6:6" ht="14.25" customHeight="1" x14ac:dyDescent="0.2">
      <c r="F144" s="64"/>
    </row>
    <row r="145" spans="6:6" ht="14.25" customHeight="1" x14ac:dyDescent="0.2">
      <c r="F145" s="64"/>
    </row>
    <row r="146" spans="6:6" ht="14.25" customHeight="1" x14ac:dyDescent="0.2">
      <c r="F146" s="64"/>
    </row>
    <row r="147" spans="6:6" ht="14.25" customHeight="1" x14ac:dyDescent="0.2">
      <c r="F147" s="64"/>
    </row>
    <row r="148" spans="6:6" ht="14.25" customHeight="1" x14ac:dyDescent="0.2">
      <c r="F148" s="64"/>
    </row>
    <row r="149" spans="6:6" ht="14.25" customHeight="1" x14ac:dyDescent="0.2">
      <c r="F149" s="64"/>
    </row>
    <row r="150" spans="6:6" ht="14.25" customHeight="1" x14ac:dyDescent="0.2">
      <c r="F150" s="64"/>
    </row>
    <row r="151" spans="6:6" ht="14.25" customHeight="1" x14ac:dyDescent="0.2">
      <c r="F151" s="64"/>
    </row>
    <row r="152" spans="6:6" ht="14.25" customHeight="1" x14ac:dyDescent="0.2">
      <c r="F152" s="64"/>
    </row>
    <row r="153" spans="6:6" ht="14.25" customHeight="1" x14ac:dyDescent="0.2">
      <c r="F153" s="64"/>
    </row>
    <row r="154" spans="6:6" ht="14.25" customHeight="1" x14ac:dyDescent="0.2">
      <c r="F154" s="64"/>
    </row>
    <row r="155" spans="6:6" ht="14.25" customHeight="1" x14ac:dyDescent="0.2">
      <c r="F155" s="64"/>
    </row>
    <row r="156" spans="6:6" ht="14.25" customHeight="1" x14ac:dyDescent="0.2">
      <c r="F156" s="64"/>
    </row>
    <row r="157" spans="6:6" ht="14.25" customHeight="1" x14ac:dyDescent="0.2">
      <c r="F157" s="64"/>
    </row>
    <row r="158" spans="6:6" ht="14.25" customHeight="1" x14ac:dyDescent="0.2">
      <c r="F158" s="64"/>
    </row>
    <row r="159" spans="6:6" ht="14.25" customHeight="1" x14ac:dyDescent="0.2">
      <c r="F159" s="64"/>
    </row>
    <row r="160" spans="6:6" ht="14.25" customHeight="1" x14ac:dyDescent="0.2">
      <c r="F160" s="64"/>
    </row>
    <row r="161" spans="6:6" ht="14.25" customHeight="1" x14ac:dyDescent="0.2">
      <c r="F161" s="64"/>
    </row>
    <row r="162" spans="6:6" ht="14.25" customHeight="1" x14ac:dyDescent="0.2">
      <c r="F162" s="64"/>
    </row>
    <row r="163" spans="6:6" ht="14.25" customHeight="1" x14ac:dyDescent="0.2">
      <c r="F163" s="64"/>
    </row>
    <row r="164" spans="6:6" ht="14.25" customHeight="1" x14ac:dyDescent="0.2">
      <c r="F164" s="64"/>
    </row>
    <row r="165" spans="6:6" ht="14.25" customHeight="1" x14ac:dyDescent="0.2">
      <c r="F165" s="64"/>
    </row>
    <row r="166" spans="6:6" ht="14.25" customHeight="1" x14ac:dyDescent="0.2">
      <c r="F166" s="64"/>
    </row>
    <row r="167" spans="6:6" ht="14.25" customHeight="1" x14ac:dyDescent="0.2">
      <c r="F167" s="64"/>
    </row>
    <row r="168" spans="6:6" ht="14.25" customHeight="1" x14ac:dyDescent="0.2">
      <c r="F168" s="64"/>
    </row>
    <row r="169" spans="6:6" ht="14.25" customHeight="1" x14ac:dyDescent="0.2">
      <c r="F169" s="64"/>
    </row>
    <row r="170" spans="6:6" ht="14.25" customHeight="1" x14ac:dyDescent="0.2">
      <c r="F170" s="64"/>
    </row>
    <row r="171" spans="6:6" ht="14.25" customHeight="1" x14ac:dyDescent="0.2">
      <c r="F171" s="64"/>
    </row>
    <row r="172" spans="6:6" ht="14.25" customHeight="1" x14ac:dyDescent="0.2">
      <c r="F172" s="64"/>
    </row>
    <row r="173" spans="6:6" ht="14.25" customHeight="1" x14ac:dyDescent="0.2">
      <c r="F173" s="64"/>
    </row>
    <row r="174" spans="6:6" ht="14.25" customHeight="1" x14ac:dyDescent="0.2">
      <c r="F174" s="64"/>
    </row>
    <row r="175" spans="6:6" ht="14.25" customHeight="1" x14ac:dyDescent="0.2">
      <c r="F175" s="64"/>
    </row>
    <row r="176" spans="6:6" ht="14.25" customHeight="1" x14ac:dyDescent="0.2">
      <c r="F176" s="64"/>
    </row>
    <row r="177" spans="6:6" ht="14.25" customHeight="1" x14ac:dyDescent="0.2">
      <c r="F177" s="64"/>
    </row>
    <row r="178" spans="6:6" ht="14.25" customHeight="1" x14ac:dyDescent="0.2">
      <c r="F178" s="64"/>
    </row>
    <row r="179" spans="6:6" ht="14.25" customHeight="1" x14ac:dyDescent="0.2">
      <c r="F179" s="64"/>
    </row>
    <row r="180" spans="6:6" ht="14.25" customHeight="1" x14ac:dyDescent="0.2">
      <c r="F180" s="64"/>
    </row>
  </sheetData>
  <mergeCells count="3">
    <mergeCell ref="B1:C1"/>
    <mergeCell ref="A5:E7"/>
    <mergeCell ref="A37:E39"/>
  </mergeCells>
  <dataValidations count="1">
    <dataValidation type="textLength" allowBlank="1" showInputMessage="1" showErrorMessage="1" sqref="A1:XFD1048576">
      <formula1>0</formula1>
      <formula2>0</formula2>
    </dataValidation>
  </dataValidations>
  <pageMargins left="0.98425196850393704" right="0.19685039370078741" top="0.78740157480314965" bottom="0.78740157480314965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/>
  <dimension ref="A2:H38"/>
  <sheetViews>
    <sheetView topLeftCell="A4" workbookViewId="0">
      <selection activeCell="C17" sqref="C17"/>
    </sheetView>
  </sheetViews>
  <sheetFormatPr baseColWidth="10" defaultRowHeight="12.75" x14ac:dyDescent="0.2"/>
  <cols>
    <col min="1" max="1" width="26.28515625" customWidth="1"/>
    <col min="2" max="2" width="15.28515625" customWidth="1"/>
    <col min="6" max="6" width="38" customWidth="1"/>
    <col min="7" max="7" width="16.7109375" customWidth="1"/>
  </cols>
  <sheetData>
    <row r="2" spans="1:8" ht="22.9" customHeight="1" x14ac:dyDescent="0.2">
      <c r="A2" s="42" t="s">
        <v>823</v>
      </c>
      <c r="B2" s="43" t="s">
        <v>826</v>
      </c>
      <c r="C2" s="48" t="s">
        <v>839</v>
      </c>
    </row>
    <row r="3" spans="1:8" x14ac:dyDescent="0.2">
      <c r="A3" s="44" t="s">
        <v>596</v>
      </c>
      <c r="B3" s="45">
        <v>17966.59</v>
      </c>
      <c r="C3">
        <v>18733.759999999998</v>
      </c>
      <c r="G3" s="15" t="s">
        <v>824</v>
      </c>
      <c r="H3" s="445" t="s">
        <v>825</v>
      </c>
    </row>
    <row r="4" spans="1:8" x14ac:dyDescent="0.2">
      <c r="A4" s="44" t="s">
        <v>597</v>
      </c>
      <c r="B4" s="45">
        <v>25.56</v>
      </c>
      <c r="C4">
        <v>2.96</v>
      </c>
      <c r="E4" s="16">
        <v>1</v>
      </c>
      <c r="F4" s="17" t="s">
        <v>208</v>
      </c>
      <c r="G4" s="18">
        <f>[2]Formula!E21</f>
        <v>0</v>
      </c>
      <c r="H4" s="445"/>
    </row>
    <row r="5" spans="1:8" ht="15.75" x14ac:dyDescent="0.25">
      <c r="A5" s="44" t="s">
        <v>600</v>
      </c>
      <c r="B5" s="56">
        <v>13207.34</v>
      </c>
      <c r="C5">
        <v>13207.34</v>
      </c>
      <c r="E5" s="19">
        <v>11</v>
      </c>
      <c r="F5" s="20" t="s">
        <v>209</v>
      </c>
      <c r="G5" s="21">
        <v>906589.57694350427</v>
      </c>
      <c r="H5" s="22"/>
    </row>
    <row r="6" spans="1:8" x14ac:dyDescent="0.2">
      <c r="A6" s="44" t="s">
        <v>663</v>
      </c>
      <c r="B6" s="45">
        <v>319728.2900000001</v>
      </c>
      <c r="C6">
        <v>228070.55</v>
      </c>
      <c r="E6" s="23">
        <v>118</v>
      </c>
      <c r="F6" s="24" t="s">
        <v>209</v>
      </c>
      <c r="G6" s="25">
        <v>906589.57694350427</v>
      </c>
      <c r="H6" s="26">
        <v>0.27104426484391797</v>
      </c>
    </row>
    <row r="7" spans="1:8" x14ac:dyDescent="0.2">
      <c r="A7" s="44" t="s">
        <v>614</v>
      </c>
      <c r="B7" s="45">
        <v>73581.599999999977</v>
      </c>
      <c r="C7">
        <v>73278.100000000006</v>
      </c>
      <c r="E7" s="28"/>
      <c r="F7" s="29"/>
      <c r="G7" s="27"/>
      <c r="H7" s="31"/>
    </row>
    <row r="8" spans="1:8" x14ac:dyDescent="0.2">
      <c r="A8" s="44" t="s">
        <v>598</v>
      </c>
      <c r="B8" s="45">
        <v>626844.82000000007</v>
      </c>
      <c r="C8">
        <v>-10162.700000000001</v>
      </c>
      <c r="E8" s="32">
        <v>12</v>
      </c>
      <c r="F8" s="33" t="s">
        <v>211</v>
      </c>
      <c r="G8" s="21">
        <v>2268395.1986187445</v>
      </c>
      <c r="H8" s="31"/>
    </row>
    <row r="9" spans="1:8" x14ac:dyDescent="0.2">
      <c r="A9" s="44" t="s">
        <v>625</v>
      </c>
      <c r="B9" s="45">
        <v>9193.380000000001</v>
      </c>
      <c r="C9">
        <v>10585.68</v>
      </c>
      <c r="E9" s="34">
        <v>121</v>
      </c>
      <c r="F9" s="35" t="s">
        <v>212</v>
      </c>
      <c r="G9" s="25">
        <v>2055727.4007395231</v>
      </c>
      <c r="H9" s="36">
        <v>0.61460349448476503</v>
      </c>
    </row>
    <row r="10" spans="1:8" x14ac:dyDescent="0.2">
      <c r="A10" s="44" t="s">
        <v>798</v>
      </c>
      <c r="B10" s="45">
        <v>19708.39</v>
      </c>
      <c r="C10">
        <v>25494.47</v>
      </c>
      <c r="E10" s="28"/>
      <c r="F10" s="29"/>
      <c r="G10" s="30"/>
      <c r="H10" s="31"/>
    </row>
    <row r="11" spans="1:8" x14ac:dyDescent="0.2">
      <c r="A11" s="44" t="s">
        <v>624</v>
      </c>
      <c r="B11" s="45">
        <v>65.62</v>
      </c>
      <c r="C11">
        <v>65.62</v>
      </c>
      <c r="E11" s="34">
        <v>122</v>
      </c>
      <c r="F11" s="35" t="s">
        <v>215</v>
      </c>
      <c r="G11" s="25">
        <v>212667.79787922127</v>
      </c>
      <c r="H11" s="36">
        <v>6.3581568107682493E-2</v>
      </c>
    </row>
    <row r="12" spans="1:8" x14ac:dyDescent="0.2">
      <c r="A12" s="46" t="s">
        <v>533</v>
      </c>
      <c r="B12" s="47">
        <v>1980.58</v>
      </c>
      <c r="C12">
        <v>2548.7200000000003</v>
      </c>
      <c r="E12" s="28"/>
      <c r="F12" s="29"/>
      <c r="G12" s="27"/>
      <c r="H12" s="31"/>
    </row>
    <row r="13" spans="1:8" x14ac:dyDescent="0.2">
      <c r="E13" s="32">
        <v>15</v>
      </c>
      <c r="F13" s="33" t="s">
        <v>218</v>
      </c>
      <c r="G13" s="21">
        <v>169817.88043775037</v>
      </c>
      <c r="H13" s="31"/>
    </row>
    <row r="14" spans="1:8" x14ac:dyDescent="0.2">
      <c r="E14" s="34">
        <v>153</v>
      </c>
      <c r="F14" s="35" t="s">
        <v>219</v>
      </c>
      <c r="G14" s="25">
        <v>60798.29438128238</v>
      </c>
      <c r="H14" s="36">
        <v>1.8176945139714209E-2</v>
      </c>
    </row>
    <row r="15" spans="1:8" x14ac:dyDescent="0.2">
      <c r="E15" s="28"/>
      <c r="F15" s="29"/>
      <c r="G15" s="37"/>
      <c r="H15" s="31"/>
    </row>
    <row r="16" spans="1:8" x14ac:dyDescent="0.2">
      <c r="E16" s="34">
        <v>154</v>
      </c>
      <c r="F16" s="35" t="s">
        <v>226</v>
      </c>
      <c r="G16" s="25">
        <v>159.97926931992359</v>
      </c>
      <c r="H16" s="36">
        <v>4.7829210202565558E-5</v>
      </c>
    </row>
    <row r="17" spans="3:8" x14ac:dyDescent="0.2">
      <c r="C17" s="1"/>
      <c r="E17" s="28"/>
      <c r="F17" s="29"/>
      <c r="G17" s="27"/>
      <c r="H17" s="31"/>
    </row>
    <row r="18" spans="3:8" x14ac:dyDescent="0.2">
      <c r="E18" s="34">
        <v>157</v>
      </c>
      <c r="F18" s="35" t="s">
        <v>231</v>
      </c>
      <c r="G18" s="25">
        <v>108859.60678714805</v>
      </c>
      <c r="H18" s="36">
        <v>3.2545898213717533E-2</v>
      </c>
    </row>
    <row r="19" spans="3:8" x14ac:dyDescent="0.2">
      <c r="E19" s="28"/>
      <c r="F19" s="29"/>
      <c r="G19" s="38"/>
      <c r="H19" s="22"/>
    </row>
    <row r="20" spans="3:8" x14ac:dyDescent="0.2">
      <c r="E20" s="39"/>
      <c r="F20" s="40" t="s">
        <v>247</v>
      </c>
      <c r="G20" s="41">
        <v>3344802.655999999</v>
      </c>
      <c r="H20" s="22">
        <v>0.99999999999999978</v>
      </c>
    </row>
    <row r="34" spans="1:2" ht="4.1500000000000004" customHeight="1" x14ac:dyDescent="0.2">
      <c r="A34" s="51" t="s">
        <v>839</v>
      </c>
      <c r="B34" s="52" t="s">
        <v>844</v>
      </c>
    </row>
    <row r="35" spans="1:2" ht="19.899999999999999" customHeight="1" x14ac:dyDescent="0.2">
      <c r="A35" s="49" t="s">
        <v>840</v>
      </c>
      <c r="B35" s="50">
        <v>6900</v>
      </c>
    </row>
    <row r="36" spans="1:2" ht="19.899999999999999" customHeight="1" x14ac:dyDescent="0.2">
      <c r="A36" s="49" t="s">
        <v>842</v>
      </c>
      <c r="B36" s="50">
        <f>(B35/1.13)*0.01</f>
        <v>61.061946902654874</v>
      </c>
    </row>
    <row r="37" spans="1:2" ht="19.899999999999999" customHeight="1" x14ac:dyDescent="0.2">
      <c r="A37" s="49" t="s">
        <v>841</v>
      </c>
      <c r="B37" s="50">
        <f>(B35/1.13)*0.1</f>
        <v>610.6194690265487</v>
      </c>
    </row>
    <row r="38" spans="1:2" x14ac:dyDescent="0.2">
      <c r="A38" s="53" t="s">
        <v>843</v>
      </c>
      <c r="B38" s="54">
        <f>B35-B36-B37</f>
        <v>6228.3185840707965</v>
      </c>
    </row>
  </sheetData>
  <mergeCells count="1">
    <mergeCell ref="H3:H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7411" r:id="rId3">
          <objectPr defaultSize="0" autoPict="0" r:id="rId4">
            <anchor moveWithCells="1">
              <from>
                <xdr:col>3</xdr:col>
                <xdr:colOff>638175</xdr:colOff>
                <xdr:row>21</xdr:row>
                <xdr:rowOff>104775</xdr:rowOff>
              </from>
              <to>
                <xdr:col>5</xdr:col>
                <xdr:colOff>1409700</xdr:colOff>
                <xdr:row>23</xdr:row>
                <xdr:rowOff>152400</xdr:rowOff>
              </to>
            </anchor>
          </objectPr>
        </oleObject>
      </mc:Choice>
      <mc:Fallback>
        <oleObject progId="Equation.3" shapeId="17411" r:id="rId3"/>
      </mc:Fallback>
    </mc:AlternateContent>
    <mc:AlternateContent xmlns:mc="http://schemas.openxmlformats.org/markup-compatibility/2006">
      <mc:Choice Requires="x14">
        <oleObject progId="Equation.3" shapeId="17413" r:id="rId5">
          <objectPr defaultSize="0" autoPict="0" r:id="rId6">
            <anchor moveWithCells="1">
              <from>
                <xdr:col>5</xdr:col>
                <xdr:colOff>1981200</xdr:colOff>
                <xdr:row>21</xdr:row>
                <xdr:rowOff>38100</xdr:rowOff>
              </from>
              <to>
                <xdr:col>8</xdr:col>
                <xdr:colOff>76200</xdr:colOff>
                <xdr:row>23</xdr:row>
                <xdr:rowOff>133350</xdr:rowOff>
              </to>
            </anchor>
          </objectPr>
        </oleObject>
      </mc:Choice>
      <mc:Fallback>
        <oleObject progId="Equation.3" shapeId="17413" r:id="rId5"/>
      </mc:Fallback>
    </mc:AlternateContent>
  </oleObjects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F188"/>
  <sheetViews>
    <sheetView zoomScale="85" zoomScaleNormal="85" zoomScaleSheetLayoutView="115" workbookViewId="0"/>
  </sheetViews>
  <sheetFormatPr baseColWidth="10" defaultColWidth="11.42578125" defaultRowHeight="12.95" customHeight="1" x14ac:dyDescent="0.2"/>
  <cols>
    <col min="1" max="1" width="6" style="383" customWidth="1"/>
    <col min="2" max="2" width="11.42578125" style="384"/>
    <col min="3" max="3" width="68.42578125" style="383" customWidth="1"/>
    <col min="4" max="4" width="3.85546875" style="383" customWidth="1"/>
    <col min="5" max="16384" width="11.42578125" style="383"/>
  </cols>
  <sheetData>
    <row r="1" spans="2:6" ht="12.95" customHeight="1" x14ac:dyDescent="0.2">
      <c r="B1" s="403" t="s">
        <v>119</v>
      </c>
      <c r="C1" s="403"/>
      <c r="D1" s="387"/>
    </row>
    <row r="2" spans="2:6" ht="12.95" customHeight="1" x14ac:dyDescent="0.2">
      <c r="B2" s="403" t="s">
        <v>773</v>
      </c>
      <c r="C2" s="403"/>
      <c r="D2" s="387"/>
    </row>
    <row r="3" spans="2:6" ht="12.95" customHeight="1" x14ac:dyDescent="0.2">
      <c r="B3" s="403" t="s">
        <v>847</v>
      </c>
      <c r="C3" s="403"/>
      <c r="D3" s="387"/>
    </row>
    <row r="4" spans="2:6" ht="12.95" customHeight="1" thickBot="1" x14ac:dyDescent="0.25">
      <c r="F4" s="385"/>
    </row>
    <row r="5" spans="2:6" ht="12.95" customHeight="1" thickBot="1" x14ac:dyDescent="0.25">
      <c r="B5" s="379" t="s">
        <v>429</v>
      </c>
      <c r="C5" s="380" t="s">
        <v>430</v>
      </c>
      <c r="F5" s="385"/>
    </row>
    <row r="6" spans="2:6" ht="12.95" customHeight="1" x14ac:dyDescent="0.2">
      <c r="B6" s="381" t="s">
        <v>732</v>
      </c>
      <c r="C6" s="382" t="s">
        <v>128</v>
      </c>
      <c r="D6" s="388"/>
      <c r="F6" s="385"/>
    </row>
    <row r="7" spans="2:6" ht="12.95" customHeight="1" x14ac:dyDescent="0.2">
      <c r="B7" s="381" t="s">
        <v>733</v>
      </c>
      <c r="C7" s="382" t="s">
        <v>369</v>
      </c>
      <c r="D7" s="389"/>
      <c r="F7" s="385"/>
    </row>
    <row r="8" spans="2:6" ht="12.95" customHeight="1" x14ac:dyDescent="0.2">
      <c r="B8" s="381" t="s">
        <v>734</v>
      </c>
      <c r="C8" s="382" t="s">
        <v>379</v>
      </c>
      <c r="D8" s="388"/>
      <c r="F8" s="385"/>
    </row>
    <row r="9" spans="2:6" ht="12.95" customHeight="1" x14ac:dyDescent="0.2">
      <c r="B9" s="381" t="s">
        <v>735</v>
      </c>
      <c r="C9" s="382" t="s">
        <v>764</v>
      </c>
      <c r="D9" s="388"/>
      <c r="F9" s="385"/>
    </row>
    <row r="10" spans="2:6" ht="12.95" customHeight="1" x14ac:dyDescent="0.2">
      <c r="B10" s="381" t="s">
        <v>736</v>
      </c>
      <c r="C10" s="382" t="s">
        <v>382</v>
      </c>
      <c r="D10" s="388"/>
      <c r="F10" s="385"/>
    </row>
    <row r="11" spans="2:6" ht="12.95" customHeight="1" x14ac:dyDescent="0.2">
      <c r="B11" s="381" t="s">
        <v>737</v>
      </c>
      <c r="C11" s="382" t="s">
        <v>754</v>
      </c>
      <c r="D11" s="388"/>
      <c r="F11" s="385"/>
    </row>
    <row r="12" spans="2:6" ht="12.95" customHeight="1" x14ac:dyDescent="0.2">
      <c r="B12" s="381" t="s">
        <v>738</v>
      </c>
      <c r="C12" s="382" t="s">
        <v>711</v>
      </c>
      <c r="D12" s="388"/>
      <c r="F12" s="385"/>
    </row>
    <row r="13" spans="2:6" ht="12.95" customHeight="1" x14ac:dyDescent="0.2">
      <c r="B13" s="381" t="s">
        <v>739</v>
      </c>
      <c r="C13" s="382" t="s">
        <v>165</v>
      </c>
      <c r="D13" s="388"/>
      <c r="F13" s="385"/>
    </row>
    <row r="14" spans="2:6" ht="12.95" customHeight="1" x14ac:dyDescent="0.2">
      <c r="B14" s="381" t="s">
        <v>740</v>
      </c>
      <c r="C14" s="392" t="s">
        <v>720</v>
      </c>
      <c r="D14" s="393"/>
      <c r="F14" s="385"/>
    </row>
    <row r="15" spans="2:6" ht="12.95" customHeight="1" x14ac:dyDescent="0.2">
      <c r="B15" s="381" t="s">
        <v>319</v>
      </c>
      <c r="C15" s="382" t="s">
        <v>718</v>
      </c>
      <c r="D15" s="388"/>
      <c r="F15" s="385"/>
    </row>
    <row r="16" spans="2:6" ht="12.95" customHeight="1" x14ac:dyDescent="0.2">
      <c r="B16" s="381" t="s">
        <v>320</v>
      </c>
      <c r="C16" s="382" t="s">
        <v>762</v>
      </c>
      <c r="D16" s="388"/>
      <c r="F16" s="385"/>
    </row>
    <row r="17" spans="2:6" ht="12.95" customHeight="1" x14ac:dyDescent="0.2">
      <c r="B17" s="381" t="s">
        <v>296</v>
      </c>
      <c r="C17" s="382" t="s">
        <v>763</v>
      </c>
      <c r="D17" s="388"/>
      <c r="F17" s="385"/>
    </row>
    <row r="18" spans="2:6" ht="12.95" customHeight="1" x14ac:dyDescent="0.2">
      <c r="B18" s="381" t="s">
        <v>297</v>
      </c>
      <c r="C18" s="382" t="s">
        <v>427</v>
      </c>
      <c r="D18" s="388"/>
      <c r="F18" s="385"/>
    </row>
    <row r="19" spans="2:6" ht="12.95" customHeight="1" x14ac:dyDescent="0.2">
      <c r="B19" s="381" t="s">
        <v>298</v>
      </c>
      <c r="C19" s="382" t="s">
        <v>679</v>
      </c>
      <c r="D19" s="388"/>
      <c r="F19" s="385"/>
    </row>
    <row r="20" spans="2:6" ht="12.95" customHeight="1" x14ac:dyDescent="0.2">
      <c r="B20" s="381" t="s">
        <v>299</v>
      </c>
      <c r="C20" s="382" t="s">
        <v>717</v>
      </c>
      <c r="D20" s="388"/>
      <c r="F20" s="385"/>
    </row>
    <row r="21" spans="2:6" ht="12.95" customHeight="1" x14ac:dyDescent="0.2">
      <c r="B21" s="381" t="s">
        <v>300</v>
      </c>
      <c r="C21" s="382" t="s">
        <v>666</v>
      </c>
      <c r="D21" s="388"/>
      <c r="F21" s="385"/>
    </row>
    <row r="22" spans="2:6" ht="12.95" customHeight="1" x14ac:dyDescent="0.2">
      <c r="B22" s="381" t="s">
        <v>301</v>
      </c>
      <c r="C22" s="382" t="s">
        <v>680</v>
      </c>
      <c r="D22" s="388"/>
      <c r="F22" s="385"/>
    </row>
    <row r="23" spans="2:6" ht="12.95" customHeight="1" x14ac:dyDescent="0.2">
      <c r="B23" s="381" t="s">
        <v>302</v>
      </c>
      <c r="C23" s="382" t="s">
        <v>855</v>
      </c>
      <c r="D23" s="388"/>
      <c r="F23" s="385"/>
    </row>
    <row r="24" spans="2:6" ht="12.95" customHeight="1" x14ac:dyDescent="0.2">
      <c r="B24" s="381" t="s">
        <v>303</v>
      </c>
      <c r="C24" s="382" t="s">
        <v>682</v>
      </c>
      <c r="D24" s="388"/>
      <c r="F24" s="385"/>
    </row>
    <row r="25" spans="2:6" ht="12.95" customHeight="1" x14ac:dyDescent="0.2">
      <c r="B25" s="381" t="s">
        <v>304</v>
      </c>
      <c r="C25" s="382" t="s">
        <v>667</v>
      </c>
      <c r="D25" s="388"/>
      <c r="F25" s="385"/>
    </row>
    <row r="26" spans="2:6" ht="12.95" customHeight="1" x14ac:dyDescent="0.2">
      <c r="B26" s="381" t="s">
        <v>305</v>
      </c>
      <c r="C26" s="382" t="s">
        <v>681</v>
      </c>
      <c r="D26" s="388"/>
      <c r="F26" s="385"/>
    </row>
    <row r="27" spans="2:6" ht="12.95" customHeight="1" x14ac:dyDescent="0.2">
      <c r="B27" s="381" t="s">
        <v>306</v>
      </c>
      <c r="C27" s="382" t="s">
        <v>748</v>
      </c>
      <c r="D27" s="388"/>
      <c r="F27" s="385"/>
    </row>
    <row r="28" spans="2:6" ht="12.95" customHeight="1" x14ac:dyDescent="0.2">
      <c r="B28" s="381" t="s">
        <v>307</v>
      </c>
      <c r="C28" s="382" t="s">
        <v>380</v>
      </c>
      <c r="D28" s="388"/>
      <c r="F28" s="385"/>
    </row>
    <row r="29" spans="2:6" ht="12.95" customHeight="1" x14ac:dyDescent="0.2">
      <c r="B29" s="381" t="s">
        <v>308</v>
      </c>
      <c r="C29" s="382" t="s">
        <v>713</v>
      </c>
      <c r="D29" s="388"/>
      <c r="F29" s="385"/>
    </row>
    <row r="30" spans="2:6" ht="12.95" customHeight="1" x14ac:dyDescent="0.2">
      <c r="B30" s="381" t="s">
        <v>309</v>
      </c>
      <c r="C30" s="382" t="s">
        <v>381</v>
      </c>
      <c r="D30" s="388"/>
      <c r="F30" s="385"/>
    </row>
    <row r="31" spans="2:6" ht="12.95" customHeight="1" x14ac:dyDescent="0.2">
      <c r="B31" s="381" t="s">
        <v>310</v>
      </c>
      <c r="C31" s="382" t="s">
        <v>714</v>
      </c>
      <c r="D31" s="388"/>
      <c r="F31" s="385"/>
    </row>
    <row r="32" spans="2:6" ht="12.95" customHeight="1" x14ac:dyDescent="0.2">
      <c r="B32" s="381" t="s">
        <v>311</v>
      </c>
      <c r="C32" s="382" t="s">
        <v>751</v>
      </c>
      <c r="D32" s="388"/>
      <c r="F32" s="385"/>
    </row>
    <row r="33" spans="2:6" ht="12.95" customHeight="1" x14ac:dyDescent="0.2">
      <c r="B33" s="381" t="s">
        <v>312</v>
      </c>
      <c r="C33" s="382" t="s">
        <v>772</v>
      </c>
      <c r="D33" s="388"/>
      <c r="F33" s="385"/>
    </row>
    <row r="34" spans="2:6" ht="12.95" customHeight="1" x14ac:dyDescent="0.2">
      <c r="B34" s="381" t="s">
        <v>321</v>
      </c>
      <c r="C34" s="382" t="s">
        <v>715</v>
      </c>
      <c r="D34" s="388"/>
      <c r="F34" s="385"/>
    </row>
    <row r="35" spans="2:6" ht="12.95" customHeight="1" x14ac:dyDescent="0.2">
      <c r="B35" s="381" t="s">
        <v>322</v>
      </c>
      <c r="C35" s="382" t="s">
        <v>683</v>
      </c>
      <c r="D35" s="388"/>
      <c r="F35" s="385"/>
    </row>
    <row r="36" spans="2:6" ht="12.95" customHeight="1" x14ac:dyDescent="0.2">
      <c r="B36" s="381" t="s">
        <v>325</v>
      </c>
      <c r="C36" s="382" t="s">
        <v>383</v>
      </c>
      <c r="D36" s="388"/>
      <c r="F36" s="385"/>
    </row>
    <row r="37" spans="2:6" ht="12.95" customHeight="1" x14ac:dyDescent="0.2">
      <c r="B37" s="381" t="s">
        <v>331</v>
      </c>
      <c r="C37" s="382" t="s">
        <v>716</v>
      </c>
      <c r="D37" s="388"/>
      <c r="F37" s="385"/>
    </row>
    <row r="38" spans="2:6" ht="12.95" customHeight="1" x14ac:dyDescent="0.2">
      <c r="B38" s="381" t="s">
        <v>336</v>
      </c>
      <c r="C38" s="382" t="s">
        <v>746</v>
      </c>
      <c r="D38" s="388"/>
      <c r="F38" s="385"/>
    </row>
    <row r="39" spans="2:6" ht="12.95" customHeight="1" x14ac:dyDescent="0.2">
      <c r="B39" s="381" t="s">
        <v>337</v>
      </c>
      <c r="C39" s="382" t="s">
        <v>691</v>
      </c>
      <c r="D39" s="388"/>
      <c r="F39" s="385"/>
    </row>
    <row r="40" spans="2:6" ht="12.95" customHeight="1" x14ac:dyDescent="0.2">
      <c r="B40" s="381" t="s">
        <v>353</v>
      </c>
      <c r="C40" s="382" t="s">
        <v>668</v>
      </c>
      <c r="D40" s="388"/>
      <c r="F40" s="385"/>
    </row>
    <row r="41" spans="2:6" ht="12.95" customHeight="1" x14ac:dyDescent="0.2">
      <c r="B41" s="381" t="s">
        <v>355</v>
      </c>
      <c r="C41" s="382" t="s">
        <v>702</v>
      </c>
      <c r="D41" s="388"/>
      <c r="F41" s="385"/>
    </row>
    <row r="42" spans="2:6" ht="12.95" customHeight="1" x14ac:dyDescent="0.2">
      <c r="B42" s="381" t="s">
        <v>428</v>
      </c>
      <c r="C42" s="382" t="s">
        <v>684</v>
      </c>
      <c r="D42" s="388"/>
      <c r="F42" s="385"/>
    </row>
    <row r="43" spans="2:6" ht="12.95" customHeight="1" x14ac:dyDescent="0.2">
      <c r="B43" s="381" t="s">
        <v>493</v>
      </c>
      <c r="C43" s="382" t="s">
        <v>724</v>
      </c>
      <c r="D43" s="388"/>
      <c r="F43" s="385"/>
    </row>
    <row r="44" spans="2:6" ht="12.95" customHeight="1" x14ac:dyDescent="0.2">
      <c r="B44" s="381" t="s">
        <v>560</v>
      </c>
      <c r="C44" s="382" t="s">
        <v>581</v>
      </c>
      <c r="D44" s="388"/>
      <c r="F44" s="385"/>
    </row>
    <row r="45" spans="2:6" ht="12.95" customHeight="1" x14ac:dyDescent="0.2">
      <c r="B45" s="381" t="s">
        <v>562</v>
      </c>
      <c r="C45" s="382" t="s">
        <v>712</v>
      </c>
      <c r="D45" s="388"/>
      <c r="F45" s="385"/>
    </row>
    <row r="46" spans="2:6" ht="12.95" customHeight="1" x14ac:dyDescent="0.2">
      <c r="B46" s="381" t="s">
        <v>685</v>
      </c>
      <c r="C46" s="382" t="s">
        <v>582</v>
      </c>
      <c r="D46" s="388"/>
      <c r="F46" s="385"/>
    </row>
    <row r="47" spans="2:6" ht="12.95" customHeight="1" x14ac:dyDescent="0.2">
      <c r="B47" s="381" t="s">
        <v>686</v>
      </c>
      <c r="C47" s="382" t="s">
        <v>770</v>
      </c>
      <c r="D47" s="388"/>
      <c r="F47" s="385"/>
    </row>
    <row r="48" spans="2:6" ht="12.95" customHeight="1" x14ac:dyDescent="0.2">
      <c r="B48" s="381" t="s">
        <v>726</v>
      </c>
      <c r="C48" s="382" t="s">
        <v>766</v>
      </c>
      <c r="D48" s="388"/>
      <c r="F48" s="385"/>
    </row>
    <row r="49" spans="2:6" ht="12.95" customHeight="1" x14ac:dyDescent="0.2">
      <c r="B49" s="381" t="s">
        <v>687</v>
      </c>
      <c r="C49" s="382" t="s">
        <v>731</v>
      </c>
      <c r="D49" s="388"/>
      <c r="F49" s="385"/>
    </row>
    <row r="50" spans="2:6" ht="12.95" customHeight="1" x14ac:dyDescent="0.2">
      <c r="B50" s="381" t="s">
        <v>688</v>
      </c>
      <c r="C50" s="382" t="s">
        <v>728</v>
      </c>
      <c r="D50" s="388"/>
      <c r="F50" s="385"/>
    </row>
    <row r="51" spans="2:6" ht="12.95" customHeight="1" x14ac:dyDescent="0.2">
      <c r="B51" s="381" t="s">
        <v>689</v>
      </c>
      <c r="C51" s="382" t="s">
        <v>721</v>
      </c>
      <c r="D51" s="388"/>
      <c r="F51" s="385"/>
    </row>
    <row r="52" spans="2:6" ht="12.95" customHeight="1" x14ac:dyDescent="0.2">
      <c r="B52" s="381" t="s">
        <v>727</v>
      </c>
      <c r="C52" s="382" t="s">
        <v>719</v>
      </c>
      <c r="D52" s="388"/>
      <c r="F52" s="385"/>
    </row>
    <row r="53" spans="2:6" ht="12.95" customHeight="1" x14ac:dyDescent="0.2">
      <c r="B53" s="381" t="s">
        <v>741</v>
      </c>
      <c r="C53" s="382" t="s">
        <v>723</v>
      </c>
      <c r="D53" s="388"/>
      <c r="F53" s="385"/>
    </row>
    <row r="54" spans="2:6" ht="12.95" customHeight="1" x14ac:dyDescent="0.2">
      <c r="B54" s="381" t="s">
        <v>742</v>
      </c>
      <c r="C54" s="392" t="s">
        <v>722</v>
      </c>
      <c r="D54" s="393"/>
      <c r="F54" s="385"/>
    </row>
    <row r="55" spans="2:6" ht="12.95" customHeight="1" x14ac:dyDescent="0.2">
      <c r="B55" s="381" t="s">
        <v>743</v>
      </c>
      <c r="C55" s="382" t="s">
        <v>725</v>
      </c>
      <c r="D55" s="388"/>
      <c r="F55" s="385"/>
    </row>
    <row r="56" spans="2:6" ht="12.95" customHeight="1" x14ac:dyDescent="0.2">
      <c r="B56" s="381" t="s">
        <v>744</v>
      </c>
      <c r="C56" s="382" t="s">
        <v>729</v>
      </c>
      <c r="D56" s="388"/>
      <c r="F56" s="385"/>
    </row>
    <row r="57" spans="2:6" ht="12.95" customHeight="1" x14ac:dyDescent="0.2">
      <c r="B57" s="381" t="s">
        <v>745</v>
      </c>
      <c r="C57" s="382" t="s">
        <v>730</v>
      </c>
      <c r="D57" s="388"/>
      <c r="F57" s="385"/>
    </row>
    <row r="58" spans="2:6" ht="12.95" customHeight="1" x14ac:dyDescent="0.2">
      <c r="F58" s="385"/>
    </row>
    <row r="59" spans="2:6" ht="12.95" customHeight="1" x14ac:dyDescent="0.2">
      <c r="F59" s="385"/>
    </row>
    <row r="60" spans="2:6" ht="12.95" customHeight="1" x14ac:dyDescent="0.2">
      <c r="B60" s="386"/>
      <c r="F60" s="385"/>
    </row>
    <row r="61" spans="2:6" ht="12.95" customHeight="1" x14ac:dyDescent="0.2">
      <c r="F61" s="385"/>
    </row>
    <row r="62" spans="2:6" ht="12.95" customHeight="1" x14ac:dyDescent="0.2">
      <c r="F62" s="385"/>
    </row>
    <row r="63" spans="2:6" ht="12.95" customHeight="1" x14ac:dyDescent="0.2">
      <c r="F63" s="385"/>
    </row>
    <row r="64" spans="2:6" ht="12.95" customHeight="1" x14ac:dyDescent="0.2">
      <c r="F64" s="385"/>
    </row>
    <row r="65" spans="6:6" ht="12.95" customHeight="1" x14ac:dyDescent="0.2">
      <c r="F65" s="385"/>
    </row>
    <row r="66" spans="6:6" ht="12.95" customHeight="1" x14ac:dyDescent="0.2">
      <c r="F66" s="385"/>
    </row>
    <row r="67" spans="6:6" ht="12.95" customHeight="1" x14ac:dyDescent="0.2">
      <c r="F67" s="385"/>
    </row>
    <row r="68" spans="6:6" ht="12.95" customHeight="1" x14ac:dyDescent="0.2">
      <c r="F68" s="385"/>
    </row>
    <row r="69" spans="6:6" ht="12.95" customHeight="1" x14ac:dyDescent="0.2">
      <c r="F69" s="385"/>
    </row>
    <row r="70" spans="6:6" ht="12.95" customHeight="1" x14ac:dyDescent="0.2">
      <c r="F70" s="385"/>
    </row>
    <row r="71" spans="6:6" ht="12.95" customHeight="1" x14ac:dyDescent="0.2">
      <c r="F71" s="385"/>
    </row>
    <row r="72" spans="6:6" ht="12.95" customHeight="1" x14ac:dyDescent="0.2">
      <c r="F72" s="385"/>
    </row>
    <row r="73" spans="6:6" ht="12.95" customHeight="1" x14ac:dyDescent="0.2">
      <c r="F73" s="385"/>
    </row>
    <row r="74" spans="6:6" ht="12.95" customHeight="1" x14ac:dyDescent="0.2">
      <c r="F74" s="385"/>
    </row>
    <row r="75" spans="6:6" ht="12.95" customHeight="1" x14ac:dyDescent="0.2">
      <c r="F75" s="385"/>
    </row>
    <row r="76" spans="6:6" ht="12.95" customHeight="1" x14ac:dyDescent="0.2">
      <c r="F76" s="385"/>
    </row>
    <row r="77" spans="6:6" ht="12.95" customHeight="1" x14ac:dyDescent="0.2">
      <c r="F77" s="385"/>
    </row>
    <row r="78" spans="6:6" ht="12.95" customHeight="1" x14ac:dyDescent="0.2">
      <c r="F78" s="385"/>
    </row>
    <row r="79" spans="6:6" ht="12.95" customHeight="1" x14ac:dyDescent="0.2">
      <c r="F79" s="385"/>
    </row>
    <row r="80" spans="6:6" ht="12.95" customHeight="1" x14ac:dyDescent="0.2">
      <c r="F80" s="385"/>
    </row>
    <row r="81" spans="6:6" ht="12.95" customHeight="1" x14ac:dyDescent="0.2">
      <c r="F81" s="385"/>
    </row>
    <row r="82" spans="6:6" ht="12.95" customHeight="1" x14ac:dyDescent="0.2">
      <c r="F82" s="385"/>
    </row>
    <row r="83" spans="6:6" ht="12.95" customHeight="1" x14ac:dyDescent="0.2">
      <c r="F83" s="385"/>
    </row>
    <row r="84" spans="6:6" ht="12.95" customHeight="1" x14ac:dyDescent="0.2">
      <c r="F84" s="385"/>
    </row>
    <row r="85" spans="6:6" ht="12.95" customHeight="1" x14ac:dyDescent="0.2">
      <c r="F85" s="385"/>
    </row>
    <row r="86" spans="6:6" ht="12.95" customHeight="1" x14ac:dyDescent="0.2">
      <c r="F86" s="385"/>
    </row>
    <row r="87" spans="6:6" ht="12.95" customHeight="1" x14ac:dyDescent="0.2">
      <c r="F87" s="385"/>
    </row>
    <row r="88" spans="6:6" ht="12.95" customHeight="1" x14ac:dyDescent="0.2">
      <c r="F88" s="385"/>
    </row>
    <row r="89" spans="6:6" ht="12.95" customHeight="1" x14ac:dyDescent="0.2">
      <c r="F89" s="385"/>
    </row>
    <row r="90" spans="6:6" ht="12.95" customHeight="1" x14ac:dyDescent="0.2">
      <c r="F90" s="385"/>
    </row>
    <row r="91" spans="6:6" ht="12.95" customHeight="1" x14ac:dyDescent="0.2">
      <c r="F91" s="385"/>
    </row>
    <row r="92" spans="6:6" ht="12.95" customHeight="1" x14ac:dyDescent="0.2">
      <c r="F92" s="385"/>
    </row>
    <row r="93" spans="6:6" ht="12.95" customHeight="1" x14ac:dyDescent="0.2">
      <c r="F93" s="385"/>
    </row>
    <row r="94" spans="6:6" ht="12.95" customHeight="1" x14ac:dyDescent="0.2">
      <c r="F94" s="385"/>
    </row>
    <row r="95" spans="6:6" ht="12.95" customHeight="1" x14ac:dyDescent="0.2">
      <c r="F95" s="385"/>
    </row>
    <row r="96" spans="6:6" ht="12.95" customHeight="1" x14ac:dyDescent="0.2">
      <c r="F96" s="385"/>
    </row>
    <row r="97" spans="6:6" ht="12.95" customHeight="1" x14ac:dyDescent="0.2">
      <c r="F97" s="385"/>
    </row>
    <row r="98" spans="6:6" ht="12.95" customHeight="1" x14ac:dyDescent="0.2">
      <c r="F98" s="385"/>
    </row>
    <row r="99" spans="6:6" ht="12.95" customHeight="1" x14ac:dyDescent="0.2">
      <c r="F99" s="385"/>
    </row>
    <row r="100" spans="6:6" ht="12.95" customHeight="1" x14ac:dyDescent="0.2">
      <c r="F100" s="385"/>
    </row>
    <row r="101" spans="6:6" ht="12.95" customHeight="1" x14ac:dyDescent="0.2">
      <c r="F101" s="385"/>
    </row>
    <row r="102" spans="6:6" ht="12.95" customHeight="1" x14ac:dyDescent="0.2">
      <c r="F102" s="385"/>
    </row>
    <row r="103" spans="6:6" ht="12.95" customHeight="1" x14ac:dyDescent="0.2">
      <c r="F103" s="385"/>
    </row>
    <row r="104" spans="6:6" ht="12.95" customHeight="1" x14ac:dyDescent="0.2">
      <c r="F104" s="385"/>
    </row>
    <row r="105" spans="6:6" ht="12.95" customHeight="1" x14ac:dyDescent="0.2">
      <c r="F105" s="385"/>
    </row>
    <row r="106" spans="6:6" ht="12.95" customHeight="1" x14ac:dyDescent="0.2">
      <c r="F106" s="385"/>
    </row>
    <row r="107" spans="6:6" ht="12.95" customHeight="1" x14ac:dyDescent="0.2">
      <c r="F107" s="385"/>
    </row>
    <row r="108" spans="6:6" ht="12.95" customHeight="1" x14ac:dyDescent="0.2">
      <c r="F108" s="385"/>
    </row>
    <row r="109" spans="6:6" ht="12.95" customHeight="1" x14ac:dyDescent="0.2">
      <c r="F109" s="385"/>
    </row>
    <row r="110" spans="6:6" ht="12.95" customHeight="1" x14ac:dyDescent="0.2">
      <c r="F110" s="385"/>
    </row>
    <row r="111" spans="6:6" ht="12.95" customHeight="1" x14ac:dyDescent="0.2">
      <c r="F111" s="385"/>
    </row>
    <row r="112" spans="6:6" ht="12.95" customHeight="1" x14ac:dyDescent="0.2">
      <c r="F112" s="385"/>
    </row>
    <row r="113" spans="6:6" ht="12.95" customHeight="1" x14ac:dyDescent="0.2">
      <c r="F113" s="385"/>
    </row>
    <row r="114" spans="6:6" ht="12.95" customHeight="1" x14ac:dyDescent="0.2">
      <c r="F114" s="385"/>
    </row>
    <row r="115" spans="6:6" ht="12.95" customHeight="1" x14ac:dyDescent="0.2">
      <c r="F115" s="385"/>
    </row>
    <row r="116" spans="6:6" ht="12.95" customHeight="1" x14ac:dyDescent="0.2">
      <c r="F116" s="385"/>
    </row>
    <row r="117" spans="6:6" ht="12.95" customHeight="1" x14ac:dyDescent="0.2">
      <c r="F117" s="385"/>
    </row>
    <row r="118" spans="6:6" ht="12.95" customHeight="1" x14ac:dyDescent="0.2">
      <c r="F118" s="385"/>
    </row>
    <row r="119" spans="6:6" ht="12.95" customHeight="1" x14ac:dyDescent="0.2">
      <c r="F119" s="385"/>
    </row>
    <row r="120" spans="6:6" ht="12.95" customHeight="1" x14ac:dyDescent="0.2">
      <c r="F120" s="385"/>
    </row>
    <row r="121" spans="6:6" ht="12.95" customHeight="1" x14ac:dyDescent="0.2">
      <c r="F121" s="385"/>
    </row>
    <row r="122" spans="6:6" ht="12.95" customHeight="1" x14ac:dyDescent="0.2">
      <c r="F122" s="385"/>
    </row>
    <row r="123" spans="6:6" ht="12.95" customHeight="1" x14ac:dyDescent="0.2">
      <c r="F123" s="385"/>
    </row>
    <row r="124" spans="6:6" ht="12.95" customHeight="1" x14ac:dyDescent="0.2">
      <c r="F124" s="385"/>
    </row>
    <row r="125" spans="6:6" ht="12.95" customHeight="1" x14ac:dyDescent="0.2">
      <c r="F125" s="385"/>
    </row>
    <row r="126" spans="6:6" ht="12.95" customHeight="1" x14ac:dyDescent="0.2">
      <c r="F126" s="385"/>
    </row>
    <row r="127" spans="6:6" ht="12.95" customHeight="1" x14ac:dyDescent="0.2">
      <c r="F127" s="385"/>
    </row>
    <row r="128" spans="6:6" ht="12.95" customHeight="1" x14ac:dyDescent="0.2">
      <c r="F128" s="385"/>
    </row>
    <row r="129" spans="6:6" ht="12.95" customHeight="1" x14ac:dyDescent="0.2">
      <c r="F129" s="385"/>
    </row>
    <row r="130" spans="6:6" ht="12.95" customHeight="1" x14ac:dyDescent="0.2">
      <c r="F130" s="385"/>
    </row>
    <row r="131" spans="6:6" ht="12.95" customHeight="1" x14ac:dyDescent="0.2">
      <c r="F131" s="385"/>
    </row>
    <row r="132" spans="6:6" ht="12.95" customHeight="1" x14ac:dyDescent="0.2">
      <c r="F132" s="385"/>
    </row>
    <row r="133" spans="6:6" ht="12.95" customHeight="1" x14ac:dyDescent="0.2">
      <c r="F133" s="385"/>
    </row>
    <row r="134" spans="6:6" ht="12.95" customHeight="1" x14ac:dyDescent="0.2">
      <c r="F134" s="385"/>
    </row>
    <row r="135" spans="6:6" ht="12.95" customHeight="1" x14ac:dyDescent="0.2">
      <c r="F135" s="385"/>
    </row>
    <row r="136" spans="6:6" ht="12.95" customHeight="1" x14ac:dyDescent="0.2">
      <c r="F136" s="385"/>
    </row>
    <row r="137" spans="6:6" ht="12.95" customHeight="1" x14ac:dyDescent="0.2">
      <c r="F137" s="385"/>
    </row>
    <row r="138" spans="6:6" ht="12.95" customHeight="1" x14ac:dyDescent="0.2">
      <c r="F138" s="385"/>
    </row>
    <row r="139" spans="6:6" ht="12.95" customHeight="1" x14ac:dyDescent="0.2">
      <c r="F139" s="385"/>
    </row>
    <row r="140" spans="6:6" ht="12.95" customHeight="1" x14ac:dyDescent="0.2">
      <c r="F140" s="385"/>
    </row>
    <row r="141" spans="6:6" ht="12.95" customHeight="1" x14ac:dyDescent="0.2">
      <c r="F141" s="385"/>
    </row>
    <row r="142" spans="6:6" ht="12.95" customHeight="1" x14ac:dyDescent="0.2">
      <c r="F142" s="385"/>
    </row>
    <row r="143" spans="6:6" ht="12.95" customHeight="1" x14ac:dyDescent="0.2">
      <c r="F143" s="385"/>
    </row>
    <row r="144" spans="6:6" ht="12.95" customHeight="1" x14ac:dyDescent="0.2">
      <c r="F144" s="385"/>
    </row>
    <row r="145" spans="6:6" ht="12.95" customHeight="1" x14ac:dyDescent="0.2">
      <c r="F145" s="385"/>
    </row>
    <row r="146" spans="6:6" ht="12.95" customHeight="1" x14ac:dyDescent="0.2">
      <c r="F146" s="385"/>
    </row>
    <row r="147" spans="6:6" ht="12.95" customHeight="1" x14ac:dyDescent="0.2">
      <c r="F147" s="385"/>
    </row>
    <row r="148" spans="6:6" ht="12.95" customHeight="1" x14ac:dyDescent="0.2">
      <c r="F148" s="385"/>
    </row>
    <row r="149" spans="6:6" ht="12.95" customHeight="1" x14ac:dyDescent="0.2">
      <c r="F149" s="385"/>
    </row>
    <row r="150" spans="6:6" ht="12.95" customHeight="1" x14ac:dyDescent="0.2">
      <c r="F150" s="385"/>
    </row>
    <row r="151" spans="6:6" ht="12.95" customHeight="1" x14ac:dyDescent="0.2">
      <c r="F151" s="385"/>
    </row>
    <row r="152" spans="6:6" ht="12.95" customHeight="1" x14ac:dyDescent="0.2">
      <c r="F152" s="385"/>
    </row>
    <row r="153" spans="6:6" ht="12.95" customHeight="1" x14ac:dyDescent="0.2">
      <c r="F153" s="385"/>
    </row>
    <row r="154" spans="6:6" ht="12.95" customHeight="1" x14ac:dyDescent="0.2">
      <c r="F154" s="385"/>
    </row>
    <row r="155" spans="6:6" ht="12.95" customHeight="1" x14ac:dyDescent="0.2">
      <c r="F155" s="385"/>
    </row>
    <row r="156" spans="6:6" ht="12.95" customHeight="1" x14ac:dyDescent="0.2">
      <c r="F156" s="385"/>
    </row>
    <row r="157" spans="6:6" ht="12.95" customHeight="1" x14ac:dyDescent="0.2">
      <c r="F157" s="385"/>
    </row>
    <row r="158" spans="6:6" ht="12.95" customHeight="1" x14ac:dyDescent="0.2">
      <c r="F158" s="385"/>
    </row>
    <row r="159" spans="6:6" ht="12.95" customHeight="1" x14ac:dyDescent="0.2">
      <c r="F159" s="385"/>
    </row>
    <row r="160" spans="6:6" ht="12.95" customHeight="1" x14ac:dyDescent="0.2">
      <c r="F160" s="385"/>
    </row>
    <row r="161" spans="6:6" ht="12.95" customHeight="1" x14ac:dyDescent="0.2">
      <c r="F161" s="385"/>
    </row>
    <row r="162" spans="6:6" ht="12.95" customHeight="1" x14ac:dyDescent="0.2">
      <c r="F162" s="385"/>
    </row>
    <row r="163" spans="6:6" ht="12.95" customHeight="1" x14ac:dyDescent="0.2">
      <c r="F163" s="385"/>
    </row>
    <row r="164" spans="6:6" ht="12.95" customHeight="1" x14ac:dyDescent="0.2">
      <c r="F164" s="385"/>
    </row>
    <row r="165" spans="6:6" ht="12.95" customHeight="1" x14ac:dyDescent="0.2">
      <c r="F165" s="385"/>
    </row>
    <row r="166" spans="6:6" ht="12.95" customHeight="1" x14ac:dyDescent="0.2">
      <c r="F166" s="385"/>
    </row>
    <row r="167" spans="6:6" ht="12.95" customHeight="1" x14ac:dyDescent="0.2">
      <c r="F167" s="385"/>
    </row>
    <row r="168" spans="6:6" ht="12.95" customHeight="1" x14ac:dyDescent="0.2">
      <c r="F168" s="385"/>
    </row>
    <row r="169" spans="6:6" ht="12.95" customHeight="1" x14ac:dyDescent="0.2">
      <c r="F169" s="385"/>
    </row>
    <row r="170" spans="6:6" ht="12.95" customHeight="1" x14ac:dyDescent="0.2">
      <c r="F170" s="385"/>
    </row>
    <row r="171" spans="6:6" ht="12.95" customHeight="1" x14ac:dyDescent="0.2">
      <c r="F171" s="385"/>
    </row>
    <row r="172" spans="6:6" ht="12.95" customHeight="1" x14ac:dyDescent="0.2">
      <c r="F172" s="385"/>
    </row>
    <row r="173" spans="6:6" ht="12.95" customHeight="1" x14ac:dyDescent="0.2">
      <c r="F173" s="385"/>
    </row>
    <row r="174" spans="6:6" ht="12.95" customHeight="1" x14ac:dyDescent="0.2">
      <c r="F174" s="385"/>
    </row>
    <row r="175" spans="6:6" ht="12.95" customHeight="1" x14ac:dyDescent="0.2">
      <c r="F175" s="385"/>
    </row>
    <row r="176" spans="6:6" ht="12.95" customHeight="1" x14ac:dyDescent="0.2">
      <c r="F176" s="385"/>
    </row>
    <row r="177" spans="6:6" ht="12.95" customHeight="1" x14ac:dyDescent="0.2">
      <c r="F177" s="385"/>
    </row>
    <row r="178" spans="6:6" ht="12.95" customHeight="1" x14ac:dyDescent="0.2">
      <c r="F178" s="385"/>
    </row>
    <row r="179" spans="6:6" ht="12.95" customHeight="1" x14ac:dyDescent="0.2">
      <c r="F179" s="385"/>
    </row>
    <row r="180" spans="6:6" ht="12.95" customHeight="1" x14ac:dyDescent="0.2">
      <c r="F180" s="385"/>
    </row>
    <row r="181" spans="6:6" ht="12.95" customHeight="1" x14ac:dyDescent="0.2">
      <c r="F181" s="385"/>
    </row>
    <row r="182" spans="6:6" ht="12.95" customHeight="1" x14ac:dyDescent="0.2">
      <c r="F182" s="385"/>
    </row>
    <row r="183" spans="6:6" ht="12.95" customHeight="1" x14ac:dyDescent="0.2">
      <c r="F183" s="385"/>
    </row>
    <row r="184" spans="6:6" ht="12.95" customHeight="1" x14ac:dyDescent="0.2">
      <c r="F184" s="385"/>
    </row>
    <row r="185" spans="6:6" ht="12.95" customHeight="1" x14ac:dyDescent="0.2">
      <c r="F185" s="385"/>
    </row>
    <row r="186" spans="6:6" ht="12.95" customHeight="1" x14ac:dyDescent="0.2">
      <c r="F186" s="385"/>
    </row>
    <row r="187" spans="6:6" ht="12.95" customHeight="1" x14ac:dyDescent="0.2">
      <c r="F187" s="385"/>
    </row>
    <row r="188" spans="6:6" ht="12.95" customHeight="1" x14ac:dyDescent="0.2">
      <c r="F188" s="385"/>
    </row>
  </sheetData>
  <mergeCells count="3">
    <mergeCell ref="B2:C2"/>
    <mergeCell ref="B1:C1"/>
    <mergeCell ref="B3:C3"/>
  </mergeCells>
  <dataValidations count="1">
    <dataValidation type="textLength" allowBlank="1" showInputMessage="1" showErrorMessage="1" sqref="A1:XFD1048576">
      <formula1>0</formula1>
      <formula2>0</formula2>
    </dataValidation>
  </dataValidations>
  <hyperlinks>
    <hyperlink ref="C6" location="EGRESOS!C6" display="CONCEJO MUNICIPAL"/>
    <hyperlink ref="C13" location="EGRESOS!C62" display="DESPAHO MUNICIPAL"/>
    <hyperlink ref="C27" location="EGRESOS!C308" display="GERENCIA FINANCIERA"/>
    <hyperlink ref="C38" location="EGRESOS!C694" display="GERENCIA DE SERVICIOS"/>
    <hyperlink ref="C8" location="EGRESOS!C747" display="SECRETARIA MUNICIPAL"/>
    <hyperlink ref="C7" location="EGRESOS!C786" display="SINDICATURA MUNICIPAL"/>
    <hyperlink ref="C28" location="EGRESOS!C820" display="DEPARTAMENTO DE CONTABILIDAD"/>
    <hyperlink ref="C33" location="EGRESOS!C853" display="DEPARTAMENTO DE PRESUPUESTOS"/>
    <hyperlink ref="C32" location="EGRESOS!C890" display="TESORERIA MUNICIPAL"/>
    <hyperlink ref="C30" location="EGRESOS!C925" display="DEPARTAMENTO DE CUENTAS CORRIENTES"/>
    <hyperlink ref="C11" location="EGRESOS!C965" display="AUDITORIA INTERNA"/>
    <hyperlink ref="C10" location="EGRESOS!C996" display="UNIDAD JURIDICA"/>
    <hyperlink ref="C23" location="EGRESOS!C1067" display="UNIDAD DE ADQUISICIONES Y CONTRATACIONES INSTITUCIONALES"/>
    <hyperlink ref="C12" location="EGRESOS!C1030" display="CONTRAVENCIONAL"/>
    <hyperlink ref="C31:C42" location="EGRESOS!A1" display="DEPARTAMENTO DE REGISTRO DEL ESTADO FAMILIAR"/>
    <hyperlink ref="C31" location="EGRESOS!C1144" display="DEPARTAMENTO DE REGISTRO DEL ESTADO FAMILIAR"/>
    <hyperlink ref="C29" location="EGRESOS!C1184" display="DEPARTAMENTO DE CATASTRO TRIBUTARIO"/>
    <hyperlink ref="C34" location="EGRESOS!C1690" display="UNIDAD MUNICIPAL DE RECUPERACION DE MORA"/>
    <hyperlink ref="C44" location="EGRESOS!C1215" display="PARQUES Y CENTROS RECREATIVOS"/>
    <hyperlink ref="C37" location="EGRESOS!C1259" display="ADMINISTRACION DE MERCADOS"/>
    <hyperlink ref="C39" location="EGRESOS!C1299" display="DEPARTAMENTO DE RECOLECCION DE DESECHOS SOLIDOS"/>
    <hyperlink ref="C20" location="EGRESOS!C1353" display="DEPARTAMENTO DE DESARROLLO URBANO Y PROYECTOS MUNICIPALES"/>
    <hyperlink ref="C15" location="EGRESOS!C1388" display="CUERPO DE AGENTES MUNICIPALES (CAM)"/>
    <hyperlink ref="C52" location="EGRESOS!C1428" display="UNIDAD MUNICIPAL DE PARTICIPACION CIUDADANA"/>
    <hyperlink ref="C18" location="EGRESOS!C267" display="GERENCIA GENERAL"/>
    <hyperlink ref="C19" location="EGRESOS!C1503" display="DEPARTAMENTO DE DESARROLLO Y TALENTO HUMANO"/>
    <hyperlink ref="C14" location="EGRESOS!C1582" display="DEPARTAMENTO DE COMUNICACIONES "/>
    <hyperlink ref="C22" location="EGRESOS!C1579" display="DEPARTAMENTO DE TECNOLOGIA E INNOVACION"/>
    <hyperlink ref="C26" location="EGRESOS!C1614" display="UNIDAD MUNICIPAL DE MEDIO AMBIENTE"/>
    <hyperlink ref="C46" location="EGRESOS!C1656" display="CLINICA MUNICIPAL"/>
    <hyperlink ref="C36" location="EGRESOS!C1992" display="DISTRITO ALTAVISTA"/>
    <hyperlink ref="C48" location="EGRESOS!C1912" display="UNIDAD MUNICIPAL DE NIÑEZ, ADOLESCENCIA Y JUVENTUD"/>
    <hyperlink ref="C51" location="EGRESOS!C1468" display="UNIDAD MUNICIPAL DE LA MUJER"/>
    <hyperlink ref="C45" location="EGRESOS!C643" display="GERENCIA DE DESARROLLO HUMANO Y COHESIÓN SOCIAL"/>
    <hyperlink ref="C54" location="EGRESOS!C1127" display="UNIDAD MUNICIPAL DE COOPERACION"/>
    <hyperlink ref="C53" location="EGRESOS!C1814" display="UNIDAD MUNICIPAL DE DESARROLLO ECONOMICO"/>
    <hyperlink ref="C35" location="EGRESOS!C345" display="UNIDAD MUNICIPAL DE FISCALIZACION"/>
    <hyperlink ref="C21" location="EGRESOS!C382" display="ADMINISTRACION DE CEMENTERIOS"/>
    <hyperlink ref="C24" location="EGRESOS!C419" display="UNIDAD MUNICIPAL DE PLANIFICACION"/>
    <hyperlink ref="C25" location="EGRESOS!C456" display="UNIDAD MUNICIPAL DE TURISMO"/>
    <hyperlink ref="C40" location="EGRESOS!C493" display="DEPARTAMENTO DE MANTENIMIENTO DE INSTALACIONES MUNICIPALES"/>
    <hyperlink ref="C41" location="EGRESOS!C530" display="DEPARTAMENTO DE RECUPERACION DE ESPACIOS PUBLICOS"/>
    <hyperlink ref="C43" location="EGRESOS!C604" display="UNIDAD MUNICIPAL DE MANTENIMIENTO VIAL"/>
    <hyperlink ref="C42" location="EGRESOS!C567" display="UNIDAD MUNICIPAL DE MANTENIMIENTO VEHICULAR"/>
    <hyperlink ref="C16" location="EGRESOS!C114" display="UNIDAD DE ACCESO A LA INFORMACIÓN PUBLICA"/>
    <hyperlink ref="C17" location="EGRESOS!C148" display="UNIDAD MUNICIPAL DE GESTIÓN DE RIESGO Y PROTECCIÓN CIVIL"/>
    <hyperlink ref="C9" location="EGRESOS!C191" display="UNIDAD DE GESTION DOCUMENTAL Y ARCHIVO INSTITUCIONAL"/>
    <hyperlink ref="C55" location="EGRESOS!C227" display="UNIDAD MUNICIPAL DE MEDIACIÓN"/>
    <hyperlink ref="C47" location="EGRESOS!C1733" display="UNIDAD MUNICIPAL DE PREVENCIÓN Y CONVIVENCIA CIUDADANA"/>
    <hyperlink ref="C50" location="EGRESOS!C1775" display="UNIDAD MUNICIPAL DE DEPORTES"/>
    <hyperlink ref="C56" location="EGRESOS!C1850" display="UNIDAD MUNICIPAL AGROPECUARIA"/>
    <hyperlink ref="C57" location="EGRESOS!C1883" display="BOLSA DE EMPLEO"/>
    <hyperlink ref="C49" location="EGRESOS!C1953" display="CENTRO DE DESARROLLO INFANTIL"/>
  </hyperlinks>
  <pageMargins left="1.0629921259842521" right="0.70866141732283472" top="1.1811023622047245" bottom="0" header="0.19685039370078741" footer="0.31496062992125984"/>
  <pageSetup scale="90" orientation="portrait" r:id="rId1"/>
  <headerFooter>
    <oddHeader>&amp;L&amp;G</oddHeader>
  </headerFooter>
  <colBreaks count="1" manualBreakCount="1">
    <brk id="3" max="187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943"/>
  <sheetViews>
    <sheetView view="pageBreakPreview" zoomScale="115" zoomScaleNormal="115" zoomScaleSheetLayoutView="115" workbookViewId="0"/>
  </sheetViews>
  <sheetFormatPr baseColWidth="10" defaultColWidth="11.42578125" defaultRowHeight="12.75" x14ac:dyDescent="0.2"/>
  <cols>
    <col min="1" max="1" width="3" style="1" customWidth="1"/>
    <col min="2" max="2" width="9" style="1" customWidth="1"/>
    <col min="3" max="3" width="52.5703125" style="1" customWidth="1"/>
    <col min="4" max="4" width="15.28515625" style="1" customWidth="1"/>
    <col min="5" max="5" width="3.140625" style="1" hidden="1" customWidth="1"/>
    <col min="6" max="7" width="19.140625" style="1" customWidth="1"/>
    <col min="8" max="12" width="17.140625" style="1" hidden="1" customWidth="1"/>
    <col min="13" max="14" width="17.28515625" style="1" customWidth="1"/>
    <col min="15" max="15" width="13.28515625" style="1" customWidth="1"/>
    <col min="16" max="16" width="12.5703125" style="1" customWidth="1"/>
    <col min="17" max="17" width="12.85546875" style="1" bestFit="1" customWidth="1"/>
    <col min="18" max="16384" width="11.42578125" style="1"/>
  </cols>
  <sheetData>
    <row r="1" spans="1:16" x14ac:dyDescent="0.2">
      <c r="G1" s="1" t="s">
        <v>859</v>
      </c>
      <c r="M1" s="357" t="s">
        <v>588</v>
      </c>
      <c r="N1" s="69"/>
    </row>
    <row r="2" spans="1:16" ht="15" customHeight="1" x14ac:dyDescent="0.2">
      <c r="A2" s="1" t="s">
        <v>387</v>
      </c>
      <c r="B2" s="404" t="s">
        <v>499</v>
      </c>
      <c r="C2" s="404"/>
      <c r="D2" s="404"/>
      <c r="E2" s="404"/>
      <c r="F2" s="404"/>
      <c r="G2" s="404"/>
      <c r="H2" s="10"/>
      <c r="I2" s="10"/>
      <c r="J2" s="10"/>
      <c r="K2" s="10"/>
      <c r="L2" s="10"/>
      <c r="N2" s="10"/>
      <c r="O2" s="10"/>
      <c r="P2" s="10"/>
    </row>
    <row r="3" spans="1:16" ht="15" customHeight="1" x14ac:dyDescent="0.2">
      <c r="A3" s="1" t="s">
        <v>387</v>
      </c>
      <c r="B3" s="404" t="s">
        <v>848</v>
      </c>
      <c r="C3" s="404"/>
      <c r="D3" s="404"/>
      <c r="E3" s="404"/>
      <c r="F3" s="404"/>
      <c r="G3" s="404"/>
      <c r="H3" s="10"/>
      <c r="I3" s="10"/>
      <c r="J3" s="10"/>
      <c r="K3" s="10"/>
      <c r="L3" s="10"/>
      <c r="M3" s="161"/>
      <c r="N3" s="10"/>
      <c r="O3" s="10"/>
      <c r="P3" s="10"/>
    </row>
    <row r="4" spans="1:16" ht="15" customHeight="1" x14ac:dyDescent="0.2">
      <c r="A4" s="1" t="s">
        <v>387</v>
      </c>
      <c r="B4" s="404" t="s">
        <v>117</v>
      </c>
      <c r="C4" s="404"/>
      <c r="D4" s="404"/>
      <c r="E4" s="404"/>
      <c r="F4" s="404"/>
      <c r="G4" s="404"/>
      <c r="H4" s="70"/>
      <c r="I4" s="70"/>
      <c r="J4" s="70"/>
      <c r="K4" s="70"/>
      <c r="L4" s="70"/>
    </row>
    <row r="5" spans="1:16" ht="15" customHeight="1" x14ac:dyDescent="0.2">
      <c r="A5" s="1" t="s">
        <v>387</v>
      </c>
      <c r="B5" s="409" t="s">
        <v>278</v>
      </c>
      <c r="C5" s="409"/>
      <c r="D5" s="409"/>
      <c r="E5" s="409"/>
      <c r="F5" s="409"/>
      <c r="G5" s="409"/>
    </row>
    <row r="6" spans="1:16" ht="15" customHeight="1" x14ac:dyDescent="0.2">
      <c r="A6" s="1" t="s">
        <v>387</v>
      </c>
      <c r="B6" s="410" t="s">
        <v>1</v>
      </c>
      <c r="C6" s="407" t="s">
        <v>0</v>
      </c>
      <c r="D6" s="71" t="s">
        <v>56</v>
      </c>
      <c r="E6" s="71" t="s">
        <v>376</v>
      </c>
      <c r="F6" s="71" t="s">
        <v>56</v>
      </c>
      <c r="G6" s="417" t="s">
        <v>850</v>
      </c>
      <c r="H6" s="72" t="s">
        <v>285</v>
      </c>
      <c r="I6" s="72"/>
      <c r="J6" s="72"/>
      <c r="K6" s="72"/>
      <c r="L6" s="72"/>
    </row>
    <row r="7" spans="1:16" ht="15" customHeight="1" x14ac:dyDescent="0.2">
      <c r="A7" s="1" t="s">
        <v>387</v>
      </c>
      <c r="B7" s="411"/>
      <c r="C7" s="408"/>
      <c r="D7" s="71" t="s">
        <v>421</v>
      </c>
      <c r="E7" s="71"/>
      <c r="F7" s="71" t="s">
        <v>140</v>
      </c>
      <c r="G7" s="418"/>
      <c r="H7" s="72" t="s">
        <v>286</v>
      </c>
      <c r="I7" s="72" t="s">
        <v>290</v>
      </c>
      <c r="J7" s="72" t="s">
        <v>291</v>
      </c>
      <c r="K7" s="72" t="s">
        <v>293</v>
      </c>
      <c r="L7" s="72" t="s">
        <v>292</v>
      </c>
    </row>
    <row r="8" spans="1:16" ht="15" customHeight="1" x14ac:dyDescent="0.2">
      <c r="A8" s="1">
        <v>2</v>
      </c>
      <c r="B8" s="61">
        <v>51105</v>
      </c>
      <c r="C8" s="73" t="s">
        <v>2</v>
      </c>
      <c r="D8" s="74"/>
      <c r="E8" s="74"/>
      <c r="F8" s="75">
        <f>EGRESOS!G9</f>
        <v>306240</v>
      </c>
      <c r="G8" s="76">
        <f t="shared" ref="G8:G51" si="0">D8+E8+F8</f>
        <v>306240</v>
      </c>
      <c r="H8" s="30"/>
      <c r="I8" s="30"/>
      <c r="J8" s="30"/>
      <c r="K8" s="30"/>
      <c r="L8" s="30"/>
    </row>
    <row r="9" spans="1:16" ht="15" customHeight="1" x14ac:dyDescent="0.2">
      <c r="A9" s="1">
        <v>2</v>
      </c>
      <c r="B9" s="61">
        <v>51107</v>
      </c>
      <c r="C9" s="73" t="s">
        <v>34</v>
      </c>
      <c r="D9" s="74"/>
      <c r="E9" s="74"/>
      <c r="F9" s="75">
        <f>EGRESOS!G10</f>
        <v>91000</v>
      </c>
      <c r="G9" s="76">
        <f t="shared" si="0"/>
        <v>91000</v>
      </c>
      <c r="H9" s="30"/>
      <c r="I9" s="30"/>
      <c r="J9" s="30"/>
      <c r="K9" s="30"/>
      <c r="L9" s="30"/>
    </row>
    <row r="10" spans="1:16" ht="15" customHeight="1" x14ac:dyDescent="0.2">
      <c r="A10" s="1">
        <v>2</v>
      </c>
      <c r="B10" s="61">
        <v>51401</v>
      </c>
      <c r="C10" s="62" t="s">
        <v>47</v>
      </c>
      <c r="D10" s="74"/>
      <c r="E10" s="74"/>
      <c r="F10" s="75">
        <f>EGRESOS!G11</f>
        <v>20889.600000000002</v>
      </c>
      <c r="G10" s="76">
        <f t="shared" si="0"/>
        <v>20889.600000000002</v>
      </c>
      <c r="H10" s="30"/>
      <c r="I10" s="30"/>
      <c r="J10" s="30"/>
      <c r="K10" s="30"/>
      <c r="L10" s="30"/>
    </row>
    <row r="11" spans="1:16" ht="15" customHeight="1" x14ac:dyDescent="0.2">
      <c r="A11" s="1">
        <v>2</v>
      </c>
      <c r="B11" s="61">
        <v>51501</v>
      </c>
      <c r="C11" s="73" t="s">
        <v>29</v>
      </c>
      <c r="D11" s="74"/>
      <c r="E11" s="74"/>
      <c r="F11" s="75">
        <f>EGRESOS!G12</f>
        <v>21504</v>
      </c>
      <c r="G11" s="76">
        <f t="shared" si="0"/>
        <v>21504</v>
      </c>
      <c r="H11" s="30"/>
      <c r="I11" s="30"/>
      <c r="J11" s="30"/>
      <c r="K11" s="30"/>
      <c r="L11" s="30"/>
    </row>
    <row r="12" spans="1:16" ht="15" customHeight="1" x14ac:dyDescent="0.2">
      <c r="A12" s="1">
        <v>2</v>
      </c>
      <c r="B12" s="61">
        <v>51701</v>
      </c>
      <c r="C12" s="73" t="s">
        <v>55</v>
      </c>
      <c r="D12" s="74"/>
      <c r="E12" s="74"/>
      <c r="F12" s="75">
        <f>EGRESOS!G13</f>
        <v>40196.589999999997</v>
      </c>
      <c r="G12" s="76">
        <f t="shared" si="0"/>
        <v>40196.589999999997</v>
      </c>
      <c r="H12" s="30"/>
      <c r="I12" s="30"/>
      <c r="J12" s="30"/>
      <c r="K12" s="30"/>
      <c r="L12" s="30"/>
    </row>
    <row r="13" spans="1:16" ht="15" customHeight="1" x14ac:dyDescent="0.2">
      <c r="A13" s="1">
        <v>2</v>
      </c>
      <c r="B13" s="61">
        <v>51901</v>
      </c>
      <c r="C13" s="73" t="s">
        <v>330</v>
      </c>
      <c r="D13" s="74"/>
      <c r="E13" s="74"/>
      <c r="F13" s="75">
        <f>EGRESOS!G14</f>
        <v>12000</v>
      </c>
      <c r="G13" s="76">
        <f t="shared" si="0"/>
        <v>12000</v>
      </c>
      <c r="H13" s="30"/>
      <c r="I13" s="30"/>
      <c r="J13" s="30"/>
      <c r="K13" s="30"/>
      <c r="L13" s="30"/>
    </row>
    <row r="14" spans="1:16" ht="15" customHeight="1" x14ac:dyDescent="0.2">
      <c r="A14" s="1">
        <v>2</v>
      </c>
      <c r="B14" s="61">
        <v>54101</v>
      </c>
      <c r="C14" s="73" t="s">
        <v>38</v>
      </c>
      <c r="D14" s="74"/>
      <c r="E14" s="74"/>
      <c r="F14" s="75">
        <f>EGRESOS!G15</f>
        <v>16000</v>
      </c>
      <c r="G14" s="76">
        <f t="shared" si="0"/>
        <v>16000</v>
      </c>
      <c r="H14" s="30"/>
      <c r="I14" s="30"/>
      <c r="J14" s="30"/>
      <c r="K14" s="30"/>
      <c r="L14" s="30"/>
    </row>
    <row r="15" spans="1:16" ht="15" customHeight="1" x14ac:dyDescent="0.2">
      <c r="A15" s="1">
        <v>2</v>
      </c>
      <c r="B15" s="61">
        <v>54103</v>
      </c>
      <c r="C15" s="73" t="s">
        <v>41</v>
      </c>
      <c r="D15" s="74"/>
      <c r="E15" s="74"/>
      <c r="F15" s="75">
        <f>EGRESOS!G16</f>
        <v>10000</v>
      </c>
      <c r="G15" s="76">
        <f t="shared" si="0"/>
        <v>10000</v>
      </c>
      <c r="H15" s="30"/>
      <c r="I15" s="30"/>
      <c r="J15" s="30"/>
      <c r="K15" s="30"/>
      <c r="L15" s="30"/>
    </row>
    <row r="16" spans="1:16" ht="15" customHeight="1" x14ac:dyDescent="0.2">
      <c r="A16" s="1">
        <v>2</v>
      </c>
      <c r="B16" s="61">
        <v>54104</v>
      </c>
      <c r="C16" s="62" t="s">
        <v>17</v>
      </c>
      <c r="D16" s="74"/>
      <c r="E16" s="74"/>
      <c r="F16" s="75">
        <f>EGRESOS!G17</f>
        <v>1225</v>
      </c>
      <c r="G16" s="76">
        <f t="shared" si="0"/>
        <v>1225</v>
      </c>
      <c r="H16" s="30"/>
      <c r="I16" s="30"/>
      <c r="J16" s="30"/>
      <c r="K16" s="30"/>
      <c r="L16" s="30"/>
      <c r="M16" s="2"/>
    </row>
    <row r="17" spans="1:15" ht="15" customHeight="1" x14ac:dyDescent="0.2">
      <c r="A17" s="1">
        <v>2</v>
      </c>
      <c r="B17" s="61">
        <v>54105</v>
      </c>
      <c r="C17" s="62" t="s">
        <v>131</v>
      </c>
      <c r="D17" s="74"/>
      <c r="E17" s="74"/>
      <c r="F17" s="75">
        <f>EGRESOS!G18</f>
        <v>700</v>
      </c>
      <c r="G17" s="76">
        <f t="shared" si="0"/>
        <v>700</v>
      </c>
      <c r="H17" s="30"/>
      <c r="I17" s="30"/>
      <c r="J17" s="30"/>
      <c r="K17" s="30"/>
      <c r="L17" s="30"/>
      <c r="M17" s="2"/>
    </row>
    <row r="18" spans="1:15" ht="15" customHeight="1" x14ac:dyDescent="0.2">
      <c r="A18" s="1">
        <v>2</v>
      </c>
      <c r="B18" s="61">
        <v>54106</v>
      </c>
      <c r="C18" s="62" t="s">
        <v>18</v>
      </c>
      <c r="D18" s="74"/>
      <c r="E18" s="74"/>
      <c r="F18" s="75">
        <f>EGRESOS!G19</f>
        <v>100</v>
      </c>
      <c r="G18" s="76">
        <f t="shared" si="0"/>
        <v>100</v>
      </c>
      <c r="H18" s="30"/>
      <c r="I18" s="30"/>
      <c r="J18" s="30"/>
      <c r="K18" s="30"/>
      <c r="L18" s="30"/>
      <c r="M18" s="2"/>
    </row>
    <row r="19" spans="1:15" ht="15" customHeight="1" x14ac:dyDescent="0.2">
      <c r="A19" s="1">
        <v>2</v>
      </c>
      <c r="B19" s="61">
        <v>54107</v>
      </c>
      <c r="C19" s="62" t="s">
        <v>43</v>
      </c>
      <c r="D19" s="74"/>
      <c r="E19" s="74"/>
      <c r="F19" s="75">
        <f>EGRESOS!G20</f>
        <v>5000</v>
      </c>
      <c r="G19" s="76">
        <f t="shared" si="0"/>
        <v>5000</v>
      </c>
      <c r="H19" s="30"/>
      <c r="I19" s="30"/>
      <c r="J19" s="30"/>
      <c r="K19" s="30"/>
      <c r="L19" s="30"/>
      <c r="M19" s="2"/>
    </row>
    <row r="20" spans="1:15" ht="15" customHeight="1" x14ac:dyDescent="0.2">
      <c r="A20" s="1">
        <v>2</v>
      </c>
      <c r="B20" s="61">
        <v>54110</v>
      </c>
      <c r="C20" s="62" t="s">
        <v>147</v>
      </c>
      <c r="D20" s="74"/>
      <c r="E20" s="74"/>
      <c r="F20" s="75">
        <f>EGRESOS!G21</f>
        <v>500</v>
      </c>
      <c r="G20" s="76">
        <f t="shared" si="0"/>
        <v>500</v>
      </c>
      <c r="H20" s="30"/>
      <c r="I20" s="30"/>
      <c r="J20" s="30"/>
      <c r="K20" s="30"/>
      <c r="L20" s="30"/>
      <c r="M20" s="2"/>
    </row>
    <row r="21" spans="1:15" ht="15" customHeight="1" x14ac:dyDescent="0.2">
      <c r="A21" s="1">
        <v>2</v>
      </c>
      <c r="B21" s="61">
        <v>54111</v>
      </c>
      <c r="C21" s="62" t="s">
        <v>162</v>
      </c>
      <c r="D21" s="74"/>
      <c r="E21" s="74"/>
      <c r="F21" s="75">
        <f>EGRESOS!G22</f>
        <v>15000</v>
      </c>
      <c r="G21" s="76">
        <f t="shared" si="0"/>
        <v>15000</v>
      </c>
      <c r="H21" s="30">
        <f>632.29</f>
        <v>632.29</v>
      </c>
      <c r="I21" s="30"/>
      <c r="J21" s="30">
        <f>235.26+632.29</f>
        <v>867.55</v>
      </c>
      <c r="K21" s="30"/>
      <c r="L21" s="30"/>
      <c r="M21" s="2"/>
    </row>
    <row r="22" spans="1:15" ht="15" customHeight="1" x14ac:dyDescent="0.2">
      <c r="A22" s="1">
        <v>2</v>
      </c>
      <c r="B22" s="61">
        <v>54112</v>
      </c>
      <c r="C22" s="62" t="s">
        <v>433</v>
      </c>
      <c r="D22" s="74"/>
      <c r="E22" s="74"/>
      <c r="F22" s="75">
        <f>EGRESOS!G23</f>
        <v>15000</v>
      </c>
      <c r="G22" s="76">
        <f t="shared" si="0"/>
        <v>15000</v>
      </c>
      <c r="H22" s="30"/>
      <c r="I22" s="30"/>
      <c r="J22" s="30"/>
      <c r="K22" s="30"/>
      <c r="L22" s="30"/>
    </row>
    <row r="23" spans="1:15" ht="15" customHeight="1" x14ac:dyDescent="0.2">
      <c r="A23" s="1">
        <v>2</v>
      </c>
      <c r="B23" s="61">
        <v>54114</v>
      </c>
      <c r="C23" s="73" t="s">
        <v>388</v>
      </c>
      <c r="D23" s="74"/>
      <c r="E23" s="74"/>
      <c r="F23" s="75">
        <f>EGRESOS!G24</f>
        <v>200</v>
      </c>
      <c r="G23" s="76">
        <f t="shared" si="0"/>
        <v>200</v>
      </c>
      <c r="H23" s="77">
        <f>EGRESOS!I25</f>
        <v>0</v>
      </c>
      <c r="I23" s="77">
        <f>EGRESOS!J25</f>
        <v>0</v>
      </c>
      <c r="J23" s="77">
        <f>EGRESOS!K25</f>
        <v>0</v>
      </c>
      <c r="K23" s="77">
        <f>EGRESOS!L25</f>
        <v>0</v>
      </c>
      <c r="L23" s="77">
        <f>EGRESOS!M25</f>
        <v>0</v>
      </c>
      <c r="M23" s="78"/>
    </row>
    <row r="24" spans="1:15" ht="15" customHeight="1" x14ac:dyDescent="0.2">
      <c r="A24" s="1">
        <v>2</v>
      </c>
      <c r="B24" s="61">
        <v>54115</v>
      </c>
      <c r="C24" s="73" t="s">
        <v>49</v>
      </c>
      <c r="D24" s="74"/>
      <c r="E24" s="74"/>
      <c r="F24" s="75">
        <f>EGRESOS!G25</f>
        <v>150</v>
      </c>
      <c r="G24" s="76">
        <f t="shared" si="0"/>
        <v>150</v>
      </c>
      <c r="H24" s="30">
        <f>149.1+500+225+160+82.5+350+149.5+7.5+192+440+200</f>
        <v>2455.6</v>
      </c>
      <c r="I24" s="30">
        <f>781.65+360+66</f>
        <v>1207.6500000000001</v>
      </c>
      <c r="J24" s="30">
        <f>274.5+44.6+714.7+250+282.5+70+140+591.95</f>
        <v>2368.25</v>
      </c>
      <c r="K24" s="30">
        <f>100+100+150</f>
        <v>350</v>
      </c>
      <c r="L24" s="30">
        <v>420</v>
      </c>
      <c r="M24" s="2"/>
    </row>
    <row r="25" spans="1:15" ht="15" customHeight="1" x14ac:dyDescent="0.2">
      <c r="A25" s="1">
        <v>2</v>
      </c>
      <c r="B25" s="61">
        <v>54118</v>
      </c>
      <c r="C25" s="73" t="s">
        <v>454</v>
      </c>
      <c r="D25" s="74"/>
      <c r="E25" s="74"/>
      <c r="F25" s="75">
        <f>EGRESOS!G26</f>
        <v>1500</v>
      </c>
      <c r="G25" s="76">
        <f t="shared" si="0"/>
        <v>1500</v>
      </c>
      <c r="H25" s="30"/>
      <c r="I25" s="30"/>
      <c r="J25" s="30"/>
      <c r="K25" s="30"/>
      <c r="L25" s="30"/>
      <c r="M25" s="2"/>
    </row>
    <row r="26" spans="1:15" ht="15" customHeight="1" x14ac:dyDescent="0.2">
      <c r="A26" s="1">
        <v>2</v>
      </c>
      <c r="B26" s="61">
        <v>54119</v>
      </c>
      <c r="C26" s="73" t="s">
        <v>44</v>
      </c>
      <c r="D26" s="74"/>
      <c r="E26" s="74"/>
      <c r="F26" s="75">
        <f>EGRESOS!G27</f>
        <v>1395</v>
      </c>
      <c r="G26" s="76">
        <f t="shared" si="0"/>
        <v>1395</v>
      </c>
      <c r="H26" s="30"/>
      <c r="I26" s="30"/>
      <c r="J26" s="30"/>
      <c r="K26" s="30"/>
      <c r="L26" s="30"/>
      <c r="M26" s="2"/>
    </row>
    <row r="27" spans="1:15" ht="15" customHeight="1" x14ac:dyDescent="0.2">
      <c r="A27" s="1">
        <v>2</v>
      </c>
      <c r="B27" s="61">
        <v>54199</v>
      </c>
      <c r="C27" s="73" t="s">
        <v>26</v>
      </c>
      <c r="D27" s="74"/>
      <c r="E27" s="74"/>
      <c r="F27" s="75">
        <f>EGRESOS!G28</f>
        <v>2000</v>
      </c>
      <c r="G27" s="76">
        <f t="shared" si="0"/>
        <v>2000</v>
      </c>
      <c r="H27" s="30"/>
      <c r="I27" s="30"/>
      <c r="J27" s="30"/>
      <c r="K27" s="30"/>
      <c r="L27" s="30"/>
      <c r="M27" s="2"/>
    </row>
    <row r="28" spans="1:15" ht="15" customHeight="1" x14ac:dyDescent="0.2">
      <c r="A28" s="1">
        <v>2</v>
      </c>
      <c r="B28" s="61">
        <v>54203</v>
      </c>
      <c r="C28" s="73" t="s">
        <v>7</v>
      </c>
      <c r="D28" s="76"/>
      <c r="E28" s="76"/>
      <c r="F28" s="75">
        <f>EGRESOS!G29</f>
        <v>0</v>
      </c>
      <c r="G28" s="76">
        <f t="shared" si="0"/>
        <v>0</v>
      </c>
      <c r="H28" s="30"/>
      <c r="I28" s="30"/>
      <c r="J28" s="30"/>
      <c r="K28" s="30"/>
      <c r="L28" s="30"/>
      <c r="M28" s="2"/>
      <c r="O28" s="2"/>
    </row>
    <row r="29" spans="1:15" ht="15" customHeight="1" x14ac:dyDescent="0.2">
      <c r="A29" s="1">
        <v>2</v>
      </c>
      <c r="B29" s="61">
        <v>54204</v>
      </c>
      <c r="C29" s="73" t="s">
        <v>32</v>
      </c>
      <c r="D29" s="76"/>
      <c r="E29" s="76"/>
      <c r="F29" s="75">
        <f>EGRESOS!G30</f>
        <v>0</v>
      </c>
      <c r="G29" s="76">
        <f t="shared" si="0"/>
        <v>0</v>
      </c>
      <c r="H29" s="30"/>
      <c r="I29" s="30"/>
      <c r="J29" s="30"/>
      <c r="K29" s="30"/>
      <c r="L29" s="30"/>
      <c r="M29" s="2"/>
    </row>
    <row r="30" spans="1:15" ht="15" customHeight="1" x14ac:dyDescent="0.2">
      <c r="A30" s="1">
        <v>2</v>
      </c>
      <c r="B30" s="61">
        <v>54301</v>
      </c>
      <c r="C30" s="73" t="s">
        <v>158</v>
      </c>
      <c r="D30" s="76"/>
      <c r="E30" s="76"/>
      <c r="F30" s="75">
        <f>EGRESOS!G31</f>
        <v>800</v>
      </c>
      <c r="G30" s="76">
        <f t="shared" si="0"/>
        <v>800</v>
      </c>
      <c r="H30" s="30"/>
      <c r="I30" s="30"/>
      <c r="J30" s="30"/>
      <c r="K30" s="30"/>
      <c r="L30" s="30"/>
    </row>
    <row r="31" spans="1:15" ht="15" customHeight="1" x14ac:dyDescent="0.2">
      <c r="A31" s="1">
        <v>2</v>
      </c>
      <c r="B31" s="61">
        <v>54304</v>
      </c>
      <c r="C31" s="73" t="s">
        <v>434</v>
      </c>
      <c r="D31" s="76"/>
      <c r="E31" s="76"/>
      <c r="F31" s="75">
        <f>EGRESOS!G32</f>
        <v>0</v>
      </c>
      <c r="G31" s="76">
        <f t="shared" si="0"/>
        <v>0</v>
      </c>
      <c r="H31" s="30"/>
      <c r="I31" s="30"/>
      <c r="J31" s="30"/>
      <c r="K31" s="30"/>
      <c r="L31" s="30"/>
    </row>
    <row r="32" spans="1:15" ht="15" customHeight="1" x14ac:dyDescent="0.2">
      <c r="A32" s="1">
        <v>2</v>
      </c>
      <c r="B32" s="61">
        <v>54310</v>
      </c>
      <c r="C32" s="73" t="s">
        <v>503</v>
      </c>
      <c r="D32" s="76"/>
      <c r="E32" s="76"/>
      <c r="F32" s="75">
        <f>EGRESOS!G33</f>
        <v>0</v>
      </c>
      <c r="G32" s="76">
        <f t="shared" si="0"/>
        <v>0</v>
      </c>
      <c r="H32" s="30"/>
      <c r="I32" s="30"/>
      <c r="J32" s="30"/>
      <c r="K32" s="30"/>
      <c r="L32" s="30"/>
    </row>
    <row r="33" spans="1:13" ht="15" customHeight="1" x14ac:dyDescent="0.2">
      <c r="A33" s="1">
        <v>2</v>
      </c>
      <c r="B33" s="61">
        <v>54313</v>
      </c>
      <c r="C33" s="62" t="s">
        <v>11</v>
      </c>
      <c r="D33" s="76"/>
      <c r="E33" s="76"/>
      <c r="F33" s="75">
        <f>EGRESOS!G34</f>
        <v>5000</v>
      </c>
      <c r="G33" s="76">
        <f t="shared" si="0"/>
        <v>5000</v>
      </c>
      <c r="H33" s="30"/>
      <c r="I33" s="30"/>
      <c r="J33" s="30"/>
      <c r="K33" s="30"/>
      <c r="L33" s="30"/>
      <c r="M33" s="2"/>
    </row>
    <row r="34" spans="1:13" ht="15" customHeight="1" x14ac:dyDescent="0.2">
      <c r="A34" s="1">
        <v>2</v>
      </c>
      <c r="B34" s="61">
        <v>54314</v>
      </c>
      <c r="C34" s="73" t="s">
        <v>12</v>
      </c>
      <c r="D34" s="76"/>
      <c r="E34" s="76"/>
      <c r="F34" s="75">
        <f>EGRESOS!G35</f>
        <v>150000</v>
      </c>
      <c r="G34" s="76">
        <f t="shared" si="0"/>
        <v>150000</v>
      </c>
      <c r="H34" s="30"/>
      <c r="I34" s="30"/>
      <c r="J34" s="30"/>
      <c r="K34" s="30"/>
      <c r="L34" s="30"/>
      <c r="M34" s="2"/>
    </row>
    <row r="35" spans="1:13" ht="15" customHeight="1" x14ac:dyDescent="0.2">
      <c r="A35" s="1">
        <v>2</v>
      </c>
      <c r="B35" s="61">
        <v>54316</v>
      </c>
      <c r="C35" s="73" t="s">
        <v>45</v>
      </c>
      <c r="D35" s="76"/>
      <c r="E35" s="76"/>
      <c r="F35" s="75">
        <f>EGRESOS!G36</f>
        <v>500</v>
      </c>
      <c r="G35" s="76">
        <f t="shared" si="0"/>
        <v>500</v>
      </c>
      <c r="H35" s="30"/>
      <c r="I35" s="30"/>
      <c r="J35" s="30"/>
      <c r="K35" s="30"/>
      <c r="L35" s="30"/>
      <c r="M35" s="2"/>
    </row>
    <row r="36" spans="1:13" ht="15" customHeight="1" x14ac:dyDescent="0.2">
      <c r="A36" s="1">
        <v>2</v>
      </c>
      <c r="B36" s="61">
        <v>54317</v>
      </c>
      <c r="C36" s="73" t="s">
        <v>189</v>
      </c>
      <c r="D36" s="76"/>
      <c r="E36" s="76"/>
      <c r="F36" s="75">
        <f>EGRESOS!G37</f>
        <v>5000</v>
      </c>
      <c r="G36" s="76">
        <f t="shared" si="0"/>
        <v>5000</v>
      </c>
      <c r="H36" s="30"/>
      <c r="I36" s="30"/>
      <c r="J36" s="30"/>
      <c r="K36" s="30"/>
      <c r="L36" s="30"/>
      <c r="M36" s="2"/>
    </row>
    <row r="37" spans="1:13" ht="15" customHeight="1" x14ac:dyDescent="0.2">
      <c r="A37" s="1">
        <v>2</v>
      </c>
      <c r="B37" s="61">
        <v>54399</v>
      </c>
      <c r="C37" s="62" t="s">
        <v>153</v>
      </c>
      <c r="D37" s="76"/>
      <c r="E37" s="76"/>
      <c r="F37" s="75">
        <f>EGRESOS!G38</f>
        <v>25000</v>
      </c>
      <c r="G37" s="76">
        <f t="shared" si="0"/>
        <v>25000</v>
      </c>
      <c r="H37" s="30"/>
      <c r="I37" s="30"/>
      <c r="J37" s="30"/>
      <c r="K37" s="30"/>
      <c r="L37" s="30"/>
      <c r="M37" s="2"/>
    </row>
    <row r="38" spans="1:13" ht="15" customHeight="1" x14ac:dyDescent="0.2">
      <c r="A38" s="1">
        <v>2</v>
      </c>
      <c r="B38" s="61">
        <v>54402</v>
      </c>
      <c r="C38" s="62" t="s">
        <v>184</v>
      </c>
      <c r="D38" s="74"/>
      <c r="E38" s="74"/>
      <c r="F38" s="75">
        <f>EGRESOS!G39</f>
        <v>10000</v>
      </c>
      <c r="G38" s="76">
        <f t="shared" si="0"/>
        <v>10000</v>
      </c>
      <c r="H38" s="30"/>
      <c r="I38" s="30"/>
      <c r="J38" s="30"/>
      <c r="K38" s="30"/>
      <c r="L38" s="30"/>
      <c r="M38" s="2"/>
    </row>
    <row r="39" spans="1:13" ht="15" customHeight="1" x14ac:dyDescent="0.2">
      <c r="A39" s="1">
        <v>2</v>
      </c>
      <c r="B39" s="61">
        <v>54403</v>
      </c>
      <c r="C39" s="62" t="s">
        <v>455</v>
      </c>
      <c r="D39" s="74"/>
      <c r="E39" s="74"/>
      <c r="F39" s="75">
        <f>EGRESOS!G40</f>
        <v>2000</v>
      </c>
      <c r="G39" s="76">
        <f t="shared" si="0"/>
        <v>2000</v>
      </c>
      <c r="H39" s="30"/>
      <c r="I39" s="30"/>
      <c r="J39" s="30"/>
      <c r="K39" s="30"/>
      <c r="L39" s="30"/>
      <c r="M39" s="2"/>
    </row>
    <row r="40" spans="1:13" ht="15" customHeight="1" x14ac:dyDescent="0.2">
      <c r="A40" s="1">
        <v>2</v>
      </c>
      <c r="B40" s="61">
        <v>54404</v>
      </c>
      <c r="C40" s="73" t="s">
        <v>133</v>
      </c>
      <c r="D40" s="74"/>
      <c r="E40" s="74"/>
      <c r="F40" s="75">
        <f>EGRESOS!G41</f>
        <v>12000</v>
      </c>
      <c r="G40" s="76">
        <f t="shared" si="0"/>
        <v>12000</v>
      </c>
      <c r="H40" s="30"/>
      <c r="I40" s="30"/>
      <c r="J40" s="30"/>
      <c r="K40" s="30"/>
      <c r="L40" s="30"/>
      <c r="M40" s="2"/>
    </row>
    <row r="41" spans="1:13" ht="15" customHeight="1" x14ac:dyDescent="0.2">
      <c r="A41" s="1">
        <v>2</v>
      </c>
      <c r="B41" s="61">
        <v>54503</v>
      </c>
      <c r="C41" s="73" t="s">
        <v>53</v>
      </c>
      <c r="D41" s="74"/>
      <c r="E41" s="74"/>
      <c r="F41" s="75">
        <f>EGRESOS!G42</f>
        <v>6000</v>
      </c>
      <c r="G41" s="76">
        <f t="shared" si="0"/>
        <v>6000</v>
      </c>
      <c r="H41" s="30"/>
      <c r="I41" s="30"/>
      <c r="J41" s="30"/>
      <c r="K41" s="30"/>
      <c r="L41" s="30"/>
      <c r="M41" s="2"/>
    </row>
    <row r="42" spans="1:13" ht="15" customHeight="1" x14ac:dyDescent="0.2">
      <c r="A42" s="1">
        <v>2</v>
      </c>
      <c r="B42" s="61">
        <v>54504</v>
      </c>
      <c r="C42" s="79" t="s">
        <v>457</v>
      </c>
      <c r="D42" s="74"/>
      <c r="E42" s="74"/>
      <c r="F42" s="75">
        <f>EGRESOS!G43</f>
        <v>10000</v>
      </c>
      <c r="G42" s="76">
        <f t="shared" si="0"/>
        <v>10000</v>
      </c>
      <c r="H42" s="30"/>
      <c r="I42" s="30"/>
      <c r="J42" s="30"/>
      <c r="K42" s="30"/>
      <c r="L42" s="30"/>
      <c r="M42" s="2"/>
    </row>
    <row r="43" spans="1:13" ht="15" customHeight="1" x14ac:dyDescent="0.2">
      <c r="A43" s="1">
        <v>2</v>
      </c>
      <c r="B43" s="61">
        <v>54599</v>
      </c>
      <c r="C43" s="62" t="s">
        <v>527</v>
      </c>
      <c r="D43" s="74"/>
      <c r="E43" s="74"/>
      <c r="F43" s="75">
        <f>EGRESOS!G44</f>
        <v>5000</v>
      </c>
      <c r="G43" s="76">
        <f t="shared" si="0"/>
        <v>5000</v>
      </c>
      <c r="H43" s="30"/>
      <c r="I43" s="30"/>
      <c r="J43" s="30"/>
      <c r="K43" s="30"/>
      <c r="L43" s="30"/>
      <c r="M43" s="2"/>
    </row>
    <row r="44" spans="1:13" ht="15" customHeight="1" x14ac:dyDescent="0.2">
      <c r="A44" s="1">
        <v>2</v>
      </c>
      <c r="B44" s="61">
        <v>55508</v>
      </c>
      <c r="C44" s="73" t="s">
        <v>215</v>
      </c>
      <c r="D44" s="74"/>
      <c r="E44" s="74"/>
      <c r="F44" s="75">
        <f>EGRESOS!G45</f>
        <v>25000</v>
      </c>
      <c r="G44" s="76">
        <f t="shared" si="0"/>
        <v>25000</v>
      </c>
      <c r="H44" s="30"/>
      <c r="I44" s="30"/>
      <c r="J44" s="30"/>
      <c r="K44" s="30"/>
      <c r="L44" s="30"/>
      <c r="M44" s="2"/>
    </row>
    <row r="45" spans="1:13" ht="15" customHeight="1" x14ac:dyDescent="0.2">
      <c r="A45" s="1">
        <v>2</v>
      </c>
      <c r="B45" s="61">
        <v>55702</v>
      </c>
      <c r="C45" s="62" t="s">
        <v>348</v>
      </c>
      <c r="D45" s="80"/>
      <c r="E45" s="80"/>
      <c r="F45" s="75">
        <f>EGRESOS!G46</f>
        <v>15000</v>
      </c>
      <c r="G45" s="76">
        <f t="shared" si="0"/>
        <v>15000</v>
      </c>
      <c r="H45" s="30"/>
      <c r="I45" s="30"/>
      <c r="J45" s="30"/>
      <c r="K45" s="30"/>
      <c r="L45" s="30"/>
      <c r="M45" s="2"/>
    </row>
    <row r="46" spans="1:13" ht="15" customHeight="1" x14ac:dyDescent="0.2">
      <c r="A46" s="1">
        <v>2</v>
      </c>
      <c r="B46" s="61">
        <v>55703</v>
      </c>
      <c r="C46" s="62" t="s">
        <v>456</v>
      </c>
      <c r="D46" s="80"/>
      <c r="E46" s="80"/>
      <c r="F46" s="75">
        <f>EGRESOS!G47</f>
        <v>40000</v>
      </c>
      <c r="G46" s="76">
        <f t="shared" si="0"/>
        <v>40000</v>
      </c>
      <c r="H46" s="30"/>
      <c r="I46" s="30"/>
      <c r="J46" s="30"/>
      <c r="K46" s="30"/>
      <c r="L46" s="30"/>
      <c r="M46" s="2"/>
    </row>
    <row r="47" spans="1:13" ht="15" customHeight="1" x14ac:dyDescent="0.2">
      <c r="A47" s="1">
        <v>2</v>
      </c>
      <c r="B47" s="61">
        <v>56303</v>
      </c>
      <c r="C47" s="62" t="s">
        <v>391</v>
      </c>
      <c r="D47" s="80"/>
      <c r="E47" s="80"/>
      <c r="F47" s="75">
        <f>EGRESOS!G48</f>
        <v>20000</v>
      </c>
      <c r="G47" s="76">
        <f t="shared" si="0"/>
        <v>20000</v>
      </c>
      <c r="H47" s="30"/>
      <c r="I47" s="30"/>
      <c r="J47" s="30"/>
      <c r="K47" s="30"/>
      <c r="L47" s="30"/>
      <c r="M47" s="2"/>
    </row>
    <row r="48" spans="1:13" ht="15" customHeight="1" x14ac:dyDescent="0.2">
      <c r="A48" s="1">
        <v>2</v>
      </c>
      <c r="B48" s="61">
        <v>56304</v>
      </c>
      <c r="C48" s="62" t="s">
        <v>392</v>
      </c>
      <c r="D48" s="80"/>
      <c r="E48" s="80"/>
      <c r="F48" s="75">
        <f>EGRESOS!G49</f>
        <v>10000</v>
      </c>
      <c r="G48" s="76">
        <f t="shared" si="0"/>
        <v>10000</v>
      </c>
      <c r="H48" s="30"/>
      <c r="I48" s="30"/>
      <c r="J48" s="30"/>
      <c r="K48" s="30"/>
      <c r="L48" s="30"/>
      <c r="M48" s="2"/>
    </row>
    <row r="49" spans="1:15" ht="15" customHeight="1" x14ac:dyDescent="0.2">
      <c r="A49" s="1">
        <v>2</v>
      </c>
      <c r="B49" s="61">
        <v>61101</v>
      </c>
      <c r="C49" s="62" t="s">
        <v>144</v>
      </c>
      <c r="D49" s="80"/>
      <c r="E49" s="76"/>
      <c r="F49" s="75">
        <f>EGRESOS!G50</f>
        <v>2000</v>
      </c>
      <c r="G49" s="76">
        <f t="shared" si="0"/>
        <v>2000</v>
      </c>
      <c r="H49" s="30"/>
      <c r="I49" s="30"/>
      <c r="J49" s="30"/>
      <c r="K49" s="30"/>
      <c r="L49" s="30"/>
      <c r="M49" s="2"/>
    </row>
    <row r="50" spans="1:15" ht="15" customHeight="1" x14ac:dyDescent="0.2">
      <c r="A50" s="1">
        <v>2</v>
      </c>
      <c r="B50" s="61">
        <v>61102</v>
      </c>
      <c r="C50" s="62" t="s">
        <v>28</v>
      </c>
      <c r="D50" s="80"/>
      <c r="E50" s="76"/>
      <c r="F50" s="75">
        <f>EGRESOS!G51</f>
        <v>600</v>
      </c>
      <c r="G50" s="76">
        <f t="shared" si="0"/>
        <v>600</v>
      </c>
      <c r="H50" s="30"/>
      <c r="I50" s="30"/>
      <c r="J50" s="30"/>
      <c r="K50" s="30"/>
      <c r="L50" s="30"/>
      <c r="M50" s="2"/>
    </row>
    <row r="51" spans="1:15" ht="15" customHeight="1" x14ac:dyDescent="0.2">
      <c r="A51" s="1">
        <v>2</v>
      </c>
      <c r="B51" s="61">
        <v>61104</v>
      </c>
      <c r="C51" s="62" t="s">
        <v>504</v>
      </c>
      <c r="D51" s="80"/>
      <c r="E51" s="76"/>
      <c r="F51" s="75">
        <f>EGRESOS!G52</f>
        <v>1000</v>
      </c>
      <c r="G51" s="76">
        <f t="shared" si="0"/>
        <v>1000</v>
      </c>
      <c r="H51" s="30"/>
      <c r="I51" s="30"/>
      <c r="J51" s="30"/>
      <c r="K51" s="30"/>
      <c r="L51" s="30"/>
      <c r="M51" s="2"/>
    </row>
    <row r="52" spans="1:15" ht="15" customHeight="1" x14ac:dyDescent="0.2">
      <c r="A52" s="1" t="s">
        <v>387</v>
      </c>
      <c r="B52" s="81"/>
      <c r="C52" s="81" t="s">
        <v>14</v>
      </c>
      <c r="D52" s="77">
        <f>SUM(D8:D51)</f>
        <v>0</v>
      </c>
      <c r="E52" s="82">
        <f>SUM(E8:E45)</f>
        <v>0</v>
      </c>
      <c r="F52" s="82">
        <f>SUM(F8:F51)</f>
        <v>905500.19</v>
      </c>
      <c r="G52" s="83">
        <f t="shared" ref="G52" si="1">D52+E52+F52</f>
        <v>905500.19</v>
      </c>
      <c r="H52" s="82">
        <f>SUM(H8:H45)</f>
        <v>3087.89</v>
      </c>
      <c r="I52" s="82">
        <f>SUM(I8:I45)</f>
        <v>1207.6500000000001</v>
      </c>
      <c r="J52" s="82">
        <f>SUM(J8:J45)</f>
        <v>3235.8</v>
      </c>
      <c r="K52" s="82">
        <f>SUM(K8:K45)</f>
        <v>350</v>
      </c>
      <c r="L52" s="82">
        <f>SUM(L8:L45)</f>
        <v>420</v>
      </c>
      <c r="M52" s="84">
        <f>+EGRESOS!H53</f>
        <v>905500.19</v>
      </c>
      <c r="N52" s="2">
        <f>+G52-M52</f>
        <v>0</v>
      </c>
      <c r="O52" s="2"/>
    </row>
    <row r="53" spans="1:15" ht="15" customHeight="1" x14ac:dyDescent="0.2">
      <c r="A53" s="1" t="s">
        <v>387</v>
      </c>
      <c r="B53" s="7"/>
      <c r="D53" s="85"/>
      <c r="E53" s="85"/>
      <c r="F53" s="85"/>
      <c r="G53" s="86"/>
    </row>
    <row r="54" spans="1:15" ht="15" customHeight="1" x14ac:dyDescent="0.2">
      <c r="A54" s="1" t="s">
        <v>387</v>
      </c>
      <c r="B54" s="7"/>
      <c r="D54" s="85"/>
      <c r="E54" s="85"/>
      <c r="F54" s="85"/>
      <c r="G54" s="86"/>
    </row>
    <row r="55" spans="1:15" ht="15" customHeight="1" x14ac:dyDescent="0.2">
      <c r="A55" s="1" t="s">
        <v>387</v>
      </c>
      <c r="B55" s="404" t="s">
        <v>119</v>
      </c>
      <c r="C55" s="404"/>
      <c r="D55" s="404"/>
      <c r="E55" s="404"/>
      <c r="F55" s="404"/>
      <c r="G55" s="404"/>
    </row>
    <row r="56" spans="1:15" ht="15" customHeight="1" x14ac:dyDescent="0.2">
      <c r="A56" s="1" t="s">
        <v>387</v>
      </c>
      <c r="B56" s="414" t="str">
        <f>+B3</f>
        <v>PRESUPUESTO AÑO 2024</v>
      </c>
      <c r="C56" s="414"/>
      <c r="D56" s="414"/>
      <c r="E56" s="414"/>
      <c r="F56" s="414"/>
      <c r="G56" s="414"/>
    </row>
    <row r="57" spans="1:15" ht="15" customHeight="1" x14ac:dyDescent="0.2">
      <c r="A57" s="1" t="s">
        <v>387</v>
      </c>
      <c r="B57" s="414" t="str">
        <f>B2</f>
        <v>PRESUPUESTO EXTRA CONTABLE</v>
      </c>
      <c r="C57" s="414"/>
      <c r="D57" s="414"/>
      <c r="E57" s="414"/>
      <c r="F57" s="414"/>
      <c r="G57" s="414"/>
    </row>
    <row r="58" spans="1:15" ht="15" customHeight="1" x14ac:dyDescent="0.2">
      <c r="A58" s="1" t="s">
        <v>387</v>
      </c>
      <c r="B58" s="404" t="s">
        <v>117</v>
      </c>
      <c r="C58" s="404"/>
      <c r="D58" s="404"/>
      <c r="E58" s="404"/>
      <c r="F58" s="404"/>
      <c r="G58" s="404"/>
    </row>
    <row r="59" spans="1:15" ht="15" customHeight="1" x14ac:dyDescent="0.2">
      <c r="A59" s="1" t="s">
        <v>387</v>
      </c>
      <c r="B59" s="404" t="s">
        <v>498</v>
      </c>
      <c r="C59" s="404"/>
      <c r="D59" s="404"/>
      <c r="E59" s="404"/>
      <c r="F59" s="404"/>
      <c r="G59" s="404"/>
    </row>
    <row r="60" spans="1:15" ht="15" customHeight="1" x14ac:dyDescent="0.2">
      <c r="A60" s="1" t="s">
        <v>387</v>
      </c>
      <c r="B60" s="412" t="s">
        <v>1</v>
      </c>
      <c r="C60" s="87"/>
      <c r="D60" s="71" t="s">
        <v>56</v>
      </c>
      <c r="E60" s="71" t="str">
        <f>E6</f>
        <v>REFORMA</v>
      </c>
      <c r="F60" s="71" t="s">
        <v>56</v>
      </c>
      <c r="G60" s="88" t="str">
        <f>$G$6</f>
        <v>TOTAL 2024</v>
      </c>
      <c r="H60" s="72" t="s">
        <v>285</v>
      </c>
      <c r="I60" s="72"/>
      <c r="J60" s="72"/>
      <c r="K60" s="72"/>
      <c r="L60" s="72"/>
    </row>
    <row r="61" spans="1:15" ht="15" customHeight="1" x14ac:dyDescent="0.2">
      <c r="A61" s="1" t="s">
        <v>387</v>
      </c>
      <c r="B61" s="413"/>
      <c r="C61" s="72" t="s">
        <v>0</v>
      </c>
      <c r="D61" s="71" t="s">
        <v>139</v>
      </c>
      <c r="E61" s="71"/>
      <c r="F61" s="71" t="s">
        <v>140</v>
      </c>
      <c r="G61" s="71"/>
      <c r="H61" s="72" t="s">
        <v>286</v>
      </c>
      <c r="I61" s="72" t="s">
        <v>290</v>
      </c>
      <c r="J61" s="72" t="s">
        <v>291</v>
      </c>
      <c r="K61" s="72" t="s">
        <v>293</v>
      </c>
      <c r="L61" s="72" t="s">
        <v>292</v>
      </c>
    </row>
    <row r="62" spans="1:15" ht="15" customHeight="1" x14ac:dyDescent="0.2">
      <c r="A62" s="1">
        <v>4</v>
      </c>
      <c r="B62" s="89">
        <f>EGRESOS!C63</f>
        <v>51101</v>
      </c>
      <c r="C62" s="90" t="str">
        <f>EGRESOS!D63</f>
        <v>SUELDOS</v>
      </c>
      <c r="D62" s="91">
        <f>EGRESOS!E63+EGRESOS!E115+EGRESOS!E152+EGRESOS!E195+EGRESOS!E230+EGRESOS!E270</f>
        <v>0</v>
      </c>
      <c r="E62" s="91">
        <f>EGRESOS!F63+EGRESOS!F115+EGRESOS!F152+EGRESOS!F195+EGRESOS!F230+EGRESOS!F270</f>
        <v>0</v>
      </c>
      <c r="F62" s="91">
        <f>EGRESOS!G63+EGRESOS!G115+EGRESOS!G152+EGRESOS!G195+EGRESOS!G230+EGRESOS!G270</f>
        <v>137760</v>
      </c>
      <c r="G62" s="91">
        <f>EGRESOS!H63+EGRESOS!H115+EGRESOS!H152+EGRESOS!H195+EGRESOS!H230+EGRESOS!H270</f>
        <v>137760</v>
      </c>
      <c r="H62" s="30"/>
      <c r="I62" s="30"/>
      <c r="J62" s="30"/>
      <c r="K62" s="30"/>
      <c r="L62" s="30"/>
      <c r="N62" s="2"/>
      <c r="O62" s="2"/>
    </row>
    <row r="63" spans="1:15" ht="15" customHeight="1" x14ac:dyDescent="0.2">
      <c r="A63" s="1">
        <v>4</v>
      </c>
      <c r="B63" s="89">
        <f>EGRESOS!C64</f>
        <v>51103</v>
      </c>
      <c r="C63" s="90" t="str">
        <f>EGRESOS!D64</f>
        <v>AGUINALDO</v>
      </c>
      <c r="D63" s="91">
        <f>EGRESOS!E64+EGRESOS!E116+EGRESOS!E153+EGRESOS!E196+EGRESOS!E231+EGRESOS!E271</f>
        <v>0</v>
      </c>
      <c r="E63" s="91">
        <f>EGRESOS!F64+EGRESOS!F116+EGRESOS!F153+EGRESOS!F196+EGRESOS!F231+EGRESOS!F271</f>
        <v>0</v>
      </c>
      <c r="F63" s="91">
        <f>EGRESOS!G64+EGRESOS!G116+EGRESOS!G153+EGRESOS!G196+EGRESOS!G231+EGRESOS!G271</f>
        <v>11480</v>
      </c>
      <c r="G63" s="91">
        <f>EGRESOS!H64+EGRESOS!H116+EGRESOS!H153+EGRESOS!H196+EGRESOS!H231+EGRESOS!H271</f>
        <v>11480</v>
      </c>
      <c r="H63" s="30"/>
      <c r="I63" s="30"/>
      <c r="J63" s="30"/>
      <c r="K63" s="30"/>
      <c r="L63" s="30"/>
      <c r="N63" s="2"/>
      <c r="O63" s="2"/>
    </row>
    <row r="64" spans="1:15" ht="15" customHeight="1" x14ac:dyDescent="0.2">
      <c r="A64" s="1">
        <v>4</v>
      </c>
      <c r="B64" s="89">
        <f>EGRESOS!C65</f>
        <v>51107</v>
      </c>
      <c r="C64" s="90" t="str">
        <f>EGRESOS!D65</f>
        <v>BENEFICIOS ADICIONALES</v>
      </c>
      <c r="D64" s="91">
        <f>EGRESOS!E65+EGRESOS!E117+EGRESOS!E154+EGRESOS!E197+EGRESOS!E232+EGRESOS!E272</f>
        <v>0</v>
      </c>
      <c r="E64" s="91">
        <f>EGRESOS!F65+EGRESOS!F117+EGRESOS!F154+EGRESOS!F197+EGRESOS!F232+EGRESOS!F272</f>
        <v>0</v>
      </c>
      <c r="F64" s="91">
        <f>EGRESOS!G65+EGRESOS!G117+EGRESOS!G154+EGRESOS!G197+EGRESOS!G232+EGRESOS!G272</f>
        <v>3400</v>
      </c>
      <c r="G64" s="91">
        <f>EGRESOS!H65+EGRESOS!H117+EGRESOS!H154+EGRESOS!H197+EGRESOS!H232+EGRESOS!H272</f>
        <v>3400</v>
      </c>
      <c r="H64" s="30"/>
      <c r="I64" s="30"/>
      <c r="J64" s="30"/>
      <c r="K64" s="30"/>
      <c r="L64" s="30"/>
      <c r="N64" s="2"/>
      <c r="O64" s="2"/>
    </row>
    <row r="65" spans="1:15" ht="15" customHeight="1" x14ac:dyDescent="0.2">
      <c r="A65" s="1">
        <v>4</v>
      </c>
      <c r="B65" s="89">
        <f>EGRESOS!C66</f>
        <v>51401</v>
      </c>
      <c r="C65" s="90" t="str">
        <f>EGRESOS!D66</f>
        <v>POR REMUN. PERM. (INPEP,  ISSS, INSAFORP)</v>
      </c>
      <c r="D65" s="91">
        <f>EGRESOS!E66+EGRESOS!E118+EGRESOS!E155+EGRESOS!E198+EGRESOS!E233+EGRESOS!E273</f>
        <v>0</v>
      </c>
      <c r="E65" s="91">
        <f>EGRESOS!F66+EGRESOS!F118+EGRESOS!F155+EGRESOS!F198+EGRESOS!F233+EGRESOS!F273</f>
        <v>0</v>
      </c>
      <c r="F65" s="91">
        <f>EGRESOS!G66+EGRESOS!G118+EGRESOS!G155+EGRESOS!G198+EGRESOS!G233+EGRESOS!G273</f>
        <v>12725.1</v>
      </c>
      <c r="G65" s="91">
        <f>EGRESOS!H66+EGRESOS!H118+EGRESOS!H155+EGRESOS!H198+EGRESOS!H233+EGRESOS!H273</f>
        <v>12725.1</v>
      </c>
      <c r="H65" s="30"/>
      <c r="I65" s="30"/>
      <c r="J65" s="30"/>
      <c r="K65" s="30"/>
      <c r="L65" s="30"/>
      <c r="N65" s="2"/>
      <c r="O65" s="2"/>
    </row>
    <row r="66" spans="1:15" ht="15" customHeight="1" x14ac:dyDescent="0.2">
      <c r="A66" s="1">
        <v>4</v>
      </c>
      <c r="B66" s="89">
        <f>EGRESOS!C67</f>
        <v>51501</v>
      </c>
      <c r="C66" s="90" t="str">
        <f>EGRESOS!D67</f>
        <v>POR REMUNERACIONES PERMANENTES (AFP)</v>
      </c>
      <c r="D66" s="91">
        <f>EGRESOS!E67+EGRESOS!E119+EGRESOS!E156+EGRESOS!E199+EGRESOS!E234+EGRESOS!E274</f>
        <v>0</v>
      </c>
      <c r="E66" s="91">
        <f>EGRESOS!F67+EGRESOS!F119+EGRESOS!F156+EGRESOS!F199+EGRESOS!F234+EGRESOS!F274</f>
        <v>0</v>
      </c>
      <c r="F66" s="91">
        <f>EGRESOS!G67+EGRESOS!G119+EGRESOS!G156+EGRESOS!G199+EGRESOS!G234+EGRESOS!G274</f>
        <v>12773.25</v>
      </c>
      <c r="G66" s="91">
        <f>EGRESOS!H67+EGRESOS!H119+EGRESOS!H156+EGRESOS!H199+EGRESOS!H234+EGRESOS!H274</f>
        <v>12773.25</v>
      </c>
      <c r="H66" s="30"/>
      <c r="I66" s="30"/>
      <c r="J66" s="30"/>
      <c r="K66" s="30"/>
      <c r="L66" s="30"/>
      <c r="N66" s="2"/>
      <c r="O66" s="2"/>
    </row>
    <row r="67" spans="1:15" ht="15" customHeight="1" x14ac:dyDescent="0.2">
      <c r="A67" s="1">
        <v>4</v>
      </c>
      <c r="B67" s="89">
        <f>EGRESOS!C68</f>
        <v>51601</v>
      </c>
      <c r="C67" s="90" t="str">
        <f>EGRESOS!D68</f>
        <v>GASTOS DE REPRESENTACION</v>
      </c>
      <c r="D67" s="91">
        <f>+EGRESOS!E68</f>
        <v>0</v>
      </c>
      <c r="E67" s="91">
        <f>+EGRESOS!F68</f>
        <v>0</v>
      </c>
      <c r="F67" s="91">
        <f>+EGRESOS!G68</f>
        <v>30000</v>
      </c>
      <c r="G67" s="91">
        <f>+EGRESOS!H68</f>
        <v>30000</v>
      </c>
      <c r="H67" s="30"/>
      <c r="I67" s="30"/>
      <c r="J67" s="30"/>
      <c r="K67" s="30"/>
      <c r="L67" s="30"/>
      <c r="N67" s="2"/>
      <c r="O67" s="2"/>
    </row>
    <row r="68" spans="1:15" ht="15" customHeight="1" x14ac:dyDescent="0.2">
      <c r="A68" s="1">
        <v>4</v>
      </c>
      <c r="B68" s="89">
        <f>EGRESOS!C69</f>
        <v>51901</v>
      </c>
      <c r="C68" s="90" t="str">
        <f>EGRESOS!D69</f>
        <v>HONORARIOS PROFESIONALES</v>
      </c>
      <c r="D68" s="91">
        <f>+EGRESOS!E69+EGRESOS!E275</f>
        <v>0</v>
      </c>
      <c r="E68" s="91">
        <f>+EGRESOS!F69+EGRESOS!F275</f>
        <v>0</v>
      </c>
      <c r="F68" s="91">
        <f>+EGRESOS!G69+EGRESOS!G275</f>
        <v>25200</v>
      </c>
      <c r="G68" s="91">
        <f>+EGRESOS!H69+EGRESOS!H275</f>
        <v>25200</v>
      </c>
      <c r="H68" s="30"/>
      <c r="I68" s="30"/>
      <c r="J68" s="30"/>
      <c r="K68" s="30"/>
      <c r="L68" s="30"/>
      <c r="N68" s="2"/>
      <c r="O68" s="2"/>
    </row>
    <row r="69" spans="1:15" ht="15" customHeight="1" x14ac:dyDescent="0.2">
      <c r="A69" s="1">
        <v>4</v>
      </c>
      <c r="B69" s="89">
        <f>EGRESOS!C70</f>
        <v>54101</v>
      </c>
      <c r="C69" s="90" t="str">
        <f>EGRESOS!D70</f>
        <v>PRODUCTOS ALIMENTICIOS PARA PERSONAS</v>
      </c>
      <c r="D69" s="91">
        <f>EGRESOS!E70+EGRESOS!E120+EGRESOS!E157+EGRESOS!E200+EGRESOS!E235</f>
        <v>0</v>
      </c>
      <c r="E69" s="91">
        <f>EGRESOS!F70+EGRESOS!F120+EGRESOS!F157+EGRESOS!F200+EGRESOS!F235</f>
        <v>0</v>
      </c>
      <c r="F69" s="91">
        <f>+EGRESOS!G70+EGRESOS!G120+EGRESOS!G157+EGRESOS!G200+EGRESOS!G235</f>
        <v>6400</v>
      </c>
      <c r="G69" s="91">
        <f>EGRESOS!H70+EGRESOS!H120+EGRESOS!H157+EGRESOS!H200+EGRESOS!H235</f>
        <v>6400</v>
      </c>
      <c r="H69" s="30"/>
      <c r="I69" s="30"/>
      <c r="J69" s="30"/>
      <c r="K69" s="30"/>
      <c r="L69" s="30"/>
      <c r="N69" s="2"/>
      <c r="O69" s="2"/>
    </row>
    <row r="70" spans="1:15" ht="15" customHeight="1" x14ac:dyDescent="0.2">
      <c r="A70" s="1">
        <v>4</v>
      </c>
      <c r="B70" s="89">
        <f>EGRESOS!C71</f>
        <v>54102</v>
      </c>
      <c r="C70" s="90" t="str">
        <f>EGRESOS!D71</f>
        <v>PRODUCTOS ALIMENTICIOS PARA ANIMALES</v>
      </c>
      <c r="D70" s="91">
        <f>+EGRESOS!E71+EGRESOS!E276</f>
        <v>0</v>
      </c>
      <c r="E70" s="91">
        <f>+EGRESOS!F71+EGRESOS!F276</f>
        <v>0</v>
      </c>
      <c r="F70" s="91">
        <f>+EGRESOS!G71+EGRESOS!G276</f>
        <v>3800</v>
      </c>
      <c r="G70" s="91">
        <f>+EGRESOS!H71+EGRESOS!H276</f>
        <v>3800</v>
      </c>
      <c r="H70" s="30"/>
      <c r="I70" s="30"/>
      <c r="J70" s="30"/>
      <c r="K70" s="30"/>
      <c r="L70" s="30"/>
      <c r="N70" s="2"/>
      <c r="O70" s="2"/>
    </row>
    <row r="71" spans="1:15" ht="15" customHeight="1" x14ac:dyDescent="0.2">
      <c r="A71" s="1">
        <v>4</v>
      </c>
      <c r="B71" s="89">
        <v>54103</v>
      </c>
      <c r="C71" s="62" t="s">
        <v>630</v>
      </c>
      <c r="D71" s="91">
        <f>EGRESOS!E236</f>
        <v>0</v>
      </c>
      <c r="E71" s="91">
        <f>EGRESOS!F236</f>
        <v>0</v>
      </c>
      <c r="F71" s="91">
        <f>+EGRESOS!G236</f>
        <v>100</v>
      </c>
      <c r="G71" s="91">
        <f>EGRESOS!H236</f>
        <v>100</v>
      </c>
      <c r="H71" s="30"/>
      <c r="I71" s="30"/>
      <c r="J71" s="30"/>
      <c r="K71" s="30"/>
      <c r="L71" s="30"/>
      <c r="N71" s="2"/>
      <c r="O71" s="2"/>
    </row>
    <row r="72" spans="1:15" ht="15" customHeight="1" x14ac:dyDescent="0.2">
      <c r="A72" s="1">
        <v>4</v>
      </c>
      <c r="B72" s="92">
        <f>EGRESOS!C72</f>
        <v>54104</v>
      </c>
      <c r="C72" s="90" t="str">
        <f>EGRESOS!D72</f>
        <v>PRODUCTOS TEXTILES Y VESTUARIOS</v>
      </c>
      <c r="D72" s="91">
        <f>EGRESOS!E72+EGRESOS!E121+EGRESOS!E158+EGRESOS!E201+EGRESOS!E237</f>
        <v>0</v>
      </c>
      <c r="E72" s="91">
        <f>EGRESOS!F72+EGRESOS!F121+EGRESOS!F158+EGRESOS!F201+EGRESOS!F237</f>
        <v>0</v>
      </c>
      <c r="F72" s="91">
        <f>+EGRESOS!G72+EGRESOS!G121+EGRESOS!G158+EGRESOS!G201+EGRESOS!G237</f>
        <v>1450</v>
      </c>
      <c r="G72" s="91">
        <f>EGRESOS!H72+EGRESOS!H121+EGRESOS!H158+EGRESOS!H201+EGRESOS!H237</f>
        <v>1450</v>
      </c>
      <c r="H72" s="30"/>
      <c r="I72" s="30"/>
      <c r="J72" s="30"/>
      <c r="K72" s="30"/>
      <c r="L72" s="30"/>
      <c r="N72" s="2"/>
      <c r="O72" s="2"/>
    </row>
    <row r="73" spans="1:15" ht="15" customHeight="1" x14ac:dyDescent="0.2">
      <c r="B73" s="92">
        <v>54105</v>
      </c>
      <c r="C73" s="90" t="s">
        <v>3</v>
      </c>
      <c r="D73" s="91">
        <v>0</v>
      </c>
      <c r="E73" s="91"/>
      <c r="F73" s="360">
        <f>+EGRESOS!G238+EGRESOS!G202+EGRESOS!G159+EGRESOS!G122+EGRESOS!G73</f>
        <v>5150</v>
      </c>
      <c r="G73" s="360">
        <f>+EGRESOS!H238+EGRESOS!H202+EGRESOS!H159+EGRESOS!H122+EGRESOS!H73</f>
        <v>5150</v>
      </c>
      <c r="H73" s="30"/>
      <c r="I73" s="30"/>
      <c r="J73" s="30"/>
      <c r="K73" s="30"/>
      <c r="L73" s="30"/>
      <c r="N73" s="2"/>
      <c r="O73" s="2"/>
    </row>
    <row r="74" spans="1:15" ht="15" customHeight="1" x14ac:dyDescent="0.2">
      <c r="A74" s="1">
        <v>4</v>
      </c>
      <c r="B74" s="89">
        <v>54106</v>
      </c>
      <c r="C74" s="90" t="s">
        <v>18</v>
      </c>
      <c r="D74" s="91">
        <f>EGRESOS!E160+EGRESOS!E203</f>
        <v>0</v>
      </c>
      <c r="E74" s="91">
        <f>EGRESOS!F160+EGRESOS!F203</f>
        <v>0</v>
      </c>
      <c r="F74" s="91">
        <f>+EGRESOS!G160+EGRESOS!G203</f>
        <v>400</v>
      </c>
      <c r="G74" s="91">
        <f>EGRESOS!H160+EGRESOS!H203</f>
        <v>400</v>
      </c>
      <c r="H74" s="30"/>
      <c r="I74" s="30"/>
      <c r="J74" s="30"/>
      <c r="K74" s="30"/>
      <c r="L74" s="30"/>
      <c r="N74" s="2"/>
      <c r="O74" s="2"/>
    </row>
    <row r="75" spans="1:15" ht="15" customHeight="1" x14ac:dyDescent="0.2">
      <c r="A75" s="1">
        <v>4</v>
      </c>
      <c r="B75" s="89">
        <f>EGRESOS!C74</f>
        <v>54107</v>
      </c>
      <c r="C75" s="90" t="str">
        <f>EGRESOS!D74</f>
        <v>PRODUCTOS QUÍMICOS</v>
      </c>
      <c r="D75" s="91">
        <f>EGRESOS!E74+EGRESOS!E123+EGRESOS!E161+EGRESOS!E204+EGRESOS!E239</f>
        <v>0</v>
      </c>
      <c r="E75" s="91">
        <f>EGRESOS!F74+EGRESOS!F123+EGRESOS!F161+EGRESOS!F204+EGRESOS!F239</f>
        <v>0</v>
      </c>
      <c r="F75" s="91">
        <f>+EGRESOS!G239+EGRESOS!G204+EGRESOS!G161+EGRESOS!G123+EGRESOS!G74</f>
        <v>2500</v>
      </c>
      <c r="G75" s="91">
        <f>EGRESOS!H74+EGRESOS!H123+EGRESOS!H161+EGRESOS!H204+EGRESOS!H239</f>
        <v>2500</v>
      </c>
      <c r="H75" s="30"/>
      <c r="I75" s="30"/>
      <c r="J75" s="30"/>
      <c r="K75" s="30"/>
      <c r="L75" s="30"/>
      <c r="N75" s="2"/>
      <c r="O75" s="2"/>
    </row>
    <row r="76" spans="1:15" ht="15" customHeight="1" x14ac:dyDescent="0.2">
      <c r="A76" s="1">
        <v>4</v>
      </c>
      <c r="B76" s="89">
        <v>54108</v>
      </c>
      <c r="C76" s="90" t="s">
        <v>169</v>
      </c>
      <c r="D76" s="91">
        <f>EGRESOS!E75</f>
        <v>0</v>
      </c>
      <c r="E76" s="91">
        <f>EGRESOS!F75</f>
        <v>0</v>
      </c>
      <c r="F76" s="91">
        <f>+EGRESOS!G75</f>
        <v>300</v>
      </c>
      <c r="G76" s="91">
        <f>EGRESOS!H75</f>
        <v>300</v>
      </c>
      <c r="H76" s="91">
        <f>EGRESOS!I75</f>
        <v>0</v>
      </c>
      <c r="I76" s="91">
        <f>EGRESOS!J75</f>
        <v>0</v>
      </c>
      <c r="J76" s="91">
        <f>EGRESOS!K75</f>
        <v>0</v>
      </c>
      <c r="K76" s="91">
        <f>EGRESOS!L75</f>
        <v>0</v>
      </c>
      <c r="L76" s="91">
        <f>EGRESOS!M75</f>
        <v>0</v>
      </c>
      <c r="N76" s="2"/>
      <c r="O76" s="2"/>
    </row>
    <row r="77" spans="1:15" ht="15" customHeight="1" x14ac:dyDescent="0.2">
      <c r="A77" s="1">
        <v>4</v>
      </c>
      <c r="B77" s="89">
        <f>EGRESOS!C76</f>
        <v>54109</v>
      </c>
      <c r="C77" s="90" t="str">
        <f>EGRESOS!D76</f>
        <v>LLANTAS Y NEUMÁTICOS</v>
      </c>
      <c r="D77" s="91">
        <f>EGRESOS!E76+EGRESOS!E162</f>
        <v>0</v>
      </c>
      <c r="E77" s="91">
        <f>EGRESOS!F76+EGRESOS!F162</f>
        <v>0</v>
      </c>
      <c r="F77" s="91">
        <f>+EGRESOS!G76+EGRESOS!G162</f>
        <v>500</v>
      </c>
      <c r="G77" s="91">
        <f>EGRESOS!H76+EGRESOS!H162</f>
        <v>500</v>
      </c>
      <c r="H77" s="30"/>
      <c r="I77" s="30"/>
      <c r="J77" s="30"/>
      <c r="K77" s="30"/>
      <c r="L77" s="30"/>
      <c r="N77" s="2"/>
      <c r="O77" s="2"/>
    </row>
    <row r="78" spans="1:15" ht="15" customHeight="1" x14ac:dyDescent="0.2">
      <c r="A78" s="1">
        <v>4</v>
      </c>
      <c r="B78" s="89">
        <f>EGRESOS!C77</f>
        <v>54110</v>
      </c>
      <c r="C78" s="90" t="str">
        <f>EGRESOS!D77</f>
        <v>COMBUSTIBLES Y LUBRICANTES</v>
      </c>
      <c r="D78" s="91">
        <f>EGRESOS!E77+EGRESOS!E163+EGRESOS!E240</f>
        <v>0</v>
      </c>
      <c r="E78" s="91">
        <f>EGRESOS!F77+EGRESOS!F163+EGRESOS!F240</f>
        <v>0</v>
      </c>
      <c r="F78" s="91">
        <f>+EGRESOS!G77+EGRESOS!G163+EGRESOS!G240</f>
        <v>1800</v>
      </c>
      <c r="G78" s="91">
        <f>EGRESOS!H77+EGRESOS!H163+EGRESOS!H240</f>
        <v>1800</v>
      </c>
      <c r="H78" s="30"/>
      <c r="I78" s="30"/>
      <c r="J78" s="30">
        <v>336</v>
      </c>
      <c r="K78" s="30"/>
      <c r="L78" s="30"/>
      <c r="N78" s="2"/>
      <c r="O78" s="2"/>
    </row>
    <row r="79" spans="1:15" ht="15" customHeight="1" x14ac:dyDescent="0.2">
      <c r="A79" s="1">
        <v>4</v>
      </c>
      <c r="B79" s="89">
        <f>EGRESOS!C78</f>
        <v>54111</v>
      </c>
      <c r="C79" s="90" t="str">
        <f>EGRESOS!D78</f>
        <v>MINERALES NO METALICOS Y PRODUCTOS DERIVADOS</v>
      </c>
      <c r="D79" s="91">
        <f>EGRESOS!E78+EGRESOS!E124+EGRESOS!E164+EGRESOS!E205+EGRESOS!E241</f>
        <v>0</v>
      </c>
      <c r="E79" s="91">
        <f>EGRESOS!F78+EGRESOS!F124+EGRESOS!F164+EGRESOS!F205+EGRESOS!F241</f>
        <v>0</v>
      </c>
      <c r="F79" s="91">
        <f>+EGRESOS!G78+EGRESOS!G124+EGRESOS!G164+EGRESOS!G205+EGRESOS!G241</f>
        <v>2000</v>
      </c>
      <c r="G79" s="91">
        <f>EGRESOS!H78+EGRESOS!H124+EGRESOS!H164+EGRESOS!H205+EGRESOS!H241</f>
        <v>2000</v>
      </c>
      <c r="H79" s="30"/>
      <c r="I79" s="30"/>
      <c r="J79" s="30"/>
      <c r="K79" s="30"/>
      <c r="L79" s="30"/>
      <c r="N79" s="2"/>
      <c r="O79" s="2"/>
    </row>
    <row r="80" spans="1:15" ht="15" customHeight="1" x14ac:dyDescent="0.2">
      <c r="A80" s="1">
        <v>4</v>
      </c>
      <c r="B80" s="89">
        <f>EGRESOS!C79</f>
        <v>54112</v>
      </c>
      <c r="C80" s="90" t="str">
        <f>EGRESOS!D79</f>
        <v>MINERALES METALICOS Y PRODUCTOS DERIVADOS</v>
      </c>
      <c r="D80" s="91">
        <f>EGRESOS!E79+EGRESOS!E125+EGRESOS!E165+EGRESOS!E206+EGRESOS!E242</f>
        <v>0</v>
      </c>
      <c r="E80" s="91">
        <f>EGRESOS!F79+EGRESOS!F125+EGRESOS!F165+EGRESOS!F206+EGRESOS!F242</f>
        <v>0</v>
      </c>
      <c r="F80" s="91">
        <f>+EGRESOS!G242+EGRESOS!G206+EGRESOS!G165+EGRESOS!G125+EGRESOS!G79</f>
        <v>1250</v>
      </c>
      <c r="G80" s="91">
        <f>EGRESOS!H79+EGRESOS!H125+EGRESOS!H165+EGRESOS!H206+EGRESOS!H242</f>
        <v>1250</v>
      </c>
      <c r="H80" s="30"/>
      <c r="I80" s="30"/>
      <c r="J80" s="30"/>
      <c r="K80" s="30"/>
      <c r="L80" s="30"/>
      <c r="N80" s="2"/>
      <c r="O80" s="2"/>
    </row>
    <row r="81" spans="1:15" ht="15" customHeight="1" x14ac:dyDescent="0.2">
      <c r="A81" s="1">
        <v>4</v>
      </c>
      <c r="B81" s="89">
        <f>EGRESOS!C80</f>
        <v>54114</v>
      </c>
      <c r="C81" s="90" t="str">
        <f>EGRESOS!D80</f>
        <v>MATERIALES DE OFICINA</v>
      </c>
      <c r="D81" s="91">
        <f>EGRESOS!E80+EGRESOS!E126+EGRESOS!E166+EGRESOS!E207+EGRESOS!E243</f>
        <v>0</v>
      </c>
      <c r="E81" s="91">
        <f>EGRESOS!F80+EGRESOS!F126+EGRESOS!F166+EGRESOS!F207+EGRESOS!F243</f>
        <v>0</v>
      </c>
      <c r="F81" s="91">
        <f>+EGRESOS!G80+EGRESOS!G126+EGRESOS!G166+EGRESOS!G207+EGRESOS!G243</f>
        <v>1900</v>
      </c>
      <c r="G81" s="91">
        <f>EGRESOS!H80+EGRESOS!H126+EGRESOS!H166+EGRESOS!H207+EGRESOS!H243</f>
        <v>1900</v>
      </c>
      <c r="H81" s="30"/>
      <c r="I81" s="30"/>
      <c r="J81" s="30"/>
      <c r="K81" s="30"/>
      <c r="L81" s="30"/>
      <c r="N81" s="2"/>
      <c r="O81" s="2"/>
    </row>
    <row r="82" spans="1:15" ht="15" customHeight="1" x14ac:dyDescent="0.2">
      <c r="A82" s="1">
        <v>4</v>
      </c>
      <c r="B82" s="89">
        <f>EGRESOS!C81</f>
        <v>54115</v>
      </c>
      <c r="C82" s="90" t="str">
        <f>EGRESOS!D81</f>
        <v>MATERIALES INFORMATICOS</v>
      </c>
      <c r="D82" s="91">
        <f>EGRESOS!E81+EGRESOS!E127+EGRESOS!E167+EGRESOS!E208+EGRESOS!E244</f>
        <v>0</v>
      </c>
      <c r="E82" s="91">
        <f>EGRESOS!F81+EGRESOS!F127+EGRESOS!F167+EGRESOS!F208+EGRESOS!F244</f>
        <v>0</v>
      </c>
      <c r="F82" s="91">
        <f>+EGRESOS!G81+EGRESOS!G127+EGRESOS!G167+EGRESOS!G208+EGRESOS!G244</f>
        <v>2500</v>
      </c>
      <c r="G82" s="91">
        <f>EGRESOS!H81+EGRESOS!H127+EGRESOS!H167+EGRESOS!H208+EGRESOS!H244</f>
        <v>2500</v>
      </c>
      <c r="H82" s="30"/>
      <c r="I82" s="30"/>
      <c r="J82" s="30"/>
      <c r="K82" s="30"/>
      <c r="L82" s="30"/>
      <c r="N82" s="2"/>
      <c r="O82" s="2"/>
    </row>
    <row r="83" spans="1:15" ht="15" customHeight="1" x14ac:dyDescent="0.2">
      <c r="A83" s="1">
        <v>4</v>
      </c>
      <c r="B83" s="89">
        <f>EGRESOS!C82</f>
        <v>54116</v>
      </c>
      <c r="C83" s="90" t="str">
        <f>EGRESOS!D82</f>
        <v xml:space="preserve">LIBROS, TEXTOS, UTILES DE ENSEÑANZAS Y PUBLICACIONES </v>
      </c>
      <c r="D83" s="91">
        <f>EGRESOS!E82+EGRESOS!E128+EGRESOS!E168+EGRESOS!E209+EGRESOS!E245</f>
        <v>0</v>
      </c>
      <c r="E83" s="91">
        <f>EGRESOS!F82+EGRESOS!F128+EGRESOS!F168+EGRESOS!F209+EGRESOS!F245</f>
        <v>0</v>
      </c>
      <c r="F83" s="91">
        <f>+EGRESOS!G82+EGRESOS!G128+EGRESOS!G168+EGRESOS!G209+EGRESOS!G245</f>
        <v>1700</v>
      </c>
      <c r="G83" s="91">
        <f>EGRESOS!H82+EGRESOS!H128+EGRESOS!H168+EGRESOS!H209+EGRESOS!H245</f>
        <v>1700</v>
      </c>
      <c r="H83" s="91">
        <f>EGRESOS!I82+EGRESOS!I168+EGRESOS!I209+EGRESOS!I245</f>
        <v>0</v>
      </c>
      <c r="I83" s="91">
        <f>EGRESOS!J82+EGRESOS!J168+EGRESOS!J209+EGRESOS!J245</f>
        <v>0</v>
      </c>
      <c r="J83" s="91">
        <f>EGRESOS!K82+EGRESOS!K168+EGRESOS!K209+EGRESOS!K245</f>
        <v>0</v>
      </c>
      <c r="K83" s="91">
        <f>EGRESOS!L82+EGRESOS!L168+EGRESOS!L209+EGRESOS!L245</f>
        <v>0</v>
      </c>
      <c r="L83" s="91">
        <f>EGRESOS!M82+EGRESOS!M168+EGRESOS!M209+EGRESOS!M245</f>
        <v>0</v>
      </c>
      <c r="N83" s="2"/>
      <c r="O83" s="2"/>
    </row>
    <row r="84" spans="1:15" ht="15" customHeight="1" x14ac:dyDescent="0.2">
      <c r="A84" s="1">
        <v>4</v>
      </c>
      <c r="B84" s="89">
        <f>EGRESOS!C83</f>
        <v>54118</v>
      </c>
      <c r="C84" s="90" t="str">
        <f>EGRESOS!D83</f>
        <v>HERRAMIENTAS, REPUESTOS Y ACCESORIOS</v>
      </c>
      <c r="D84" s="91">
        <f>EGRESOS!E83+EGRESOS!E129+EGRESOS!E169+EGRESOS!E246</f>
        <v>0</v>
      </c>
      <c r="E84" s="91">
        <f>EGRESOS!F83+EGRESOS!F129+EGRESOS!F169+EGRESOS!F246</f>
        <v>0</v>
      </c>
      <c r="F84" s="91">
        <f>+EGRESOS!G246+EGRESOS!G169+EGRESOS!G129+EGRESOS!G83</f>
        <v>3550</v>
      </c>
      <c r="G84" s="91">
        <f>EGRESOS!H83+EGRESOS!H129+EGRESOS!H169+EGRESOS!H246</f>
        <v>3550</v>
      </c>
      <c r="H84" s="91"/>
      <c r="I84" s="91"/>
      <c r="J84" s="91"/>
      <c r="K84" s="91"/>
      <c r="L84" s="91"/>
      <c r="N84" s="2"/>
      <c r="O84" s="2"/>
    </row>
    <row r="85" spans="1:15" ht="15" customHeight="1" x14ac:dyDescent="0.2">
      <c r="A85" s="1">
        <v>4</v>
      </c>
      <c r="B85" s="89">
        <v>54119</v>
      </c>
      <c r="C85" s="90" t="s">
        <v>44</v>
      </c>
      <c r="D85" s="91">
        <f>EGRESOS!E84+EGRESOS!E130+EGRESOS!E170+EGRESOS!E210+EGRESOS!E247</f>
        <v>0</v>
      </c>
      <c r="E85" s="91">
        <f>EGRESOS!F84+EGRESOS!F130+EGRESOS!F170+EGRESOS!F210+EGRESOS!F247</f>
        <v>0</v>
      </c>
      <c r="F85" s="91">
        <f>+EGRESOS!G84+EGRESOS!G130+EGRESOS!G170+EGRESOS!G210+EGRESOS!G247</f>
        <v>1450</v>
      </c>
      <c r="G85" s="91">
        <f>EGRESOS!H84+EGRESOS!H130+EGRESOS!H170+EGRESOS!H210+EGRESOS!H247</f>
        <v>1450</v>
      </c>
      <c r="H85" s="91"/>
      <c r="I85" s="91"/>
      <c r="J85" s="91"/>
      <c r="K85" s="91"/>
      <c r="L85" s="91"/>
      <c r="N85" s="2"/>
      <c r="O85" s="2"/>
    </row>
    <row r="86" spans="1:15" ht="15" customHeight="1" x14ac:dyDescent="0.2">
      <c r="A86" s="1">
        <v>4</v>
      </c>
      <c r="B86" s="89">
        <f>EGRESOS!C85</f>
        <v>54199</v>
      </c>
      <c r="C86" s="90" t="str">
        <f>EGRESOS!D85</f>
        <v>BIENES DE USO Y CONSUMO DIVERSOS</v>
      </c>
      <c r="D86" s="91">
        <f>EGRESOS!E85+EGRESOS!E171+EGRESOS!E211+EGRESOS!E248+EGRESOS!E277</f>
        <v>0</v>
      </c>
      <c r="E86" s="91">
        <f>EGRESOS!F85+EGRESOS!F171+EGRESOS!F211+EGRESOS!F248+EGRESOS!F277</f>
        <v>0</v>
      </c>
      <c r="F86" s="91">
        <f>EGRESOS!G85+EGRESOS!G171+EGRESOS!G211+EGRESOS!G248+EGRESOS!G277</f>
        <v>5700</v>
      </c>
      <c r="G86" s="91">
        <f>EGRESOS!H85+EGRESOS!H171+EGRESOS!H211+EGRESOS!H248+EGRESOS!H277</f>
        <v>5700</v>
      </c>
      <c r="H86" s="91">
        <f>EGRESOS!I85+EGRESOS!I171+EGRESOS!I211+EGRESOS!I248</f>
        <v>0</v>
      </c>
      <c r="I86" s="91">
        <f>EGRESOS!J85+EGRESOS!J171+EGRESOS!J211+EGRESOS!J248</f>
        <v>0</v>
      </c>
      <c r="J86" s="91">
        <f>EGRESOS!K85+EGRESOS!K171+EGRESOS!K211+EGRESOS!K248</f>
        <v>0</v>
      </c>
      <c r="K86" s="91">
        <f>EGRESOS!L85+EGRESOS!L171+EGRESOS!L211+EGRESOS!L248</f>
        <v>0</v>
      </c>
      <c r="L86" s="91">
        <f>EGRESOS!M85+EGRESOS!M171+EGRESOS!M211+EGRESOS!M248</f>
        <v>0</v>
      </c>
      <c r="N86" s="2"/>
      <c r="O86" s="2"/>
    </row>
    <row r="87" spans="1:15" ht="15" customHeight="1" x14ac:dyDescent="0.2">
      <c r="A87" s="1">
        <v>4</v>
      </c>
      <c r="B87" s="89">
        <f>EGRESOS!C86</f>
        <v>54203</v>
      </c>
      <c r="C87" s="90" t="str">
        <f>EGRESOS!D86</f>
        <v>SERVICIOS DE TELECOMUNICACIONES</v>
      </c>
      <c r="D87" s="91">
        <f>EGRESOS!E86+EGRESOS!E174</f>
        <v>0</v>
      </c>
      <c r="E87" s="91">
        <f>EGRESOS!F86+EGRESOS!F174</f>
        <v>0</v>
      </c>
      <c r="F87" s="91">
        <f>+EGRESOS!G86</f>
        <v>300</v>
      </c>
      <c r="G87" s="91">
        <f>EGRESOS!H86+EGRESOS!H174</f>
        <v>300</v>
      </c>
      <c r="H87" s="30"/>
      <c r="I87" s="30"/>
      <c r="J87" s="30">
        <v>9.0399999999999991</v>
      </c>
      <c r="K87" s="30"/>
      <c r="L87" s="30"/>
      <c r="N87" s="2"/>
      <c r="O87" s="2"/>
    </row>
    <row r="88" spans="1:15" ht="15" customHeight="1" x14ac:dyDescent="0.2">
      <c r="A88" s="1">
        <v>4</v>
      </c>
      <c r="B88" s="89">
        <f>EGRESOS!C87</f>
        <v>54204</v>
      </c>
      <c r="C88" s="90" t="str">
        <f>EGRESOS!D87</f>
        <v>SERVICIOS DE CORREO</v>
      </c>
      <c r="D88" s="91">
        <f>+EGRESOS!E87</f>
        <v>0</v>
      </c>
      <c r="E88" s="91">
        <f>+EGRESOS!F87</f>
        <v>0</v>
      </c>
      <c r="F88" s="91">
        <f>+EGRESOS!G87</f>
        <v>300</v>
      </c>
      <c r="G88" s="91">
        <f>+EGRESOS!H87</f>
        <v>300</v>
      </c>
      <c r="H88" s="30"/>
      <c r="I88" s="30"/>
      <c r="J88" s="30"/>
      <c r="K88" s="30"/>
      <c r="L88" s="30"/>
      <c r="N88" s="2"/>
      <c r="O88" s="2"/>
    </row>
    <row r="89" spans="1:15" ht="15" customHeight="1" x14ac:dyDescent="0.2">
      <c r="A89" s="1">
        <v>4</v>
      </c>
      <c r="B89" s="89">
        <f>EGRESOS!C88</f>
        <v>54301</v>
      </c>
      <c r="C89" s="90" t="str">
        <f>EGRESOS!D88</f>
        <v>MANTENIMIENTO Y REPARACION DE BIENES MUEBLES</v>
      </c>
      <c r="D89" s="91">
        <f>EGRESOS!E88+EGRESOS!E131+EGRESOS!E175+EGRESOS!E212+EGRESOS!E249</f>
        <v>0</v>
      </c>
      <c r="E89" s="91">
        <f>EGRESOS!F88+EGRESOS!F131+EGRESOS!F175+EGRESOS!F212+EGRESOS!F249</f>
        <v>0</v>
      </c>
      <c r="F89" s="91">
        <f>+EGRESOS!G88+EGRESOS!G131+EGRESOS!G175+EGRESOS!G212+EGRESOS!G249</f>
        <v>1150</v>
      </c>
      <c r="G89" s="91">
        <f>EGRESOS!H88+EGRESOS!H131+EGRESOS!H175+EGRESOS!H212+EGRESOS!H249</f>
        <v>1150</v>
      </c>
      <c r="H89" s="30"/>
      <c r="I89" s="30"/>
      <c r="J89" s="30"/>
      <c r="K89" s="30"/>
      <c r="L89" s="30"/>
      <c r="N89" s="2"/>
      <c r="O89" s="2"/>
    </row>
    <row r="90" spans="1:15" ht="15" customHeight="1" x14ac:dyDescent="0.2">
      <c r="A90" s="1">
        <v>4</v>
      </c>
      <c r="B90" s="89">
        <f>EGRESOS!C89</f>
        <v>54302</v>
      </c>
      <c r="C90" s="90" t="str">
        <f>EGRESOS!D89</f>
        <v>MANTENIMIENTO Y REPARACIÓN DE VEHÍCULOS</v>
      </c>
      <c r="D90" s="91">
        <f>EGRESOS!E89+EGRESOS!E176</f>
        <v>0</v>
      </c>
      <c r="E90" s="91">
        <f>EGRESOS!F89+EGRESOS!F176</f>
        <v>0</v>
      </c>
      <c r="F90" s="91">
        <f>+EGRESOS!G89+EGRESOS!G176</f>
        <v>900</v>
      </c>
      <c r="G90" s="91">
        <f>EGRESOS!H89+EGRESOS!H176</f>
        <v>900</v>
      </c>
      <c r="H90" s="30"/>
      <c r="I90" s="30"/>
      <c r="J90" s="30">
        <f>140.9+245.19</f>
        <v>386.09000000000003</v>
      </c>
      <c r="K90" s="30"/>
      <c r="L90" s="30"/>
      <c r="N90" s="2"/>
      <c r="O90" s="2"/>
    </row>
    <row r="91" spans="1:15" ht="15" customHeight="1" x14ac:dyDescent="0.2">
      <c r="A91" s="1">
        <v>4</v>
      </c>
      <c r="B91" s="89">
        <v>54303</v>
      </c>
      <c r="C91" s="90" t="s">
        <v>183</v>
      </c>
      <c r="D91" s="91">
        <f>EGRESOS!E90+EGRESOS!E213+EGRESOS!E250</f>
        <v>0</v>
      </c>
      <c r="E91" s="91">
        <f>EGRESOS!F90+EGRESOS!F213+EGRESOS!F250</f>
        <v>0</v>
      </c>
      <c r="F91" s="91">
        <f>+EGRESOS!G90+EGRESOS!G213+EGRESOS!G250</f>
        <v>700</v>
      </c>
      <c r="G91" s="91">
        <f>EGRESOS!H90+EGRESOS!H213+EGRESOS!H250</f>
        <v>700</v>
      </c>
      <c r="H91" s="30"/>
      <c r="I91" s="30"/>
      <c r="J91" s="30"/>
      <c r="K91" s="30"/>
      <c r="L91" s="30"/>
      <c r="N91" s="2"/>
      <c r="O91" s="2"/>
    </row>
    <row r="92" spans="1:15" ht="15" customHeight="1" x14ac:dyDescent="0.2">
      <c r="A92" s="1">
        <v>4</v>
      </c>
      <c r="B92" s="89">
        <f>EGRESOS!C91</f>
        <v>54305</v>
      </c>
      <c r="C92" s="90" t="str">
        <f>EGRESOS!D91</f>
        <v>SERVICIOS DE PUBLICIDAD</v>
      </c>
      <c r="D92" s="91">
        <f>EGRESOS!E91</f>
        <v>0</v>
      </c>
      <c r="E92" s="91">
        <f>EGRESOS!F91</f>
        <v>0</v>
      </c>
      <c r="F92" s="91">
        <f>EGRESOS!G91</f>
        <v>5000</v>
      </c>
      <c r="G92" s="91">
        <f>EGRESOS!H91</f>
        <v>5000</v>
      </c>
      <c r="H92" s="30"/>
      <c r="I92" s="30"/>
      <c r="J92" s="30"/>
      <c r="K92" s="30"/>
      <c r="L92" s="30"/>
      <c r="N92" s="2"/>
      <c r="O92" s="2"/>
    </row>
    <row r="93" spans="1:15" ht="15" customHeight="1" x14ac:dyDescent="0.2">
      <c r="A93" s="1">
        <v>4</v>
      </c>
      <c r="B93" s="89">
        <f>EGRESOS!C92</f>
        <v>54307</v>
      </c>
      <c r="C93" s="90" t="str">
        <f>EGRESOS!D92</f>
        <v>SERVICIOS DE LIMPIEZA Y FUMIGACIONES</v>
      </c>
      <c r="D93" s="91">
        <f>EGRESOS!E92+EGRESOS!E177+EGRESOS!E214</f>
        <v>0</v>
      </c>
      <c r="E93" s="91">
        <f>EGRESOS!F92+EGRESOS!F177+EGRESOS!F214</f>
        <v>0</v>
      </c>
      <c r="F93" s="91">
        <f>EGRESOS!G92+EGRESOS!G177+EGRESOS!G214</f>
        <v>200</v>
      </c>
      <c r="G93" s="91">
        <f>EGRESOS!H92+EGRESOS!H177+EGRESOS!H214</f>
        <v>200</v>
      </c>
      <c r="H93" s="30"/>
      <c r="I93" s="30"/>
      <c r="J93" s="30"/>
      <c r="K93" s="30"/>
      <c r="L93" s="30"/>
      <c r="N93" s="2"/>
      <c r="O93" s="2"/>
    </row>
    <row r="94" spans="1:15" ht="15" customHeight="1" x14ac:dyDescent="0.2">
      <c r="A94" s="1">
        <v>4</v>
      </c>
      <c r="B94" s="89">
        <v>54310</v>
      </c>
      <c r="C94" s="94" t="s">
        <v>390</v>
      </c>
      <c r="D94" s="91">
        <f>EGRESOS!E251</f>
        <v>0</v>
      </c>
      <c r="E94" s="91">
        <f>EGRESOS!F251</f>
        <v>0</v>
      </c>
      <c r="F94" s="91">
        <f>EGRESOS!G251</f>
        <v>100</v>
      </c>
      <c r="G94" s="91">
        <f>EGRESOS!H251</f>
        <v>100</v>
      </c>
      <c r="H94" s="30"/>
      <c r="I94" s="30"/>
      <c r="J94" s="30"/>
      <c r="K94" s="30"/>
      <c r="L94" s="30"/>
      <c r="N94" s="2"/>
      <c r="O94" s="2"/>
    </row>
    <row r="95" spans="1:15" ht="15" customHeight="1" x14ac:dyDescent="0.2">
      <c r="A95" s="1">
        <v>4</v>
      </c>
      <c r="B95" s="89">
        <f>EGRESOS!C93</f>
        <v>54313</v>
      </c>
      <c r="C95" s="90" t="str">
        <f>EGRESOS!D93</f>
        <v>IMPRESIONES, PUBLICACIONES Y REPRODUCCIONES</v>
      </c>
      <c r="D95" s="91">
        <f>EGRESOS!E93+EGRESOS!E252</f>
        <v>0</v>
      </c>
      <c r="E95" s="91">
        <f>EGRESOS!F93+EGRESOS!F252</f>
        <v>0</v>
      </c>
      <c r="F95" s="91">
        <f>EGRESOS!G93+EGRESOS!G252</f>
        <v>900</v>
      </c>
      <c r="G95" s="91">
        <f>EGRESOS!H93+EGRESOS!H252</f>
        <v>900</v>
      </c>
      <c r="H95" s="30"/>
      <c r="I95" s="30"/>
      <c r="J95" s="30"/>
      <c r="K95" s="30"/>
      <c r="L95" s="30"/>
      <c r="N95" s="2"/>
      <c r="O95" s="2"/>
    </row>
    <row r="96" spans="1:15" ht="15" customHeight="1" x14ac:dyDescent="0.2">
      <c r="A96" s="1">
        <v>4</v>
      </c>
      <c r="B96" s="89">
        <v>54314</v>
      </c>
      <c r="C96" s="90" t="s">
        <v>12</v>
      </c>
      <c r="D96" s="91">
        <f>EGRESOS!E94+EGRESOS!E253</f>
        <v>0</v>
      </c>
      <c r="E96" s="91">
        <f>EGRESOS!F94+EGRESOS!F253</f>
        <v>0</v>
      </c>
      <c r="F96" s="91">
        <f>EGRESOS!G94+EGRESOS!G253</f>
        <v>1200</v>
      </c>
      <c r="G96" s="91">
        <f>EGRESOS!H94+EGRESOS!H253</f>
        <v>1200</v>
      </c>
      <c r="H96" s="30"/>
      <c r="I96" s="30"/>
      <c r="J96" s="30"/>
      <c r="K96" s="30"/>
      <c r="L96" s="30"/>
      <c r="N96" s="2"/>
      <c r="O96" s="2"/>
    </row>
    <row r="97" spans="1:16" ht="15" customHeight="1" x14ac:dyDescent="0.2">
      <c r="A97" s="1">
        <v>4</v>
      </c>
      <c r="B97" s="89">
        <v>54316</v>
      </c>
      <c r="C97" s="90" t="s">
        <v>45</v>
      </c>
      <c r="D97" s="91">
        <f>EGRESOS!E95+EGRESOS!E132</f>
        <v>0</v>
      </c>
      <c r="E97" s="91">
        <f>EGRESOS!F95+EGRESOS!F132</f>
        <v>0</v>
      </c>
      <c r="F97" s="91">
        <f>EGRESOS!G95+EGRESOS!G132</f>
        <v>1100</v>
      </c>
      <c r="G97" s="91">
        <f>EGRESOS!H95+EGRESOS!H132</f>
        <v>1100</v>
      </c>
      <c r="H97" s="30"/>
      <c r="I97" s="30"/>
      <c r="J97" s="30"/>
      <c r="K97" s="30"/>
      <c r="L97" s="30"/>
      <c r="N97" s="2"/>
      <c r="O97" s="2"/>
    </row>
    <row r="98" spans="1:16" ht="15" customHeight="1" x14ac:dyDescent="0.2">
      <c r="A98" s="1">
        <v>4</v>
      </c>
      <c r="B98" s="89">
        <v>54399</v>
      </c>
      <c r="C98" s="90" t="s">
        <v>153</v>
      </c>
      <c r="D98" s="91">
        <f>EGRESOS!E96+EGRESOS!E178+EGRESOS!E254</f>
        <v>0</v>
      </c>
      <c r="E98" s="91">
        <f>EGRESOS!F96+EGRESOS!F178+EGRESOS!F254</f>
        <v>0</v>
      </c>
      <c r="F98" s="91">
        <f>EGRESOS!G96+EGRESOS!G178+EGRESOS!G254</f>
        <v>1300</v>
      </c>
      <c r="G98" s="91">
        <f>EGRESOS!H96+EGRESOS!H178+EGRESOS!H254</f>
        <v>1300</v>
      </c>
      <c r="H98" s="30"/>
      <c r="I98" s="30"/>
      <c r="J98" s="30"/>
      <c r="K98" s="30"/>
      <c r="L98" s="30"/>
      <c r="N98" s="2"/>
      <c r="O98" s="2"/>
    </row>
    <row r="99" spans="1:16" ht="15" customHeight="1" x14ac:dyDescent="0.2">
      <c r="A99" s="1">
        <v>4</v>
      </c>
      <c r="B99" s="89">
        <f>EGRESOS!C97</f>
        <v>54401</v>
      </c>
      <c r="C99" s="90" t="str">
        <f>EGRESOS!D97</f>
        <v>PASAJES AL INTERIOR</v>
      </c>
      <c r="D99" s="91">
        <f>EGRESOS!E97+EGRESOS!E179+EGRESOS!E215+EGRESOS!E255</f>
        <v>0</v>
      </c>
      <c r="E99" s="91">
        <f>EGRESOS!F97+EGRESOS!F179+EGRESOS!F215+EGRESOS!F255</f>
        <v>0</v>
      </c>
      <c r="F99" s="91">
        <f>EGRESOS!G97+EGRESOS!G179+EGRESOS!G215+EGRESOS!G255+EGRESOS!G133</f>
        <v>950</v>
      </c>
      <c r="G99" s="91">
        <f>EGRESOS!H97+EGRESOS!H179+EGRESOS!H215+EGRESOS!H255+EGRESOS!G133</f>
        <v>950</v>
      </c>
      <c r="H99" s="30"/>
      <c r="I99" s="30"/>
      <c r="J99" s="30">
        <v>14.22</v>
      </c>
      <c r="K99" s="30"/>
      <c r="L99" s="30"/>
      <c r="N99" s="2"/>
      <c r="O99" s="2"/>
    </row>
    <row r="100" spans="1:16" ht="15" customHeight="1" x14ac:dyDescent="0.2">
      <c r="A100" s="1">
        <v>4</v>
      </c>
      <c r="B100" s="89">
        <f>EGRESOS!C98</f>
        <v>54402</v>
      </c>
      <c r="C100" s="90" t="str">
        <f>EGRESOS!D98</f>
        <v>PASAJES AL EXTERIOR</v>
      </c>
      <c r="D100" s="91">
        <f>EGRESOS!E98+EGRESOS!E216+EGRESOS!E256</f>
        <v>0</v>
      </c>
      <c r="E100" s="91">
        <f>EGRESOS!F98+EGRESOS!F216+EGRESOS!F256</f>
        <v>0</v>
      </c>
      <c r="F100" s="91">
        <f>EGRESOS!G98+EGRESOS!G216+EGRESOS!G256</f>
        <v>7100</v>
      </c>
      <c r="G100" s="91">
        <f>EGRESOS!H98+EGRESOS!H216+EGRESOS!H256</f>
        <v>7100</v>
      </c>
      <c r="H100" s="30"/>
      <c r="I100" s="30"/>
      <c r="J100" s="30"/>
      <c r="K100" s="30"/>
      <c r="L100" s="30"/>
      <c r="N100" s="2"/>
      <c r="O100" s="2"/>
    </row>
    <row r="101" spans="1:16" ht="15" customHeight="1" x14ac:dyDescent="0.2">
      <c r="A101" s="1">
        <v>4</v>
      </c>
      <c r="B101" s="89">
        <f>EGRESOS!C134</f>
        <v>54503</v>
      </c>
      <c r="C101" s="90" t="str">
        <f>EGRESOS!D134</f>
        <v xml:space="preserve">SERVICIOS JURIDICOS </v>
      </c>
      <c r="D101" s="91">
        <f>EGRESOS!E134</f>
        <v>0</v>
      </c>
      <c r="E101" s="91">
        <f>EGRESOS!F134</f>
        <v>0</v>
      </c>
      <c r="F101" s="91">
        <f>EGRESOS!G134</f>
        <v>800</v>
      </c>
      <c r="G101" s="91">
        <f>EGRESOS!H134</f>
        <v>800</v>
      </c>
      <c r="H101" s="30"/>
      <c r="I101" s="30"/>
      <c r="J101" s="30"/>
      <c r="K101" s="30"/>
      <c r="L101" s="30"/>
      <c r="N101" s="2"/>
      <c r="O101" s="2"/>
    </row>
    <row r="102" spans="1:16" ht="15" customHeight="1" x14ac:dyDescent="0.2">
      <c r="A102" s="1">
        <v>4</v>
      </c>
      <c r="B102" s="95">
        <f>EGRESOS!C135</f>
        <v>54505</v>
      </c>
      <c r="C102" s="96" t="str">
        <f>EGRESOS!D135</f>
        <v>SERVICIOS DE CAPACITACION</v>
      </c>
      <c r="D102" s="97">
        <f>EGRESOS!E135+EGRESOS!E180</f>
        <v>0</v>
      </c>
      <c r="E102" s="97">
        <f>EGRESOS!F135+EGRESOS!F180</f>
        <v>0</v>
      </c>
      <c r="F102" s="97">
        <f>EGRESOS!G135+EGRESOS!G180</f>
        <v>1200</v>
      </c>
      <c r="G102" s="97">
        <f>EGRESOS!H135+EGRESOS!H180</f>
        <v>1200</v>
      </c>
      <c r="H102" s="30"/>
      <c r="I102" s="30"/>
      <c r="J102" s="30"/>
      <c r="K102" s="30"/>
      <c r="L102" s="30"/>
      <c r="N102" s="2"/>
      <c r="O102" s="2"/>
    </row>
    <row r="103" spans="1:16" ht="15" customHeight="1" x14ac:dyDescent="0.2">
      <c r="A103" s="1">
        <v>4</v>
      </c>
      <c r="B103" s="95">
        <v>54507</v>
      </c>
      <c r="C103" s="96" t="s">
        <v>774</v>
      </c>
      <c r="D103" s="97">
        <f>EGRESOS!E136</f>
        <v>0</v>
      </c>
      <c r="E103" s="97">
        <f>EGRESOS!F136</f>
        <v>0</v>
      </c>
      <c r="F103" s="97">
        <f>EGRESOS!G136</f>
        <v>200</v>
      </c>
      <c r="G103" s="97">
        <f>EGRESOS!H136</f>
        <v>200</v>
      </c>
      <c r="H103" s="30"/>
      <c r="I103" s="30"/>
      <c r="J103" s="30"/>
      <c r="K103" s="30"/>
      <c r="L103" s="30"/>
      <c r="N103" s="2"/>
      <c r="O103" s="2"/>
    </row>
    <row r="104" spans="1:16" ht="15" customHeight="1" x14ac:dyDescent="0.2">
      <c r="A104" s="1">
        <v>4</v>
      </c>
      <c r="B104" s="89">
        <f>EGRESOS!C99</f>
        <v>56304</v>
      </c>
      <c r="C104" s="90" t="str">
        <f>EGRESOS!D99</f>
        <v xml:space="preserve"> A PERSONAS NATURALES</v>
      </c>
      <c r="D104" s="91">
        <f>+EGRESOS!E99</f>
        <v>0</v>
      </c>
      <c r="E104" s="91">
        <f>+EGRESOS!F99</f>
        <v>0</v>
      </c>
      <c r="F104" s="91">
        <f>+EGRESOS!G99</f>
        <v>8000</v>
      </c>
      <c r="G104" s="91">
        <f>+EGRESOS!H99</f>
        <v>8000</v>
      </c>
      <c r="H104" s="30"/>
      <c r="I104" s="30"/>
      <c r="J104" s="30"/>
      <c r="K104" s="30"/>
      <c r="L104" s="30"/>
      <c r="N104" s="2"/>
      <c r="O104" s="2"/>
    </row>
    <row r="105" spans="1:16" ht="15" customHeight="1" x14ac:dyDescent="0.2">
      <c r="A105" s="1">
        <v>4</v>
      </c>
      <c r="B105" s="89">
        <f>EGRESOS!C101</f>
        <v>61101</v>
      </c>
      <c r="C105" s="90" t="str">
        <f>EGRESOS!D101</f>
        <v>MOBILIARIO</v>
      </c>
      <c r="D105" s="91">
        <f>EGRESOS!E101+EGRESOS!E137+EGRESOS!E181+EGRESOS!E217+EGRESOS!E257</f>
        <v>0</v>
      </c>
      <c r="E105" s="91">
        <f>EGRESOS!F101+EGRESOS!F137+EGRESOS!F181+EGRESOS!F217+EGRESOS!F257</f>
        <v>0</v>
      </c>
      <c r="F105" s="91">
        <f>+EGRESOS!G257+EGRESOS!G217+EGRESOS!G181+EGRESOS!G137+EGRESOS!G101</f>
        <v>3000</v>
      </c>
      <c r="G105" s="91">
        <f>EGRESOS!H101+EGRESOS!H137+EGRESOS!H181+EGRESOS!H217+EGRESOS!H257</f>
        <v>3000</v>
      </c>
      <c r="H105" s="30"/>
      <c r="I105" s="30"/>
      <c r="J105" s="30"/>
      <c r="K105" s="30"/>
      <c r="L105" s="30"/>
      <c r="N105" s="2"/>
      <c r="O105" s="2"/>
    </row>
    <row r="106" spans="1:16" ht="15" customHeight="1" x14ac:dyDescent="0.2">
      <c r="A106" s="1">
        <v>4</v>
      </c>
      <c r="B106" s="89">
        <f>EGRESOS!C102</f>
        <v>61102</v>
      </c>
      <c r="C106" s="90" t="str">
        <f>EGRESOS!D102</f>
        <v>MAQUINARIA Y EQUIPO</v>
      </c>
      <c r="D106" s="91">
        <f>EGRESOS!E102+EGRESOS!E138+EGRESOS!E218+EGRESOS!E258</f>
        <v>0</v>
      </c>
      <c r="E106" s="91">
        <f>EGRESOS!F102+EGRESOS!F138+EGRESOS!F218+EGRESOS!F258</f>
        <v>0</v>
      </c>
      <c r="F106" s="91">
        <f>+EGRESOS!G102+EGRESOS!G138+EGRESOS!G218+EGRESOS!G258</f>
        <v>1200</v>
      </c>
      <c r="G106" s="91">
        <f>EGRESOS!H102+EGRESOS!H138+EGRESOS!H218+EGRESOS!H258</f>
        <v>1200</v>
      </c>
      <c r="H106" s="30"/>
      <c r="I106" s="30"/>
      <c r="J106" s="30"/>
      <c r="K106" s="30"/>
      <c r="L106" s="30"/>
      <c r="N106" s="2"/>
      <c r="O106" s="2"/>
    </row>
    <row r="107" spans="1:16" ht="15" customHeight="1" x14ac:dyDescent="0.2">
      <c r="A107" s="1">
        <v>4</v>
      </c>
      <c r="B107" s="89">
        <v>61104</v>
      </c>
      <c r="C107" s="90" t="s">
        <v>46</v>
      </c>
      <c r="D107" s="91">
        <f>EGRESOS!E139+EGRESOS!E182+EGRESOS!E219+EGRESOS!E259</f>
        <v>0</v>
      </c>
      <c r="E107" s="91">
        <f>EGRESOS!F139+EGRESOS!F182+EGRESOS!F219+EGRESOS!F259</f>
        <v>0</v>
      </c>
      <c r="F107" s="91">
        <f>+EGRESOS!G259+EGRESOS!G219+EGRESOS!G182+EGRESOS!G139</f>
        <v>3400</v>
      </c>
      <c r="G107" s="91">
        <f>EGRESOS!H139+EGRESOS!H182+EGRESOS!H219+EGRESOS!H259</f>
        <v>3400</v>
      </c>
      <c r="H107" s="30"/>
      <c r="I107" s="30"/>
      <c r="J107" s="30"/>
      <c r="K107" s="30"/>
      <c r="L107" s="30"/>
      <c r="N107" s="2"/>
      <c r="O107" s="2"/>
    </row>
    <row r="108" spans="1:16" ht="15" customHeight="1" x14ac:dyDescent="0.2">
      <c r="A108" s="1">
        <v>4</v>
      </c>
      <c r="B108" s="61">
        <v>61108</v>
      </c>
      <c r="C108" s="62" t="s">
        <v>436</v>
      </c>
      <c r="D108" s="91">
        <f>+EGRESOS!E103</f>
        <v>0</v>
      </c>
      <c r="E108" s="91">
        <f>+EGRESOS!F103</f>
        <v>0</v>
      </c>
      <c r="F108" s="91">
        <f>+EGRESOS!G103</f>
        <v>0</v>
      </c>
      <c r="G108" s="91">
        <f>+EGRESOS!H103</f>
        <v>0</v>
      </c>
      <c r="H108" s="30"/>
      <c r="I108" s="30"/>
      <c r="J108" s="30"/>
      <c r="K108" s="30"/>
      <c r="L108" s="30"/>
      <c r="N108" s="2"/>
      <c r="O108" s="2"/>
    </row>
    <row r="109" spans="1:16" ht="15" customHeight="1" x14ac:dyDescent="0.2">
      <c r="A109" s="1">
        <v>4</v>
      </c>
      <c r="B109" s="89">
        <f>EGRESOS!C183</f>
        <v>61199</v>
      </c>
      <c r="C109" s="90" t="str">
        <f>EGRESOS!D183</f>
        <v>BIENES MUEBLES DIVERSOS</v>
      </c>
      <c r="D109" s="91">
        <f>EGRESOS!E140+EGRESOS!E183</f>
        <v>0</v>
      </c>
      <c r="E109" s="91">
        <f>EGRESOS!F140+EGRESOS!F183</f>
        <v>0</v>
      </c>
      <c r="F109" s="91">
        <f>EGRESOS!G140+EGRESOS!G183</f>
        <v>100</v>
      </c>
      <c r="G109" s="91">
        <f>EGRESOS!H140+EGRESOS!H183</f>
        <v>100</v>
      </c>
      <c r="H109" s="30"/>
      <c r="I109" s="30"/>
      <c r="J109" s="30"/>
      <c r="K109" s="30"/>
      <c r="L109" s="30"/>
      <c r="N109" s="2"/>
      <c r="O109" s="2"/>
    </row>
    <row r="110" spans="1:16" ht="15" customHeight="1" x14ac:dyDescent="0.2">
      <c r="A110" s="1" t="s">
        <v>387</v>
      </c>
      <c r="B110" s="89"/>
      <c r="C110" s="91" t="s">
        <v>14</v>
      </c>
      <c r="D110" s="98">
        <f>SUM(D62:D109)</f>
        <v>0</v>
      </c>
      <c r="E110" s="98">
        <f>SUM(E62:E109)</f>
        <v>0</v>
      </c>
      <c r="F110" s="99">
        <f>SUM(F62:F109)</f>
        <v>314888.34999999998</v>
      </c>
      <c r="G110" s="99">
        <f>SUM(G62:G109)</f>
        <v>314888.34999999998</v>
      </c>
      <c r="H110" s="30"/>
      <c r="I110" s="30"/>
      <c r="J110" s="30"/>
      <c r="K110" s="30"/>
      <c r="L110" s="30"/>
      <c r="M110" s="2"/>
      <c r="N110" s="2"/>
      <c r="O110" s="2"/>
      <c r="P110" s="100"/>
    </row>
    <row r="111" spans="1:16" ht="15" customHeight="1" x14ac:dyDescent="0.2">
      <c r="A111" s="1" t="s">
        <v>387</v>
      </c>
      <c r="B111" s="7"/>
      <c r="C111" s="7"/>
      <c r="D111" s="85"/>
      <c r="E111" s="85"/>
      <c r="F111" s="85"/>
      <c r="G111" s="86"/>
      <c r="N111" s="2"/>
    </row>
    <row r="112" spans="1:16" ht="15" customHeight="1" x14ac:dyDescent="0.2">
      <c r="A112" s="1" t="s">
        <v>387</v>
      </c>
      <c r="B112" s="7"/>
      <c r="C112" s="7"/>
      <c r="D112" s="85"/>
      <c r="E112" s="85"/>
      <c r="F112" s="85"/>
      <c r="G112" s="86"/>
      <c r="N112" s="2"/>
    </row>
    <row r="113" spans="1:16" ht="15" customHeight="1" x14ac:dyDescent="0.2">
      <c r="A113" s="1" t="s">
        <v>387</v>
      </c>
      <c r="B113" s="7"/>
      <c r="C113" s="7"/>
      <c r="D113" s="85"/>
      <c r="E113" s="85"/>
      <c r="F113" s="85"/>
      <c r="G113" s="86"/>
      <c r="N113" s="2"/>
    </row>
    <row r="114" spans="1:16" ht="15" customHeight="1" x14ac:dyDescent="0.2">
      <c r="A114" s="1" t="s">
        <v>387</v>
      </c>
      <c r="B114" s="404" t="s">
        <v>119</v>
      </c>
      <c r="C114" s="404"/>
      <c r="D114" s="404"/>
      <c r="E114" s="404"/>
      <c r="F114" s="404"/>
      <c r="G114" s="404"/>
    </row>
    <row r="115" spans="1:16" ht="15" customHeight="1" x14ac:dyDescent="0.2">
      <c r="A115" s="1" t="s">
        <v>387</v>
      </c>
      <c r="B115" s="414" t="str">
        <f>+B3</f>
        <v>PRESUPUESTO AÑO 2024</v>
      </c>
      <c r="C115" s="414"/>
      <c r="D115" s="414"/>
      <c r="E115" s="414"/>
      <c r="F115" s="414"/>
      <c r="G115" s="414"/>
    </row>
    <row r="116" spans="1:16" ht="15" customHeight="1" x14ac:dyDescent="0.2">
      <c r="A116" s="1" t="s">
        <v>387</v>
      </c>
      <c r="B116" s="414" t="str">
        <f>B2</f>
        <v>PRESUPUESTO EXTRA CONTABLE</v>
      </c>
      <c r="C116" s="414"/>
      <c r="D116" s="414"/>
      <c r="E116" s="414"/>
      <c r="F116" s="414"/>
      <c r="G116" s="414"/>
    </row>
    <row r="117" spans="1:16" ht="15" customHeight="1" x14ac:dyDescent="0.2">
      <c r="A117" s="1" t="s">
        <v>387</v>
      </c>
      <c r="B117" s="404" t="s">
        <v>117</v>
      </c>
      <c r="C117" s="404"/>
      <c r="D117" s="404"/>
      <c r="E117" s="404"/>
      <c r="F117" s="404"/>
      <c r="G117" s="404"/>
    </row>
    <row r="118" spans="1:16" ht="15" customHeight="1" x14ac:dyDescent="0.2">
      <c r="A118" s="1" t="s">
        <v>387</v>
      </c>
      <c r="B118" s="404" t="s">
        <v>431</v>
      </c>
      <c r="C118" s="404"/>
      <c r="D118" s="404"/>
      <c r="E118" s="404"/>
      <c r="F118" s="404"/>
      <c r="G118" s="404"/>
    </row>
    <row r="119" spans="1:16" ht="15" customHeight="1" x14ac:dyDescent="0.2">
      <c r="A119" s="1" t="s">
        <v>387</v>
      </c>
      <c r="B119" s="412" t="s">
        <v>1</v>
      </c>
      <c r="C119" s="87"/>
      <c r="D119" s="71" t="s">
        <v>56</v>
      </c>
      <c r="E119" s="71">
        <f>E67</f>
        <v>0</v>
      </c>
      <c r="F119" s="71" t="s">
        <v>56</v>
      </c>
      <c r="G119" s="88" t="str">
        <f>$G$6</f>
        <v>TOTAL 2024</v>
      </c>
    </row>
    <row r="120" spans="1:16" ht="15" customHeight="1" x14ac:dyDescent="0.2">
      <c r="A120" s="1" t="s">
        <v>387</v>
      </c>
      <c r="B120" s="413"/>
      <c r="C120" s="72" t="s">
        <v>0</v>
      </c>
      <c r="D120" s="71" t="s">
        <v>139</v>
      </c>
      <c r="E120" s="71"/>
      <c r="F120" s="71" t="s">
        <v>140</v>
      </c>
      <c r="G120" s="71"/>
      <c r="P120" s="1" t="s">
        <v>253</v>
      </c>
    </row>
    <row r="121" spans="1:16" ht="15" customHeight="1" x14ac:dyDescent="0.2">
      <c r="A121" s="1">
        <v>48</v>
      </c>
      <c r="B121" s="89">
        <f>EGRESOS!C288</f>
        <v>51101</v>
      </c>
      <c r="C121" s="90" t="str">
        <f>EGRESOS!D288</f>
        <v>SUELDOS</v>
      </c>
      <c r="D121" s="97">
        <f>+EGRESOS!E288+EGRESOS!E407+EGRESOS!E445+EGRESOS!E482+EGRESOS!E1557+EGRESOS!E1648</f>
        <v>0</v>
      </c>
      <c r="E121" s="97">
        <f>+EGRESOS!F288+EGRESOS!F407+EGRESOS!F445+EGRESOS!F482+EGRESOS!F1557+EGRESOS!F1648</f>
        <v>0</v>
      </c>
      <c r="F121" s="97">
        <f>+EGRESOS!G288+EGRESOS!G407+EGRESOS!G445+EGRESOS!G482+EGRESOS!G1557+EGRESOS!G1648</f>
        <v>146940</v>
      </c>
      <c r="G121" s="97">
        <f>+EGRESOS!H288+EGRESOS!H407+EGRESOS!H445+EGRESOS!H482+EGRESOS!H1557+EGRESOS!H1648</f>
        <v>146940</v>
      </c>
      <c r="N121" s="2"/>
      <c r="O121" s="2"/>
    </row>
    <row r="122" spans="1:16" ht="15" customHeight="1" x14ac:dyDescent="0.2">
      <c r="A122" s="1">
        <v>48</v>
      </c>
      <c r="B122" s="89">
        <f>EGRESOS!C289</f>
        <v>51103</v>
      </c>
      <c r="C122" s="90" t="str">
        <f>EGRESOS!D289</f>
        <v>AGUINALDO</v>
      </c>
      <c r="D122" s="97">
        <f>+EGRESOS!E289+EGRESOS!E408+EGRESOS!E446+EGRESOS!E483+EGRESOS!E1558+EGRESOS!E1649</f>
        <v>0</v>
      </c>
      <c r="E122" s="97">
        <f>+EGRESOS!F289+EGRESOS!F408+EGRESOS!F446+EGRESOS!F483+EGRESOS!F1558+EGRESOS!F1649</f>
        <v>0</v>
      </c>
      <c r="F122" s="97">
        <f>+EGRESOS!G289+EGRESOS!G408+EGRESOS!G446+EGRESOS!G483+EGRESOS!G1558+EGRESOS!G1649</f>
        <v>12245</v>
      </c>
      <c r="G122" s="97">
        <f>+EGRESOS!H289+EGRESOS!H408+EGRESOS!H446+EGRESOS!H483+EGRESOS!H1558+EGRESOS!H1649</f>
        <v>12245</v>
      </c>
      <c r="N122" s="2"/>
      <c r="O122" s="2"/>
    </row>
    <row r="123" spans="1:16" ht="15" customHeight="1" x14ac:dyDescent="0.2">
      <c r="A123" s="1">
        <v>48</v>
      </c>
      <c r="B123" s="89">
        <f>EGRESOS!C290</f>
        <v>51107</v>
      </c>
      <c r="C123" s="90" t="str">
        <f>EGRESOS!D290</f>
        <v>BENEFICIOS ADICIONALES</v>
      </c>
      <c r="D123" s="97">
        <f>EGRESOS!E290+EGRESOS!E409+EGRESOS!E447+EGRESOS!E484+EGRESOS!E1559+EGRESOS!E1650</f>
        <v>0</v>
      </c>
      <c r="E123" s="97">
        <f>EGRESOS!F290+EGRESOS!F409+EGRESOS!F447+EGRESOS!F484+EGRESOS!F1559+EGRESOS!F1650</f>
        <v>0</v>
      </c>
      <c r="F123" s="97">
        <f>EGRESOS!G290+EGRESOS!G409+EGRESOS!G447+EGRESOS!G484+EGRESOS!G1559+EGRESOS!G1650</f>
        <v>4400</v>
      </c>
      <c r="G123" s="97">
        <f>EGRESOS!H290+EGRESOS!H409+EGRESOS!H447+EGRESOS!H484+EGRESOS!H1559+EGRESOS!H1650</f>
        <v>4400</v>
      </c>
      <c r="N123" s="2"/>
      <c r="O123" s="2"/>
    </row>
    <row r="124" spans="1:16" ht="15" customHeight="1" x14ac:dyDescent="0.2">
      <c r="A124" s="1">
        <v>48</v>
      </c>
      <c r="B124" s="89">
        <f>EGRESOS!C291</f>
        <v>51401</v>
      </c>
      <c r="C124" s="90" t="str">
        <f>EGRESOS!D291</f>
        <v>POR REMUN. PERM. (INPEP,  ISSS, INSAFORP)</v>
      </c>
      <c r="D124" s="97">
        <f>EGRESOS!E291+EGRESOS!E410+EGRESOS!E448+EGRESOS!E485+EGRESOS!E1560+EGRESOS!E1651</f>
        <v>0</v>
      </c>
      <c r="E124" s="97">
        <f>EGRESOS!F291+EGRESOS!F410+EGRESOS!F448+EGRESOS!F485+EGRESOS!F1560+EGRESOS!F1651</f>
        <v>0</v>
      </c>
      <c r="F124" s="97">
        <f>EGRESOS!G291+EGRESOS!G410+EGRESOS!G448+EGRESOS!G485+EGRESOS!G1560+EGRESOS!G1651</f>
        <v>12489.960000000001</v>
      </c>
      <c r="G124" s="97">
        <f>EGRESOS!H291+EGRESOS!H410+EGRESOS!H448+EGRESOS!H485+EGRESOS!H1560+EGRESOS!H1651</f>
        <v>12489.960000000001</v>
      </c>
      <c r="N124" s="2"/>
      <c r="O124" s="2"/>
    </row>
    <row r="125" spans="1:16" ht="15" customHeight="1" x14ac:dyDescent="0.2">
      <c r="A125" s="1">
        <v>48</v>
      </c>
      <c r="B125" s="89">
        <f>EGRESOS!C292</f>
        <v>51501</v>
      </c>
      <c r="C125" s="90" t="str">
        <f>EGRESOS!D292</f>
        <v>POR REMUNERACIONES PERMANENTES (AFP)</v>
      </c>
      <c r="D125" s="97">
        <f>EGRESOS!E292+EGRESOS!E411+EGRESOS!E449+EGRESOS!E486+EGRESOS!E1561+EGRESOS!E1652</f>
        <v>0</v>
      </c>
      <c r="E125" s="97">
        <f>EGRESOS!F292+EGRESOS!F411+EGRESOS!F449+EGRESOS!F486+EGRESOS!F1561+EGRESOS!F1652</f>
        <v>0</v>
      </c>
      <c r="F125" s="97">
        <f>EGRESOS!G292+EGRESOS!G411+EGRESOS!G449+EGRESOS!G486+EGRESOS!G1561+EGRESOS!G1652</f>
        <v>12857.25</v>
      </c>
      <c r="G125" s="97">
        <f>EGRESOS!H292+EGRESOS!H411+EGRESOS!H449+EGRESOS!H486+EGRESOS!H1561+EGRESOS!H1652</f>
        <v>12857.25</v>
      </c>
      <c r="N125" s="2"/>
      <c r="O125" s="2"/>
    </row>
    <row r="126" spans="1:16" ht="15" customHeight="1" x14ac:dyDescent="0.2">
      <c r="A126" s="1">
        <v>48</v>
      </c>
      <c r="B126" s="89">
        <f>EGRESOS!C293</f>
        <v>54101</v>
      </c>
      <c r="C126" s="90" t="str">
        <f>EGRESOS!D293</f>
        <v>PRODUCTOS ALIMENTICIOS PARA PERSONAS</v>
      </c>
      <c r="D126" s="97">
        <f>EGRESOS!E293+EGRESOS!E412+EGRESOS!E450+EGRESOS!E487+EGRESOS!E1562</f>
        <v>0</v>
      </c>
      <c r="E126" s="97">
        <f>EGRESOS!F293+EGRESOS!F412+EGRESOS!F450+EGRESOS!F487+EGRESOS!F1562</f>
        <v>0</v>
      </c>
      <c r="F126" s="97">
        <f>EGRESOS!G293+EGRESOS!G412+EGRESOS!G450+EGRESOS!G487+EGRESOS!G1562</f>
        <v>34150</v>
      </c>
      <c r="G126" s="97">
        <f>EGRESOS!H293+EGRESOS!H412+EGRESOS!H450+EGRESOS!H487+EGRESOS!H1562</f>
        <v>34150</v>
      </c>
      <c r="N126" s="2"/>
      <c r="O126" s="2"/>
    </row>
    <row r="127" spans="1:16" ht="15" customHeight="1" x14ac:dyDescent="0.2">
      <c r="A127" s="1">
        <v>48</v>
      </c>
      <c r="B127" s="89">
        <v>54103</v>
      </c>
      <c r="C127" s="101" t="s">
        <v>586</v>
      </c>
      <c r="D127" s="97">
        <f>+EGRESOS!E294</f>
        <v>0</v>
      </c>
      <c r="E127" s="97">
        <f>+EGRESOS!F294</f>
        <v>0</v>
      </c>
      <c r="F127" s="97">
        <f>+EGRESOS!G294</f>
        <v>300</v>
      </c>
      <c r="G127" s="97">
        <f>+EGRESOS!H294</f>
        <v>300</v>
      </c>
      <c r="N127" s="2"/>
      <c r="O127" s="2"/>
    </row>
    <row r="128" spans="1:16" ht="15" customHeight="1" x14ac:dyDescent="0.2">
      <c r="A128" s="1">
        <v>48</v>
      </c>
      <c r="B128" s="89">
        <f>EGRESOS!C295</f>
        <v>54104</v>
      </c>
      <c r="C128" s="90" t="str">
        <f>EGRESOS!D295</f>
        <v>PRODUCTOS TEXTILES Y VESTUARIOS</v>
      </c>
      <c r="D128" s="97">
        <f>EGRESOS!E295+EGRESOS!E413+EGRESOS!E451+EGRESOS!E488+EGRESOS!E1563+EGRESOS!E1653</f>
        <v>0</v>
      </c>
      <c r="E128" s="97">
        <f>EGRESOS!F295+EGRESOS!F413+EGRESOS!F451+EGRESOS!F488+EGRESOS!F1563+EGRESOS!F1653</f>
        <v>0</v>
      </c>
      <c r="F128" s="97">
        <f>EGRESOS!G295+EGRESOS!G413+EGRESOS!G451+EGRESOS!G488+EGRESOS!G1563+EGRESOS!G1653</f>
        <v>5500</v>
      </c>
      <c r="G128" s="97">
        <f>EGRESOS!H295+EGRESOS!H413+EGRESOS!H451+EGRESOS!H488+EGRESOS!H1563+EGRESOS!H1653</f>
        <v>5500</v>
      </c>
      <c r="N128" s="2"/>
      <c r="O128" s="2"/>
    </row>
    <row r="129" spans="1:15" ht="15" customHeight="1" x14ac:dyDescent="0.2">
      <c r="A129" s="1">
        <v>48</v>
      </c>
      <c r="B129" s="89">
        <f>EGRESOS!C296</f>
        <v>54105</v>
      </c>
      <c r="C129" s="90" t="str">
        <f>EGRESOS!D296</f>
        <v>PRODUCTOS DE PAPEL Y CARTÓN</v>
      </c>
      <c r="D129" s="97">
        <f>EGRESOS!E296+EGRESOS!E414+EGRESOS!E452+EGRESOS!E489+EGRESOS!E1564+EGRESOS!E1654</f>
        <v>0</v>
      </c>
      <c r="E129" s="97">
        <f>EGRESOS!F296+EGRESOS!F414+EGRESOS!F452+EGRESOS!F489+EGRESOS!F1564+EGRESOS!F1654</f>
        <v>0</v>
      </c>
      <c r="F129" s="97">
        <f>EGRESOS!G296+EGRESOS!G414+EGRESOS!G452+EGRESOS!G489+EGRESOS!G1564+EGRESOS!G1654</f>
        <v>5905</v>
      </c>
      <c r="G129" s="97">
        <f>EGRESOS!H296+EGRESOS!H414+EGRESOS!H452+EGRESOS!H489+EGRESOS!H1564+EGRESOS!H1654</f>
        <v>5905</v>
      </c>
      <c r="N129" s="2"/>
      <c r="O129" s="2"/>
    </row>
    <row r="130" spans="1:15" ht="15" customHeight="1" x14ac:dyDescent="0.2">
      <c r="A130" s="1">
        <v>48</v>
      </c>
      <c r="B130" s="89">
        <f>EGRESOS!C297</f>
        <v>54106</v>
      </c>
      <c r="C130" s="90" t="str">
        <f>EGRESOS!D297</f>
        <v>PRODUCTOS DE CUERO Y CAUCHO</v>
      </c>
      <c r="D130" s="97">
        <f>EGRESOS!E297+EGRESOS!E415+EGRESOS!E453+EGRESOS!E490+EGRESOS!E1565</f>
        <v>0</v>
      </c>
      <c r="E130" s="97">
        <f>EGRESOS!F297+EGRESOS!F415+EGRESOS!F453+EGRESOS!F490+EGRESOS!F1565</f>
        <v>0</v>
      </c>
      <c r="F130" s="97">
        <f>EGRESOS!G297+EGRESOS!G415+EGRESOS!G453+EGRESOS!G490+EGRESOS!G1565</f>
        <v>1120</v>
      </c>
      <c r="G130" s="97">
        <f>EGRESOS!H297+EGRESOS!H415+EGRESOS!H453+EGRESOS!H490+EGRESOS!H1565</f>
        <v>1120</v>
      </c>
      <c r="N130" s="2"/>
      <c r="O130" s="2"/>
    </row>
    <row r="131" spans="1:15" ht="15" customHeight="1" x14ac:dyDescent="0.2">
      <c r="A131" s="1">
        <v>48</v>
      </c>
      <c r="B131" s="89">
        <f>EGRESOS!C298</f>
        <v>54107</v>
      </c>
      <c r="C131" s="90" t="str">
        <f>EGRESOS!D298</f>
        <v>PRODUCTOS QUIMICOS</v>
      </c>
      <c r="D131" s="97">
        <f>EGRESOS!E298+EGRESOS!E416+EGRESOS!E454+EGRESOS!E491+EGRESOS!E1566+EGRESOS!E1655</f>
        <v>0</v>
      </c>
      <c r="E131" s="97">
        <f>EGRESOS!F298+EGRESOS!F416+EGRESOS!F454+EGRESOS!F491+EGRESOS!F1566+EGRESOS!F1655</f>
        <v>0</v>
      </c>
      <c r="F131" s="97">
        <f>EGRESOS!G298+EGRESOS!G416+EGRESOS!G454+EGRESOS!G491+EGRESOS!G1566+EGRESOS!G1655</f>
        <v>5950</v>
      </c>
      <c r="G131" s="97">
        <f>EGRESOS!H298+EGRESOS!H416+EGRESOS!H454+EGRESOS!H491+EGRESOS!H1566+EGRESOS!H1655</f>
        <v>5950</v>
      </c>
      <c r="N131" s="2"/>
      <c r="O131" s="2"/>
    </row>
    <row r="132" spans="1:15" ht="15" customHeight="1" x14ac:dyDescent="0.2">
      <c r="A132" s="1">
        <v>48</v>
      </c>
      <c r="B132" s="89">
        <v>54108</v>
      </c>
      <c r="C132" s="90" t="s">
        <v>169</v>
      </c>
      <c r="D132" s="97">
        <f>+EGRESOS!E1567</f>
        <v>0</v>
      </c>
      <c r="E132" s="97">
        <f>+EGRESOS!F1567</f>
        <v>0</v>
      </c>
      <c r="F132" s="97">
        <f>+EGRESOS!G1567</f>
        <v>1850</v>
      </c>
      <c r="G132" s="97">
        <f>+EGRESOS!H1567</f>
        <v>1850</v>
      </c>
      <c r="N132" s="2"/>
      <c r="O132" s="2"/>
    </row>
    <row r="133" spans="1:15" ht="15" customHeight="1" x14ac:dyDescent="0.2">
      <c r="A133" s="1">
        <v>48</v>
      </c>
      <c r="B133" s="89">
        <v>54110</v>
      </c>
      <c r="C133" s="90" t="s">
        <v>147</v>
      </c>
      <c r="D133" s="97">
        <f>EGRESOS!E299+EGRESOS!E417+EGRESOS!E455+EGRESOS!E492+EGRESOS!E1568</f>
        <v>0</v>
      </c>
      <c r="E133" s="97">
        <f>EGRESOS!F299+EGRESOS!F417+EGRESOS!F455+EGRESOS!F492+EGRESOS!F1568</f>
        <v>0</v>
      </c>
      <c r="F133" s="97">
        <f>EGRESOS!G299+EGRESOS!G417+EGRESOS!G455+EGRESOS!G492+EGRESOS!G1568</f>
        <v>1000</v>
      </c>
      <c r="G133" s="97">
        <f>EGRESOS!H299+EGRESOS!H417+EGRESOS!H455+EGRESOS!H492+EGRESOS!H1568</f>
        <v>1000</v>
      </c>
      <c r="N133" s="85"/>
      <c r="O133" s="2"/>
    </row>
    <row r="134" spans="1:15" ht="15" customHeight="1" x14ac:dyDescent="0.2">
      <c r="A134" s="1">
        <v>48</v>
      </c>
      <c r="B134" s="89">
        <v>54111</v>
      </c>
      <c r="C134" s="90" t="s">
        <v>162</v>
      </c>
      <c r="D134" s="97">
        <f>EGRESOS!E300+EGRESOS!E493+EGRESOS!E1569+EGRESOS!E1656</f>
        <v>0</v>
      </c>
      <c r="E134" s="97">
        <f>EGRESOS!F300+EGRESOS!F493+EGRESOS!F1569+EGRESOS!F1656</f>
        <v>0</v>
      </c>
      <c r="F134" s="97">
        <f>EGRESOS!G300+EGRESOS!G493+EGRESOS!G1569+EGRESOS!G1656</f>
        <v>1060</v>
      </c>
      <c r="G134" s="97">
        <f>EGRESOS!H300+EGRESOS!H493+EGRESOS!H1569+EGRESOS!H1656</f>
        <v>1060</v>
      </c>
      <c r="N134" s="2"/>
      <c r="O134" s="2"/>
    </row>
    <row r="135" spans="1:15" ht="15" customHeight="1" x14ac:dyDescent="0.2">
      <c r="A135" s="1">
        <v>48</v>
      </c>
      <c r="B135" s="89">
        <v>54112</v>
      </c>
      <c r="C135" s="90" t="s">
        <v>42</v>
      </c>
      <c r="D135" s="97">
        <f>EGRESOS!E301+EGRESOS!E494+EGRESOS!E1570+EGRESOS!E1657</f>
        <v>0</v>
      </c>
      <c r="E135" s="97">
        <f>EGRESOS!F301+EGRESOS!F494+EGRESOS!F1570+EGRESOS!F1657</f>
        <v>0</v>
      </c>
      <c r="F135" s="97">
        <f>EGRESOS!G301+EGRESOS!G494+EGRESOS!G1570+EGRESOS!G1657</f>
        <v>1620</v>
      </c>
      <c r="G135" s="97">
        <f>EGRESOS!H301+EGRESOS!H494+EGRESOS!H1570+EGRESOS!H1657</f>
        <v>1620</v>
      </c>
      <c r="N135" s="2"/>
      <c r="O135" s="2"/>
    </row>
    <row r="136" spans="1:15" ht="15" customHeight="1" x14ac:dyDescent="0.2">
      <c r="A136" s="1">
        <v>48</v>
      </c>
      <c r="B136" s="89">
        <v>54113</v>
      </c>
      <c r="C136" s="90" t="s">
        <v>148</v>
      </c>
      <c r="D136" s="97">
        <f>EGRESOS!E302+EGRESOS!E1571</f>
        <v>0</v>
      </c>
      <c r="E136" s="97">
        <f>EGRESOS!F302+EGRESOS!F1571</f>
        <v>0</v>
      </c>
      <c r="F136" s="97">
        <f>EGRESOS!G302+EGRESOS!G1571</f>
        <v>800</v>
      </c>
      <c r="G136" s="97">
        <f>EGRESOS!H302+EGRESOS!H1571</f>
        <v>800</v>
      </c>
      <c r="N136" s="2"/>
      <c r="O136" s="2"/>
    </row>
    <row r="137" spans="1:15" ht="15" customHeight="1" x14ac:dyDescent="0.2">
      <c r="A137" s="1">
        <v>48</v>
      </c>
      <c r="B137" s="89">
        <f>EGRESOS!C303</f>
        <v>54114</v>
      </c>
      <c r="C137" s="90" t="str">
        <f>EGRESOS!D303</f>
        <v>MATERIALES DE OFICINA</v>
      </c>
      <c r="D137" s="97">
        <f>EGRESOS!E303+EGRESOS!E418+EGRESOS!E456+EGRESOS!E495+EGRESOS!E1572+EGRESOS!E1658</f>
        <v>0</v>
      </c>
      <c r="E137" s="97">
        <f>EGRESOS!F303+EGRESOS!F418+EGRESOS!F456+EGRESOS!F495+EGRESOS!F1572+EGRESOS!F1658</f>
        <v>0</v>
      </c>
      <c r="F137" s="97">
        <f>EGRESOS!G303+EGRESOS!G418+EGRESOS!G456+EGRESOS!G495+EGRESOS!G1572+EGRESOS!G1658</f>
        <v>2870</v>
      </c>
      <c r="G137" s="97">
        <f>EGRESOS!H303+EGRESOS!H418+EGRESOS!H456+EGRESOS!H495+EGRESOS!H1572+EGRESOS!H1658</f>
        <v>2870</v>
      </c>
      <c r="N137" s="2"/>
      <c r="O137" s="2"/>
    </row>
    <row r="138" spans="1:15" ht="15" customHeight="1" x14ac:dyDescent="0.2">
      <c r="A138" s="1">
        <v>48</v>
      </c>
      <c r="B138" s="89">
        <f>EGRESOS!C304</f>
        <v>54115</v>
      </c>
      <c r="C138" s="90" t="str">
        <f>EGRESOS!D304</f>
        <v>MATERIALES INFORMATICOS</v>
      </c>
      <c r="D138" s="97">
        <f>EGRESOS!E304+EGRESOS!E419+EGRESOS!E457+EGRESOS!E496+EGRESOS!E1573+EGRESOS!E1659</f>
        <v>0</v>
      </c>
      <c r="E138" s="97">
        <f>EGRESOS!F304+EGRESOS!F419+EGRESOS!F457+EGRESOS!F496+EGRESOS!F1573+EGRESOS!F1659</f>
        <v>0</v>
      </c>
      <c r="F138" s="97">
        <f>EGRESOS!G304+EGRESOS!G419+EGRESOS!G457+EGRESOS!G496+EGRESOS!G1573+EGRESOS!G1659</f>
        <v>6500</v>
      </c>
      <c r="G138" s="97">
        <f>EGRESOS!H304+EGRESOS!H419+EGRESOS!H457+EGRESOS!H496+EGRESOS!H1573+EGRESOS!H1659</f>
        <v>6500</v>
      </c>
      <c r="N138" s="2"/>
      <c r="O138" s="2"/>
    </row>
    <row r="139" spans="1:15" ht="15" customHeight="1" x14ac:dyDescent="0.2">
      <c r="A139" s="1">
        <v>48</v>
      </c>
      <c r="B139" s="89">
        <f>EGRESOS!C305</f>
        <v>54116</v>
      </c>
      <c r="C139" s="90" t="str">
        <f>EGRESOS!D305</f>
        <v>LIBROS, TEXTOS Y UTILES DE ENSEÑANZAS Y PUBLICACIONES</v>
      </c>
      <c r="D139" s="97">
        <f>EGRESOS!E305+EGRESOS!E420+EGRESOS!E458+EGRESOS!E497+EGRESOS!E1574</f>
        <v>0</v>
      </c>
      <c r="E139" s="97">
        <f>EGRESOS!F305+EGRESOS!F420+EGRESOS!F458+EGRESOS!F497+EGRESOS!F1574</f>
        <v>0</v>
      </c>
      <c r="F139" s="97">
        <f>EGRESOS!G305+EGRESOS!G420+EGRESOS!G458+EGRESOS!G497+EGRESOS!G1574</f>
        <v>1000</v>
      </c>
      <c r="G139" s="97">
        <f>EGRESOS!H305+EGRESOS!H420+EGRESOS!H458+EGRESOS!H497+EGRESOS!H1574</f>
        <v>1000</v>
      </c>
      <c r="H139" s="97">
        <f>EGRESOS!I305+EGRESOS!I420+EGRESOS!I458+EGRESOS!I497+EGRESOS!I1574</f>
        <v>0</v>
      </c>
      <c r="I139" s="97">
        <f>EGRESOS!J305+EGRESOS!J420+EGRESOS!J458+EGRESOS!J497+EGRESOS!J1574</f>
        <v>0</v>
      </c>
      <c r="J139" s="97">
        <f>EGRESOS!K305+EGRESOS!K420+EGRESOS!K458+EGRESOS!K497+EGRESOS!K1574</f>
        <v>0</v>
      </c>
      <c r="K139" s="97">
        <f>EGRESOS!L305+EGRESOS!L420+EGRESOS!L458+EGRESOS!L497+EGRESOS!L1574</f>
        <v>0</v>
      </c>
      <c r="L139" s="97">
        <f>EGRESOS!M305+EGRESOS!M420+EGRESOS!M458+EGRESOS!M497+EGRESOS!M1574</f>
        <v>0</v>
      </c>
      <c r="M139" s="102"/>
      <c r="N139" s="2"/>
      <c r="O139" s="2"/>
    </row>
    <row r="140" spans="1:15" ht="15" customHeight="1" x14ac:dyDescent="0.2">
      <c r="A140" s="1">
        <v>48</v>
      </c>
      <c r="B140" s="89">
        <f>EGRESOS!C306</f>
        <v>54118</v>
      </c>
      <c r="C140" s="90" t="str">
        <f>EGRESOS!D306</f>
        <v>HERRAMIENTAS, REPUESTOS Y ACCESORIOS</v>
      </c>
      <c r="D140" s="97">
        <f>EGRESOS!E306+EGRESOS!E421+EGRESOS!E459+EGRESOS!E498+EGRESOS!E1575+EGRESOS!E1660</f>
        <v>0</v>
      </c>
      <c r="E140" s="97">
        <f>EGRESOS!F306+EGRESOS!F421+EGRESOS!F459+EGRESOS!F498+EGRESOS!F1575+EGRESOS!F1660</f>
        <v>0</v>
      </c>
      <c r="F140" s="97">
        <f>EGRESOS!G306+EGRESOS!G421+EGRESOS!G459+EGRESOS!G498+EGRESOS!G1575+EGRESOS!G1660</f>
        <v>2900</v>
      </c>
      <c r="G140" s="97">
        <f>EGRESOS!H306+EGRESOS!H421+EGRESOS!H459+EGRESOS!H498+EGRESOS!H1575+EGRESOS!H1660</f>
        <v>2900</v>
      </c>
      <c r="H140" s="85"/>
      <c r="I140" s="85"/>
      <c r="J140" s="85"/>
      <c r="K140" s="85"/>
      <c r="L140" s="85"/>
      <c r="M140" s="85"/>
      <c r="N140" s="2"/>
      <c r="O140" s="2"/>
    </row>
    <row r="141" spans="1:15" ht="15" customHeight="1" x14ac:dyDescent="0.2">
      <c r="A141" s="1">
        <v>48</v>
      </c>
      <c r="B141" s="89">
        <f>EGRESOS!C307</f>
        <v>54119</v>
      </c>
      <c r="C141" s="90" t="str">
        <f>EGRESOS!D307</f>
        <v>MATERIALES ELECTRICOS</v>
      </c>
      <c r="D141" s="97">
        <f>EGRESOS!E307+EGRESOS!E422+EGRESOS!E460+EGRESOS!E499+EGRESOS!E1576+EGRESOS!E1661</f>
        <v>0</v>
      </c>
      <c r="E141" s="97">
        <f>EGRESOS!F307+EGRESOS!F422+EGRESOS!F460+EGRESOS!F499+EGRESOS!F1576+EGRESOS!F1661</f>
        <v>0</v>
      </c>
      <c r="F141" s="97">
        <f>EGRESOS!G307+EGRESOS!G422+EGRESOS!G460+EGRESOS!G499+EGRESOS!G1576+EGRESOS!G1661</f>
        <v>3005</v>
      </c>
      <c r="G141" s="97">
        <f>EGRESOS!H307+EGRESOS!H422+EGRESOS!H460+EGRESOS!H499+EGRESOS!H1576+EGRESOS!H1661</f>
        <v>3005</v>
      </c>
      <c r="H141" s="85"/>
      <c r="I141" s="85"/>
      <c r="J141" s="85"/>
      <c r="K141" s="85"/>
      <c r="L141" s="85"/>
      <c r="M141" s="85"/>
      <c r="N141" s="2"/>
      <c r="O141" s="2"/>
    </row>
    <row r="142" spans="1:15" ht="15" customHeight="1" x14ac:dyDescent="0.2">
      <c r="A142" s="1">
        <v>48</v>
      </c>
      <c r="B142" s="89">
        <f>EGRESOS!C308</f>
        <v>54199</v>
      </c>
      <c r="C142" s="90" t="str">
        <f>EGRESOS!D308</f>
        <v>BIENES DE USO Y CONSUMO DIVERSOS</v>
      </c>
      <c r="D142" s="97">
        <f>EGRESOS!E308+EGRESOS!E423+EGRESOS!E461+EGRESOS!E500+EGRESOS!E1577</f>
        <v>0</v>
      </c>
      <c r="E142" s="97">
        <f>EGRESOS!F308+EGRESOS!F423+EGRESOS!F461+EGRESOS!F500+EGRESOS!F1577</f>
        <v>0</v>
      </c>
      <c r="F142" s="97">
        <f>EGRESOS!G308+EGRESOS!G423+EGRESOS!G461+EGRESOS!G500+EGRESOS!G1577</f>
        <v>5300</v>
      </c>
      <c r="G142" s="97">
        <f>EGRESOS!H308+EGRESOS!H423+EGRESOS!H461+EGRESOS!H500+EGRESOS!H1577</f>
        <v>5300</v>
      </c>
      <c r="N142" s="2"/>
      <c r="O142" s="2"/>
    </row>
    <row r="143" spans="1:15" ht="15" customHeight="1" x14ac:dyDescent="0.2">
      <c r="A143" s="1">
        <v>48</v>
      </c>
      <c r="B143" s="89">
        <v>54202</v>
      </c>
      <c r="C143" s="90" t="s">
        <v>537</v>
      </c>
      <c r="D143" s="97">
        <f>EGRESOS!E309+EGRESOS!E425+EGRESOS!E463+EGRESOS!E502</f>
        <v>0</v>
      </c>
      <c r="E143" s="97">
        <f>EGRESOS!F309+EGRESOS!F425+EGRESOS!F463+EGRESOS!F502</f>
        <v>0</v>
      </c>
      <c r="F143" s="97">
        <f>EGRESOS!G309+EGRESOS!G425+EGRESOS!G463+EGRESOS!G502</f>
        <v>500</v>
      </c>
      <c r="G143" s="97">
        <f>EGRESOS!H309+EGRESOS!H425+EGRESOS!H463+EGRESOS!H502</f>
        <v>500</v>
      </c>
      <c r="N143" s="2"/>
      <c r="O143" s="2"/>
    </row>
    <row r="144" spans="1:15" ht="15" customHeight="1" x14ac:dyDescent="0.2">
      <c r="A144" s="1">
        <v>48</v>
      </c>
      <c r="B144" s="89">
        <f>EGRESOS!C1662</f>
        <v>54301</v>
      </c>
      <c r="C144" s="90" t="str">
        <f>EGRESOS!D1662</f>
        <v>MANTENIMIENTO Y REPARACION DE BIENES MUEBLES</v>
      </c>
      <c r="D144" s="103">
        <f>EGRESOS!E310+EGRESOS!E427+EGRESOS!E465+EGRESOS!E504+EGRESOS!E1578+EGRESOS!E1662</f>
        <v>0</v>
      </c>
      <c r="E144" s="103">
        <f>EGRESOS!F310+EGRESOS!F427+EGRESOS!F465+EGRESOS!F504+EGRESOS!F1578+EGRESOS!F1662</f>
        <v>0</v>
      </c>
      <c r="F144" s="103">
        <f>EGRESOS!G310+EGRESOS!G427+EGRESOS!G465+EGRESOS!G504+EGRESOS!G1578+EGRESOS!G1662</f>
        <v>3300</v>
      </c>
      <c r="G144" s="103">
        <f>EGRESOS!H310+EGRESOS!H427+EGRESOS!H465+EGRESOS!H504+EGRESOS!H1578+EGRESOS!H1662</f>
        <v>3300</v>
      </c>
      <c r="H144" s="103">
        <f>EGRESOS!I310+EGRESOS!I1578+EGRESOS!I1662</f>
        <v>0</v>
      </c>
      <c r="I144" s="103">
        <f>EGRESOS!J310+EGRESOS!J1578+EGRESOS!J1662</f>
        <v>0</v>
      </c>
      <c r="J144" s="103">
        <f>EGRESOS!K310+EGRESOS!K1578+EGRESOS!K1662</f>
        <v>0</v>
      </c>
      <c r="K144" s="103">
        <f>EGRESOS!L310+EGRESOS!L1578+EGRESOS!L1662</f>
        <v>0</v>
      </c>
      <c r="L144" s="103">
        <f>EGRESOS!M310+EGRESOS!M1578+EGRESOS!M1662</f>
        <v>0</v>
      </c>
      <c r="M144" s="104"/>
      <c r="N144" s="2"/>
      <c r="O144" s="2"/>
    </row>
    <row r="145" spans="1:15" ht="15" customHeight="1" x14ac:dyDescent="0.2">
      <c r="A145" s="1">
        <v>48</v>
      </c>
      <c r="B145" s="89">
        <v>54302</v>
      </c>
      <c r="C145" s="90" t="s">
        <v>440</v>
      </c>
      <c r="D145" s="103">
        <f>EGRESOS!E428+EGRESOS!E466+EGRESOS!E505</f>
        <v>0</v>
      </c>
      <c r="E145" s="103">
        <f>EGRESOS!F428+EGRESOS!F466+EGRESOS!F505</f>
        <v>0</v>
      </c>
      <c r="F145" s="103">
        <f>EGRESOS!G428+EGRESOS!G466+EGRESOS!G505</f>
        <v>1000</v>
      </c>
      <c r="G145" s="103">
        <f>EGRESOS!H428+EGRESOS!H466+EGRESOS!H505</f>
        <v>1000</v>
      </c>
      <c r="H145" s="105"/>
      <c r="I145" s="105"/>
      <c r="J145" s="105"/>
      <c r="K145" s="105"/>
      <c r="L145" s="105"/>
      <c r="M145" s="105"/>
      <c r="N145" s="2"/>
      <c r="O145" s="2"/>
    </row>
    <row r="146" spans="1:15" ht="15" customHeight="1" x14ac:dyDescent="0.2">
      <c r="A146" s="1">
        <v>48</v>
      </c>
      <c r="B146" s="89">
        <v>54313</v>
      </c>
      <c r="C146" s="62" t="s">
        <v>438</v>
      </c>
      <c r="D146" s="97">
        <f>EGRESOS!E1579</f>
        <v>0</v>
      </c>
      <c r="E146" s="97">
        <f>EGRESOS!F1579</f>
        <v>0</v>
      </c>
      <c r="F146" s="97">
        <f>EGRESOS!G1579</f>
        <v>500</v>
      </c>
      <c r="G146" s="97">
        <f>EGRESOS!H1579</f>
        <v>500</v>
      </c>
      <c r="N146" s="2"/>
      <c r="O146" s="2"/>
    </row>
    <row r="147" spans="1:15" ht="15" customHeight="1" x14ac:dyDescent="0.2">
      <c r="A147" s="1">
        <v>48</v>
      </c>
      <c r="B147" s="106">
        <v>54314</v>
      </c>
      <c r="C147" s="107" t="s">
        <v>783</v>
      </c>
      <c r="D147" s="103">
        <f>EGRESOS!E1580</f>
        <v>0</v>
      </c>
      <c r="E147" s="103">
        <f>EGRESOS!F1580</f>
        <v>0</v>
      </c>
      <c r="F147" s="103">
        <f>EGRESOS!G1580</f>
        <v>21500</v>
      </c>
      <c r="G147" s="103">
        <f>EGRESOS!H1580</f>
        <v>21500</v>
      </c>
      <c r="H147" s="105"/>
      <c r="I147" s="105"/>
      <c r="J147" s="105"/>
      <c r="K147" s="105"/>
      <c r="L147" s="105"/>
      <c r="M147" s="105"/>
      <c r="N147" s="2"/>
      <c r="O147" s="2"/>
    </row>
    <row r="148" spans="1:15" ht="15" customHeight="1" x14ac:dyDescent="0.2">
      <c r="A148" s="1">
        <v>48</v>
      </c>
      <c r="B148" s="89">
        <v>54399</v>
      </c>
      <c r="C148" s="62" t="s">
        <v>553</v>
      </c>
      <c r="D148" s="97">
        <f>EGRESOS!E312+EGRESOS!E1581+EGRESOS!E1663</f>
        <v>0</v>
      </c>
      <c r="E148" s="97">
        <f>EGRESOS!F312+EGRESOS!F1581+EGRESOS!F1663</f>
        <v>0</v>
      </c>
      <c r="F148" s="97">
        <f>EGRESOS!G312+EGRESOS!G1581+EGRESOS!G1663</f>
        <v>2550</v>
      </c>
      <c r="G148" s="97">
        <f>EGRESOS!H312+EGRESOS!H1581+EGRESOS!H1663</f>
        <v>2550</v>
      </c>
      <c r="N148" s="2"/>
      <c r="O148" s="2"/>
    </row>
    <row r="149" spans="1:15" ht="15" customHeight="1" x14ac:dyDescent="0.2">
      <c r="A149" s="1">
        <v>48</v>
      </c>
      <c r="B149" s="89">
        <f>EGRESOS!C313</f>
        <v>54401</v>
      </c>
      <c r="C149" s="90" t="str">
        <f>EGRESOS!D313</f>
        <v>PASAJES AL INTERIOR</v>
      </c>
      <c r="D149" s="97">
        <f>EGRESOS!E313+EGRESOS!E430+EGRESOS!E468+EGRESOS!E507+EGRESOS!E1582+EGRESOS!E1664</f>
        <v>0</v>
      </c>
      <c r="E149" s="97">
        <f>EGRESOS!F313+EGRESOS!F430+EGRESOS!F468+EGRESOS!F507+EGRESOS!F1582+EGRESOS!F1664</f>
        <v>0</v>
      </c>
      <c r="F149" s="97">
        <f>EGRESOS!G313+EGRESOS!G430+EGRESOS!G468+EGRESOS!G507+EGRESOS!G1582+EGRESOS!G1664</f>
        <v>3000</v>
      </c>
      <c r="G149" s="97">
        <f>EGRESOS!H313+EGRESOS!H430+EGRESOS!H468+EGRESOS!H507+EGRESOS!H1582+EGRESOS!H1664</f>
        <v>3000</v>
      </c>
      <c r="N149" s="2"/>
      <c r="O149" s="2"/>
    </row>
    <row r="150" spans="1:15" ht="15" customHeight="1" x14ac:dyDescent="0.2">
      <c r="A150" s="1">
        <v>48</v>
      </c>
      <c r="B150" s="89">
        <v>54505</v>
      </c>
      <c r="C150" s="107" t="s">
        <v>40</v>
      </c>
      <c r="D150" s="97">
        <f>EGRESOS!E1583+EGRESOS!E1665</f>
        <v>0</v>
      </c>
      <c r="E150" s="97">
        <f>EGRESOS!F1583+EGRESOS!F1665</f>
        <v>0</v>
      </c>
      <c r="F150" s="97">
        <f>EGRESOS!G1583+EGRESOS!G1665</f>
        <v>10200</v>
      </c>
      <c r="G150" s="97">
        <f>EGRESOS!H1583+EGRESOS!H1665</f>
        <v>10200</v>
      </c>
      <c r="N150" s="2"/>
      <c r="O150" s="2"/>
    </row>
    <row r="151" spans="1:15" ht="15" customHeight="1" x14ac:dyDescent="0.2">
      <c r="A151" s="1">
        <v>48</v>
      </c>
      <c r="B151" s="89">
        <v>54507</v>
      </c>
      <c r="C151" s="90" t="s">
        <v>294</v>
      </c>
      <c r="D151" s="97">
        <f>EGRESOS!E1584+EGRESOS!E1666</f>
        <v>0</v>
      </c>
      <c r="E151" s="97">
        <f>EGRESOS!F1584+EGRESOS!F1666</f>
        <v>0</v>
      </c>
      <c r="F151" s="97">
        <f>EGRESOS!G1584+EGRESOS!G1666</f>
        <v>5000</v>
      </c>
      <c r="G151" s="97">
        <f>EGRESOS!H1584+EGRESOS!H1666</f>
        <v>5000</v>
      </c>
      <c r="N151" s="2"/>
      <c r="O151" s="2"/>
    </row>
    <row r="152" spans="1:15" ht="15" customHeight="1" x14ac:dyDescent="0.2">
      <c r="A152" s="1">
        <v>48</v>
      </c>
      <c r="B152" s="89">
        <v>55601</v>
      </c>
      <c r="C152" s="107" t="s">
        <v>191</v>
      </c>
      <c r="D152" s="97">
        <f>EGRESOS!E1585</f>
        <v>0</v>
      </c>
      <c r="E152" s="97">
        <f>EGRESOS!F1585</f>
        <v>0</v>
      </c>
      <c r="F152" s="97">
        <f>EGRESOS!G1585</f>
        <v>15000</v>
      </c>
      <c r="G152" s="97">
        <f>EGRESOS!H1585</f>
        <v>15000</v>
      </c>
      <c r="N152" s="2"/>
      <c r="O152" s="2"/>
    </row>
    <row r="153" spans="1:15" ht="15" customHeight="1" x14ac:dyDescent="0.2">
      <c r="A153" s="1">
        <v>48</v>
      </c>
      <c r="B153" s="89">
        <f>EGRESOS!C314</f>
        <v>61101</v>
      </c>
      <c r="C153" s="90" t="str">
        <f>EGRESOS!D314</f>
        <v xml:space="preserve">MOBILIARIO </v>
      </c>
      <c r="D153" s="97">
        <f>EGRESOS!E314+EGRESOS!E431+EGRESOS!E469+EGRESOS!E508+EGRESOS!E1586+EGRESOS!E1667</f>
        <v>0</v>
      </c>
      <c r="E153" s="97">
        <f>EGRESOS!F314+EGRESOS!F431+EGRESOS!F469+EGRESOS!F508+EGRESOS!F1586+EGRESOS!F1667</f>
        <v>0</v>
      </c>
      <c r="F153" s="97">
        <f>EGRESOS!G314+EGRESOS!G431+EGRESOS!G469+EGRESOS!G508+EGRESOS!G1586+EGRESOS!G1667</f>
        <v>7550</v>
      </c>
      <c r="G153" s="97">
        <f>EGRESOS!H314+EGRESOS!H431+EGRESOS!H469+EGRESOS!H508+EGRESOS!H1586+EGRESOS!H1667</f>
        <v>7550</v>
      </c>
      <c r="H153" s="97">
        <f>EGRESOS!I314+EGRESOS!I431+EGRESOS!I469+EGRESOS!I508+EGRESOS!I1586+EGRESOS!I1667</f>
        <v>0</v>
      </c>
      <c r="I153" s="97">
        <f>EGRESOS!J314+EGRESOS!J431+EGRESOS!J469+EGRESOS!J508+EGRESOS!J1586+EGRESOS!J1667</f>
        <v>0</v>
      </c>
      <c r="J153" s="97">
        <f>EGRESOS!K314+EGRESOS!K431+EGRESOS!K469+EGRESOS!K508+EGRESOS!K1586+EGRESOS!K1667</f>
        <v>0</v>
      </c>
      <c r="K153" s="97">
        <f>EGRESOS!L314+EGRESOS!L431+EGRESOS!L469+EGRESOS!L508+EGRESOS!L1586+EGRESOS!L1667</f>
        <v>0</v>
      </c>
      <c r="L153" s="97">
        <f>EGRESOS!M314+EGRESOS!M431+EGRESOS!M469+EGRESOS!M508+EGRESOS!M1586+EGRESOS!M1667</f>
        <v>0</v>
      </c>
      <c r="M153" s="102"/>
      <c r="N153" s="2"/>
      <c r="O153" s="2"/>
    </row>
    <row r="154" spans="1:15" ht="15" customHeight="1" x14ac:dyDescent="0.2">
      <c r="A154" s="1">
        <v>48</v>
      </c>
      <c r="B154" s="89">
        <f>EGRESOS!C315</f>
        <v>61102</v>
      </c>
      <c r="C154" s="90" t="str">
        <f>EGRESOS!D315</f>
        <v>MAQUINARIA Y EQUIPO</v>
      </c>
      <c r="D154" s="97">
        <f>EGRESOS!E315+EGRESOS!E432+EGRESOS!E470+EGRESOS!E509+EGRESOS!E1587+EGRESOS!E1668</f>
        <v>0</v>
      </c>
      <c r="E154" s="97">
        <f>EGRESOS!F315+EGRESOS!F432+EGRESOS!F470+EGRESOS!F509+EGRESOS!F1587+EGRESOS!F1668</f>
        <v>0</v>
      </c>
      <c r="F154" s="97">
        <f>EGRESOS!G315+EGRESOS!G432+EGRESOS!G470+EGRESOS!G509+EGRESOS!G1587+EGRESOS!G1668</f>
        <v>2460</v>
      </c>
      <c r="G154" s="97">
        <f>EGRESOS!H315+EGRESOS!H432+EGRESOS!H470+EGRESOS!H509+EGRESOS!H1587+EGRESOS!H1668</f>
        <v>2460</v>
      </c>
      <c r="N154" s="2"/>
      <c r="O154" s="2"/>
    </row>
    <row r="155" spans="1:15" ht="15" customHeight="1" x14ac:dyDescent="0.2">
      <c r="A155" s="1">
        <v>48</v>
      </c>
      <c r="B155" s="89">
        <f>EGRESOS!C316</f>
        <v>61104</v>
      </c>
      <c r="C155" s="90" t="str">
        <f>EGRESOS!D316</f>
        <v>EQUIPOS INFORMATICOS</v>
      </c>
      <c r="D155" s="97">
        <f>EGRESOS!E316+EGRESOS!E433+EGRESOS!E471+EGRESOS!E510+EGRESOS!E1588+EGRESOS!E1669</f>
        <v>0</v>
      </c>
      <c r="E155" s="97">
        <f>EGRESOS!F316+EGRESOS!F433+EGRESOS!F471+EGRESOS!F510+EGRESOS!F1588+EGRESOS!F1669</f>
        <v>0</v>
      </c>
      <c r="F155" s="97">
        <f>EGRESOS!G316+EGRESOS!G433+EGRESOS!G471+EGRESOS!G510+EGRESOS!G1588+EGRESOS!G1669</f>
        <v>18100</v>
      </c>
      <c r="G155" s="97">
        <f>EGRESOS!H316+EGRESOS!H433+EGRESOS!H471+EGRESOS!H510+EGRESOS!H1588+EGRESOS!H1669</f>
        <v>18100</v>
      </c>
      <c r="N155" s="2"/>
      <c r="O155" s="2"/>
    </row>
    <row r="156" spans="1:15" ht="15" customHeight="1" x14ac:dyDescent="0.2">
      <c r="A156" s="1">
        <v>48</v>
      </c>
      <c r="B156" s="89">
        <v>61108</v>
      </c>
      <c r="C156" s="90" t="s">
        <v>554</v>
      </c>
      <c r="D156" s="97">
        <f>EGRESOS!E1670</f>
        <v>0</v>
      </c>
      <c r="E156" s="97">
        <f>EGRESOS!F1670</f>
        <v>0</v>
      </c>
      <c r="F156" s="97">
        <f>EGRESOS!G1670</f>
        <v>6000</v>
      </c>
      <c r="G156" s="97">
        <f>EGRESOS!H1670</f>
        <v>6000</v>
      </c>
      <c r="N156" s="2"/>
      <c r="O156" s="2"/>
    </row>
    <row r="157" spans="1:15" ht="15" customHeight="1" x14ac:dyDescent="0.2">
      <c r="A157" s="1">
        <v>48</v>
      </c>
      <c r="B157" s="89">
        <v>61199</v>
      </c>
      <c r="C157" s="90" t="s">
        <v>135</v>
      </c>
      <c r="D157" s="97">
        <f>EGRESOS!E434+EGRESOS!E472+EGRESOS!E511+EGRESOS!E1589</f>
        <v>0</v>
      </c>
      <c r="E157" s="97">
        <f>EGRESOS!F434+EGRESOS!F472+EGRESOS!F511+EGRESOS!F1589</f>
        <v>0</v>
      </c>
      <c r="F157" s="97">
        <f>EGRESOS!G434+EGRESOS!G472+EGRESOS!G511+EGRESOS!G1589</f>
        <v>500</v>
      </c>
      <c r="G157" s="97">
        <f>EGRESOS!H434+EGRESOS!H472+EGRESOS!H511+EGRESOS!H1589</f>
        <v>500</v>
      </c>
      <c r="N157" s="2"/>
      <c r="O157" s="2"/>
    </row>
    <row r="158" spans="1:15" ht="15" customHeight="1" x14ac:dyDescent="0.2">
      <c r="A158" s="1">
        <v>48</v>
      </c>
      <c r="B158" s="89">
        <v>61403</v>
      </c>
      <c r="C158" s="90" t="s">
        <v>54</v>
      </c>
      <c r="D158" s="97">
        <f>EGRESOS!E1671</f>
        <v>0</v>
      </c>
      <c r="E158" s="97">
        <f>EGRESOS!F1671</f>
        <v>0</v>
      </c>
      <c r="F158" s="97">
        <f>EGRESOS!G1671</f>
        <v>4000</v>
      </c>
      <c r="G158" s="97">
        <f>EGRESOS!H1671</f>
        <v>4000</v>
      </c>
      <c r="N158" s="2"/>
      <c r="O158" s="2"/>
    </row>
    <row r="159" spans="1:15" ht="15" customHeight="1" x14ac:dyDescent="0.2">
      <c r="A159" s="1" t="s">
        <v>532</v>
      </c>
      <c r="B159" s="89"/>
      <c r="C159" s="91" t="s">
        <v>14</v>
      </c>
      <c r="D159" s="98">
        <f>SUM(D121:D155)</f>
        <v>0</v>
      </c>
      <c r="E159" s="98">
        <f>SUM(E121:E155)</f>
        <v>0</v>
      </c>
      <c r="F159" s="98">
        <f>SUM(F121:F158)</f>
        <v>370922.20999999996</v>
      </c>
      <c r="G159" s="98">
        <f>SUM(G121:G158)</f>
        <v>370922.20999999996</v>
      </c>
      <c r="M159" s="1">
        <f>+EGRESOS!O2357</f>
        <v>611849.8899999999</v>
      </c>
      <c r="N159" s="2">
        <f>+M159-G159</f>
        <v>240927.67999999993</v>
      </c>
      <c r="O159" s="2"/>
    </row>
    <row r="160" spans="1:15" ht="15" customHeight="1" x14ac:dyDescent="0.2">
      <c r="A160" s="1" t="s">
        <v>532</v>
      </c>
      <c r="B160" s="7"/>
      <c r="C160" s="7"/>
      <c r="D160" s="85"/>
      <c r="E160" s="85"/>
      <c r="F160" s="85"/>
      <c r="G160" s="86"/>
    </row>
    <row r="161" spans="1:15" ht="15" customHeight="1" x14ac:dyDescent="0.2">
      <c r="A161" s="1" t="s">
        <v>532</v>
      </c>
      <c r="B161" s="7"/>
      <c r="C161" s="7"/>
      <c r="D161" s="85"/>
      <c r="E161" s="85"/>
      <c r="F161" s="85"/>
      <c r="G161" s="86"/>
    </row>
    <row r="162" spans="1:15" ht="15" customHeight="1" x14ac:dyDescent="0.2">
      <c r="A162" s="1" t="s">
        <v>387</v>
      </c>
      <c r="B162" s="7"/>
      <c r="C162" s="7"/>
      <c r="D162" s="85"/>
      <c r="E162" s="85"/>
      <c r="F162" s="85"/>
      <c r="G162" s="86"/>
    </row>
    <row r="163" spans="1:15" ht="15" customHeight="1" x14ac:dyDescent="0.2">
      <c r="A163" s="1" t="s">
        <v>387</v>
      </c>
      <c r="B163" s="404" t="s">
        <v>119</v>
      </c>
      <c r="C163" s="404"/>
      <c r="D163" s="404"/>
      <c r="E163" s="404"/>
      <c r="F163" s="404"/>
      <c r="G163" s="404"/>
    </row>
    <row r="164" spans="1:15" ht="15" customHeight="1" x14ac:dyDescent="0.2">
      <c r="A164" s="1" t="s">
        <v>387</v>
      </c>
      <c r="B164" s="414" t="str">
        <f>+B3</f>
        <v>PRESUPUESTO AÑO 2024</v>
      </c>
      <c r="C164" s="414"/>
      <c r="D164" s="414"/>
      <c r="E164" s="414"/>
      <c r="F164" s="414"/>
      <c r="G164" s="414"/>
    </row>
    <row r="165" spans="1:15" ht="15" customHeight="1" x14ac:dyDescent="0.2">
      <c r="A165" s="1" t="s">
        <v>387</v>
      </c>
      <c r="B165" s="414" t="str">
        <f>B2</f>
        <v>PRESUPUESTO EXTRA CONTABLE</v>
      </c>
      <c r="C165" s="414"/>
      <c r="D165" s="414"/>
      <c r="E165" s="414"/>
      <c r="F165" s="414"/>
      <c r="G165" s="414"/>
    </row>
    <row r="166" spans="1:15" ht="15" customHeight="1" x14ac:dyDescent="0.2">
      <c r="A166" s="1" t="s">
        <v>387</v>
      </c>
      <c r="B166" s="404" t="s">
        <v>117</v>
      </c>
      <c r="C166" s="404"/>
      <c r="D166" s="404"/>
      <c r="E166" s="404"/>
      <c r="F166" s="404"/>
      <c r="G166" s="404"/>
    </row>
    <row r="167" spans="1:15" ht="15" customHeight="1" x14ac:dyDescent="0.2">
      <c r="A167" s="1" t="s">
        <v>387</v>
      </c>
      <c r="B167" s="404" t="s">
        <v>357</v>
      </c>
      <c r="C167" s="404"/>
      <c r="D167" s="404"/>
      <c r="E167" s="404"/>
      <c r="F167" s="404"/>
      <c r="G167" s="404"/>
    </row>
    <row r="168" spans="1:15" ht="15" customHeight="1" x14ac:dyDescent="0.2">
      <c r="A168" s="1" t="s">
        <v>387</v>
      </c>
      <c r="B168" s="415" t="s">
        <v>1</v>
      </c>
      <c r="C168" s="87"/>
      <c r="D168" s="71" t="s">
        <v>56</v>
      </c>
      <c r="E168" s="71" t="str">
        <f>E6</f>
        <v>REFORMA</v>
      </c>
      <c r="F168" s="71" t="s">
        <v>56</v>
      </c>
      <c r="G168" s="88" t="str">
        <f>$G$6</f>
        <v>TOTAL 2024</v>
      </c>
      <c r="H168" s="72" t="s">
        <v>285</v>
      </c>
      <c r="I168" s="72"/>
      <c r="J168" s="72"/>
      <c r="K168" s="72"/>
      <c r="L168" s="72"/>
      <c r="M168" s="108"/>
    </row>
    <row r="169" spans="1:15" ht="15" customHeight="1" x14ac:dyDescent="0.2">
      <c r="A169" s="1" t="s">
        <v>387</v>
      </c>
      <c r="B169" s="416"/>
      <c r="C169" s="72" t="s">
        <v>0</v>
      </c>
      <c r="D169" s="71" t="s">
        <v>139</v>
      </c>
      <c r="E169" s="71"/>
      <c r="F169" s="71" t="s">
        <v>140</v>
      </c>
      <c r="G169" s="71"/>
      <c r="H169" s="72" t="s">
        <v>286</v>
      </c>
      <c r="I169" s="72" t="s">
        <v>290</v>
      </c>
      <c r="J169" s="72" t="s">
        <v>291</v>
      </c>
      <c r="K169" s="72" t="s">
        <v>293</v>
      </c>
      <c r="L169" s="72" t="s">
        <v>292</v>
      </c>
    </row>
    <row r="170" spans="1:15" ht="15" customHeight="1" x14ac:dyDescent="0.2">
      <c r="A170" s="1">
        <v>6</v>
      </c>
      <c r="B170" s="89">
        <f>EGRESOS!C329</f>
        <v>51101</v>
      </c>
      <c r="C170" s="90" t="str">
        <f>EGRESOS!D329</f>
        <v>SUELDOS</v>
      </c>
      <c r="D170" s="91">
        <f>EGRESOS!E329+EGRESOS!E370+EGRESOS!E857+EGRESOS!E890+EGRESOS!E927+EGRESOS!E962+EGRESOS!E1189+EGRESOS!E1231+EGRESOS!E1306+EGRESOS!E1759+EGRESOS!E2069</f>
        <v>0</v>
      </c>
      <c r="E170" s="91">
        <f>EGRESOS!F329+EGRESOS!F370+EGRESOS!F857+EGRESOS!F890+EGRESOS!F927+EGRESOS!F962+EGRESOS!F1189+EGRESOS!F1231+EGRESOS!F1306+EGRESOS!F1759+EGRESOS!F2069</f>
        <v>0</v>
      </c>
      <c r="F170" s="91">
        <f>EGRESOS!G329+EGRESOS!G370+EGRESOS!G857+EGRESOS!G890+EGRESOS!G927+EGRESOS!G962+EGRESOS!G1189+EGRESOS!G1231+EGRESOS!G1306+EGRESOS!G1759+EGRESOS!G2069</f>
        <v>419688</v>
      </c>
      <c r="G170" s="91">
        <f>EGRESOS!H329+EGRESOS!H370+EGRESOS!H857+EGRESOS!H890+EGRESOS!H927+EGRESOS!H962+EGRESOS!H1189+EGRESOS!H1231+EGRESOS!H1306+EGRESOS!H1759+EGRESOS!H2069</f>
        <v>419688</v>
      </c>
      <c r="H170" s="30"/>
      <c r="I170" s="30"/>
      <c r="J170" s="30"/>
      <c r="K170" s="30"/>
      <c r="L170" s="30"/>
      <c r="N170" s="109"/>
      <c r="O170" s="2"/>
    </row>
    <row r="171" spans="1:15" ht="15" customHeight="1" x14ac:dyDescent="0.2">
      <c r="A171" s="1">
        <v>6</v>
      </c>
      <c r="B171" s="89">
        <f>EGRESOS!C330</f>
        <v>51103</v>
      </c>
      <c r="C171" s="90" t="str">
        <f>EGRESOS!D330</f>
        <v>AGUINALDO</v>
      </c>
      <c r="D171" s="91">
        <f>EGRESOS!E330+EGRESOS!E371+EGRESOS!E858+EGRESOS!E891+EGRESOS!E928+EGRESOS!E963+EGRESOS!E1190+EGRESOS!E1232+EGRESOS!E1307+EGRESOS!E1760+EGRESOS!E2070</f>
        <v>0</v>
      </c>
      <c r="E171" s="91">
        <f>EGRESOS!F330+EGRESOS!F371+EGRESOS!F858+EGRESOS!F891+EGRESOS!F928+EGRESOS!F963+EGRESOS!F1190+EGRESOS!F1232+EGRESOS!F1307+EGRESOS!F1760+EGRESOS!F2070</f>
        <v>0</v>
      </c>
      <c r="F171" s="91">
        <f>EGRESOS!G330+EGRESOS!G371+EGRESOS!G858+EGRESOS!G891+EGRESOS!G928+EGRESOS!G963+EGRESOS!G1190+EGRESOS!G1232+EGRESOS!G1307+EGRESOS!G1760+EGRESOS!G2070</f>
        <v>34974</v>
      </c>
      <c r="G171" s="91">
        <f>EGRESOS!H330+EGRESOS!H371+EGRESOS!H858+EGRESOS!H891+EGRESOS!H928+EGRESOS!H963+EGRESOS!H1190+EGRESOS!H1232+EGRESOS!H1307+EGRESOS!H1760+EGRESOS!H2070</f>
        <v>34974</v>
      </c>
      <c r="H171" s="30"/>
      <c r="I171" s="30"/>
      <c r="J171" s="30"/>
      <c r="K171" s="30"/>
      <c r="L171" s="30"/>
      <c r="N171" s="109"/>
      <c r="O171" s="2"/>
    </row>
    <row r="172" spans="1:15" ht="15" customHeight="1" x14ac:dyDescent="0.2">
      <c r="A172" s="1">
        <v>6</v>
      </c>
      <c r="B172" s="89">
        <v>51107</v>
      </c>
      <c r="C172" s="90" t="s">
        <v>34</v>
      </c>
      <c r="D172" s="91">
        <f>EGRESOS!E331+EGRESOS!E372+EGRESOS!E859+EGRESOS!E892+EGRESOS!E929+EGRESOS!E964+EGRESOS!E1191+EGRESOS!E1233+EGRESOS!E1308+EGRESOS!E1761+EGRESOS!E2071</f>
        <v>0</v>
      </c>
      <c r="E172" s="91">
        <f>EGRESOS!F331+EGRESOS!F372+EGRESOS!F859+EGRESOS!F892+EGRESOS!F929+EGRESOS!F964+EGRESOS!F1191+EGRESOS!F1233+EGRESOS!F1308+EGRESOS!F1761+EGRESOS!F2071</f>
        <v>0</v>
      </c>
      <c r="F172" s="91">
        <f>EGRESOS!G331+EGRESOS!G372+EGRESOS!G859+EGRESOS!G892+EGRESOS!G929+EGRESOS!G964+EGRESOS!G1191+EGRESOS!G1233+EGRESOS!G1308+EGRESOS!G1761+EGRESOS!G2071</f>
        <v>27000</v>
      </c>
      <c r="G172" s="91">
        <f>EGRESOS!H331+EGRESOS!H372+EGRESOS!H859+EGRESOS!H892+EGRESOS!H929+EGRESOS!H964+EGRESOS!H1191+EGRESOS!H1233+EGRESOS!H1308+EGRESOS!H1761+EGRESOS!H2071</f>
        <v>27000</v>
      </c>
      <c r="H172" s="30"/>
      <c r="I172" s="30"/>
      <c r="J172" s="30"/>
      <c r="K172" s="30"/>
      <c r="L172" s="30"/>
      <c r="N172" s="109"/>
      <c r="O172" s="2"/>
    </row>
    <row r="173" spans="1:15" ht="15" customHeight="1" x14ac:dyDescent="0.2">
      <c r="A173" s="1">
        <v>6</v>
      </c>
      <c r="B173" s="89">
        <f>EGRESOS!C332</f>
        <v>51401</v>
      </c>
      <c r="C173" s="90" t="str">
        <f>EGRESOS!D332</f>
        <v>POR REMUN. PERM. (INPEP,  ISSS, INSAFORP)</v>
      </c>
      <c r="D173" s="91">
        <f>EGRESOS!E332+EGRESOS!E373+EGRESOS!E860+EGRESOS!E893+EGRESOS!E930+EGRESOS!E965+EGRESOS!E1192+EGRESOS!E1234+EGRESOS!E1310+EGRESOS!E1762+EGRESOS!E2072</f>
        <v>0</v>
      </c>
      <c r="E173" s="91">
        <f>EGRESOS!F332+EGRESOS!F373+EGRESOS!F860+EGRESOS!F893+EGRESOS!F930+EGRESOS!F965+EGRESOS!F1192+EGRESOS!F1234+EGRESOS!F1310+EGRESOS!F1762+EGRESOS!F2072</f>
        <v>0</v>
      </c>
      <c r="F173" s="91">
        <f>EGRESOS!G332+EGRESOS!G373+EGRESOS!G860+EGRESOS!G893+EGRESOS!G930+EGRESOS!G965+EGRESOS!G1192+EGRESOS!G1234+EGRESOS!G1310+EGRESOS!G1762+EGRESOS!G2072</f>
        <v>34469.880000000005</v>
      </c>
      <c r="G173" s="91">
        <f>EGRESOS!H332+EGRESOS!H373+EGRESOS!H860+EGRESOS!H893+EGRESOS!H930+EGRESOS!H965+EGRESOS!H1192+EGRESOS!H1234+EGRESOS!H1310+EGRESOS!H1762+EGRESOS!H2072</f>
        <v>34469.880000000005</v>
      </c>
      <c r="H173" s="30"/>
      <c r="I173" s="30"/>
      <c r="J173" s="30"/>
      <c r="K173" s="30"/>
      <c r="L173" s="30"/>
      <c r="N173" s="109"/>
      <c r="O173" s="2"/>
    </row>
    <row r="174" spans="1:15" ht="15" customHeight="1" x14ac:dyDescent="0.2">
      <c r="A174" s="1">
        <v>6</v>
      </c>
      <c r="B174" s="89">
        <f>EGRESOS!C333</f>
        <v>51501</v>
      </c>
      <c r="C174" s="90" t="str">
        <f>EGRESOS!D333</f>
        <v>POR REMUNERACIONES PERMANENTES (AFP)</v>
      </c>
      <c r="D174" s="91">
        <f>EGRESOS!E333+EGRESOS!E374+EGRESOS!E861+EGRESOS!E894+EGRESOS!E931+EGRESOS!E966+EGRESOS!E1193+EGRESOS!E1235+EGRESOS!E1311+EGRESOS!E1763+EGRESOS!E2073</f>
        <v>0</v>
      </c>
      <c r="E174" s="91">
        <f>EGRESOS!F333+EGRESOS!F374+EGRESOS!F861+EGRESOS!F894+EGRESOS!F931+EGRESOS!F966+EGRESOS!F1193+EGRESOS!F1235+EGRESOS!F1311+EGRESOS!F1763+EGRESOS!F2073</f>
        <v>0</v>
      </c>
      <c r="F174" s="91">
        <f>EGRESOS!G333+EGRESOS!G374+EGRESOS!G861+EGRESOS!G894+EGRESOS!G931+EGRESOS!G966+EGRESOS!G1193+EGRESOS!G1235+EGRESOS!G1311+EGRESOS!G1763+EGRESOS!G2073</f>
        <v>36297.449999999997</v>
      </c>
      <c r="G174" s="91">
        <f>EGRESOS!H333+EGRESOS!H374+EGRESOS!H861+EGRESOS!H894+EGRESOS!H931+EGRESOS!H966+EGRESOS!H1193+EGRESOS!H1235+EGRESOS!H1311+EGRESOS!H1763+EGRESOS!H2073</f>
        <v>36297.449999999997</v>
      </c>
      <c r="H174" s="30"/>
      <c r="I174" s="30"/>
      <c r="J174" s="30"/>
      <c r="K174" s="30"/>
      <c r="L174" s="30"/>
      <c r="N174" s="109"/>
      <c r="O174" s="2"/>
    </row>
    <row r="175" spans="1:15" ht="15" customHeight="1" x14ac:dyDescent="0.2">
      <c r="A175" s="1">
        <v>6</v>
      </c>
      <c r="B175" s="89">
        <v>51901</v>
      </c>
      <c r="C175" s="90" t="s">
        <v>330</v>
      </c>
      <c r="D175" s="91">
        <f>EGRESOS!E862+EGRESOS!E895+EGRESOS!E967+EGRESOS!E1764</f>
        <v>0</v>
      </c>
      <c r="E175" s="91">
        <f>EGRESOS!F862+EGRESOS!F895+EGRESOS!F967+EGRESOS!F1764</f>
        <v>0</v>
      </c>
      <c r="F175" s="91">
        <f>EGRESOS!G862+EGRESOS!G895+EGRESOS!G967+EGRESOS!G1764</f>
        <v>16200</v>
      </c>
      <c r="G175" s="91">
        <f>EGRESOS!H862+EGRESOS!H895+EGRESOS!H967+EGRESOS!H1764</f>
        <v>16200</v>
      </c>
      <c r="H175" s="30"/>
      <c r="I175" s="30"/>
      <c r="J175" s="30"/>
      <c r="K175" s="30"/>
      <c r="L175" s="30"/>
      <c r="M175" s="2"/>
      <c r="N175" s="109"/>
      <c r="O175" s="2"/>
    </row>
    <row r="176" spans="1:15" ht="15" customHeight="1" x14ac:dyDescent="0.2">
      <c r="A176" s="1">
        <v>6</v>
      </c>
      <c r="B176" s="89">
        <f>EGRESOS!C334</f>
        <v>54101</v>
      </c>
      <c r="C176" s="90" t="str">
        <f>EGRESOS!D334</f>
        <v>PRODUCTOS ALIMENTICIOS PARA PERSONAS</v>
      </c>
      <c r="D176" s="91">
        <f>+EGRESOS!E334+EGRESOS!E375+EGRESOS!E968+EGRESOS!E1194+EGRESOS!E1312+EGRESOS!E1765+EGRESOS!E2074</f>
        <v>0</v>
      </c>
      <c r="E176" s="91">
        <f>+EGRESOS!F334+EGRESOS!F375+EGRESOS!F968+EGRESOS!F1194+EGRESOS!F1312+EGRESOS!F1765+EGRESOS!F2074</f>
        <v>0</v>
      </c>
      <c r="F176" s="91">
        <f>+EGRESOS!G334+EGRESOS!G375+EGRESOS!G968+EGRESOS!G1194+EGRESOS!G1312+EGRESOS!G1765+EGRESOS!G2074</f>
        <v>750</v>
      </c>
      <c r="G176" s="91">
        <f>+EGRESOS!H334+EGRESOS!H375+EGRESOS!H968+EGRESOS!H1194+EGRESOS!H1312+EGRESOS!H1765+EGRESOS!H2074</f>
        <v>750</v>
      </c>
      <c r="H176" s="91">
        <f>EGRESOS!I334+EGRESOS!I375+EGRESOS!I968+EGRESOS!I1194+EGRESOS!I1765+EGRESOS!I2074</f>
        <v>0</v>
      </c>
      <c r="I176" s="91">
        <f>EGRESOS!J334+EGRESOS!J375+EGRESOS!J968+EGRESOS!J1194+EGRESOS!J1765+EGRESOS!J2074</f>
        <v>0</v>
      </c>
      <c r="J176" s="91">
        <f>EGRESOS!K334+EGRESOS!K375+EGRESOS!K968+EGRESOS!K1194+EGRESOS!K1765+EGRESOS!K2074</f>
        <v>0</v>
      </c>
      <c r="K176" s="91">
        <f>EGRESOS!L334+EGRESOS!L375+EGRESOS!L968+EGRESOS!L1194+EGRESOS!L1765+EGRESOS!L2074</f>
        <v>0</v>
      </c>
      <c r="L176" s="91">
        <f>EGRESOS!M334+EGRESOS!M375+EGRESOS!M968+EGRESOS!M1194+EGRESOS!M1765+EGRESOS!M2074</f>
        <v>0</v>
      </c>
      <c r="M176" s="93"/>
      <c r="N176" s="109"/>
      <c r="O176" s="2"/>
    </row>
    <row r="177" spans="1:15" ht="15" customHeight="1" x14ac:dyDescent="0.2">
      <c r="A177" s="1">
        <v>6</v>
      </c>
      <c r="B177" s="89">
        <f>EGRESOS!C335</f>
        <v>54104</v>
      </c>
      <c r="C177" s="90" t="str">
        <f>EGRESOS!D335</f>
        <v>PRODUCTOS TEXTILES Y VESTUARIOS</v>
      </c>
      <c r="D177" s="91">
        <f>EGRESOS!E335+EGRESOS!E376+EGRESOS!E863+EGRESOS!E896+EGRESOS!E932+EGRESOS!E969+EGRESOS!E1196+EGRESOS!E1236+EGRESOS!E1313+EGRESOS!E1767+EGRESOS!E2075</f>
        <v>0</v>
      </c>
      <c r="E177" s="91">
        <f>EGRESOS!F335+EGRESOS!F376+EGRESOS!F863+EGRESOS!F896+EGRESOS!F932+EGRESOS!F969+EGRESOS!F1196+EGRESOS!F1236+EGRESOS!F1313+EGRESOS!F1767+EGRESOS!F2075</f>
        <v>0</v>
      </c>
      <c r="F177" s="91">
        <f>EGRESOS!G335+EGRESOS!G376+EGRESOS!G863+EGRESOS!G896+EGRESOS!G932+EGRESOS!G969+EGRESOS!G1196+EGRESOS!G1236+EGRESOS!G1313+EGRESOS!G1767+EGRESOS!G2075</f>
        <v>8200</v>
      </c>
      <c r="G177" s="91">
        <f>EGRESOS!H335+EGRESOS!H376+EGRESOS!H863+EGRESOS!H896+EGRESOS!H932+EGRESOS!H969+EGRESOS!H1196+EGRESOS!H1236+EGRESOS!H1313+EGRESOS!H1767+EGRESOS!H2075</f>
        <v>8200</v>
      </c>
      <c r="H177" s="30"/>
      <c r="I177" s="30"/>
      <c r="J177" s="30"/>
      <c r="K177" s="30"/>
      <c r="L177" s="30"/>
      <c r="N177" s="109"/>
      <c r="O177" s="2"/>
    </row>
    <row r="178" spans="1:15" ht="15" customHeight="1" x14ac:dyDescent="0.2">
      <c r="A178" s="1">
        <v>6</v>
      </c>
      <c r="B178" s="89">
        <f>EGRESOS!C337</f>
        <v>54106</v>
      </c>
      <c r="C178" s="90" t="str">
        <f>EGRESOS!D337</f>
        <v>PRODUCTOS DE CUERO Y CAUCHO</v>
      </c>
      <c r="D178" s="91">
        <f>EGRESOS!E337+EGRESOS!E378+EGRESOS!E1315+EGRESOS!E1769</f>
        <v>0</v>
      </c>
      <c r="E178" s="91">
        <f>EGRESOS!F337+EGRESOS!F378+EGRESOS!F1315+EGRESOS!F1769</f>
        <v>0</v>
      </c>
      <c r="F178" s="91">
        <f>EGRESOS!G337+EGRESOS!G378+EGRESOS!G1315+EGRESOS!G1769</f>
        <v>500</v>
      </c>
      <c r="G178" s="91">
        <f>EGRESOS!H337+EGRESOS!H378+EGRESOS!H1315+EGRESOS!H1769</f>
        <v>500</v>
      </c>
      <c r="H178" s="30"/>
      <c r="I178" s="30"/>
      <c r="J178" s="30"/>
      <c r="K178" s="30"/>
      <c r="L178" s="30"/>
      <c r="N178" s="109"/>
      <c r="O178" s="2"/>
    </row>
    <row r="179" spans="1:15" ht="15" customHeight="1" x14ac:dyDescent="0.2">
      <c r="B179" s="89">
        <v>54105</v>
      </c>
      <c r="C179" s="90" t="s">
        <v>131</v>
      </c>
      <c r="D179" s="91">
        <v>0</v>
      </c>
      <c r="E179" s="91"/>
      <c r="F179" s="91">
        <f>+EGRESOS!G336+EGRESOS!G377+EGRESOS!G864+EGRESOS!G897+EGRESOS!G933+EGRESOS!G970+EGRESOS!G1197+EGRESOS!G1237+EGRESOS!G1314+EGRESOS!G1768+EGRESOS!G2076</f>
        <v>19550</v>
      </c>
      <c r="G179" s="91">
        <f>+EGRESOS!H336+EGRESOS!H377+EGRESOS!H864+EGRESOS!H897+EGRESOS!H933+EGRESOS!H970+EGRESOS!H1197+EGRESOS!H1237+EGRESOS!H1314+EGRESOS!H1768+EGRESOS!H2076</f>
        <v>19550</v>
      </c>
      <c r="H179" s="30"/>
      <c r="I179" s="30"/>
      <c r="J179" s="30"/>
      <c r="K179" s="30"/>
      <c r="L179" s="30"/>
      <c r="M179" s="93"/>
      <c r="N179" s="109"/>
      <c r="O179" s="2"/>
    </row>
    <row r="180" spans="1:15" ht="15" customHeight="1" x14ac:dyDescent="0.2">
      <c r="A180" s="1">
        <v>6</v>
      </c>
      <c r="B180" s="89">
        <f>EGRESOS!C338</f>
        <v>54107</v>
      </c>
      <c r="C180" s="90" t="str">
        <f>EGRESOS!D338</f>
        <v>PRODUCTOS QUIMICOS</v>
      </c>
      <c r="D180" s="91">
        <f>EGRESOS!E338+EGRESOS!E379+EGRESOS!E865+EGRESOS!E898+EGRESOS!E934+EGRESOS!E971+EGRESOS!E1198+EGRESOS!E1316+EGRESOS!E1770+EGRESOS!E2077</f>
        <v>0</v>
      </c>
      <c r="E180" s="91">
        <f>EGRESOS!F338+EGRESOS!F379+EGRESOS!F865+EGRESOS!F898+EGRESOS!F934+EGRESOS!F971+EGRESOS!F1198+EGRESOS!F1316+EGRESOS!F1770+EGRESOS!F2077</f>
        <v>0</v>
      </c>
      <c r="F180" s="91">
        <f>EGRESOS!G338+EGRESOS!G379+EGRESOS!G865+EGRESOS!G898+EGRESOS!G934+EGRESOS!G971+EGRESOS!G1198+EGRESOS!G1316+EGRESOS!G1770+EGRESOS!G2077</f>
        <v>7058</v>
      </c>
      <c r="G180" s="91">
        <f>EGRESOS!H338+EGRESOS!H379+EGRESOS!H865+EGRESOS!H898+EGRESOS!H934+EGRESOS!H971+EGRESOS!H1198+EGRESOS!H1316+EGRESOS!H1770+EGRESOS!H2077</f>
        <v>7058</v>
      </c>
      <c r="H180" s="30"/>
      <c r="I180" s="30"/>
      <c r="J180" s="30"/>
      <c r="K180" s="30"/>
      <c r="L180" s="30"/>
      <c r="N180" s="109"/>
      <c r="O180" s="2"/>
    </row>
    <row r="181" spans="1:15" ht="15" customHeight="1" x14ac:dyDescent="0.2">
      <c r="B181" s="89">
        <v>54108</v>
      </c>
      <c r="C181" s="90" t="s">
        <v>169</v>
      </c>
      <c r="D181" s="91">
        <v>0</v>
      </c>
      <c r="E181" s="91"/>
      <c r="F181" s="91">
        <f>+EGRESOS!G1317+EGRESOS!G972</f>
        <v>620</v>
      </c>
      <c r="G181" s="91">
        <f>+EGRESOS!H1317+EGRESOS!H972</f>
        <v>620</v>
      </c>
      <c r="H181" s="30"/>
      <c r="I181" s="30"/>
      <c r="J181" s="30"/>
      <c r="K181" s="30"/>
      <c r="L181" s="30"/>
      <c r="N181" s="109"/>
      <c r="O181" s="2"/>
    </row>
    <row r="182" spans="1:15" ht="15" customHeight="1" x14ac:dyDescent="0.2">
      <c r="A182" s="1">
        <v>6</v>
      </c>
      <c r="B182" s="89">
        <v>54110</v>
      </c>
      <c r="C182" s="90" t="str">
        <f>+EGRESOS!D339</f>
        <v>COMBUSTIBLE Y LUBRICANTES</v>
      </c>
      <c r="D182" s="91">
        <f>EGRESOS!E339+EGRESOS!E380+EGRESOS!E1318</f>
        <v>0</v>
      </c>
      <c r="E182" s="91">
        <f>EGRESOS!F339+EGRESOS!F380+EGRESOS!F1318</f>
        <v>0</v>
      </c>
      <c r="F182" s="91">
        <f>EGRESOS!G339+EGRESOS!G380+EGRESOS!G1318</f>
        <v>1300</v>
      </c>
      <c r="G182" s="91">
        <f>EGRESOS!H339+EGRESOS!H380+EGRESOS!H1318</f>
        <v>1300</v>
      </c>
      <c r="H182" s="30"/>
      <c r="I182" s="30"/>
      <c r="J182" s="30"/>
      <c r="K182" s="30"/>
      <c r="L182" s="30"/>
      <c r="N182" s="109"/>
      <c r="O182" s="2"/>
    </row>
    <row r="183" spans="1:15" ht="15" customHeight="1" x14ac:dyDescent="0.2">
      <c r="A183" s="1">
        <v>6</v>
      </c>
      <c r="B183" s="89">
        <v>54111</v>
      </c>
      <c r="C183" s="90" t="s">
        <v>585</v>
      </c>
      <c r="D183" s="91">
        <f>EGRESOS!E340+EGRESOS!E935+EGRESOS!E973+EGRESOS!E1199+EGRESOS!E1238+EGRESOS!E1319+EGRESOS!E2078</f>
        <v>0</v>
      </c>
      <c r="E183" s="91">
        <f>EGRESOS!F340+EGRESOS!F935+EGRESOS!F973+EGRESOS!F1199+EGRESOS!F1238+EGRESOS!F1319+EGRESOS!F2078</f>
        <v>0</v>
      </c>
      <c r="F183" s="91">
        <f>EGRESOS!G340+EGRESOS!G935+EGRESOS!G973+EGRESOS!G1199+EGRESOS!G1238+EGRESOS!G1319+EGRESOS!G2078</f>
        <v>1750</v>
      </c>
      <c r="G183" s="91">
        <f>EGRESOS!H340+EGRESOS!H935+EGRESOS!H973+EGRESOS!H1199+EGRESOS!H1238+EGRESOS!H1319+EGRESOS!H2078</f>
        <v>1750</v>
      </c>
      <c r="H183" s="30"/>
      <c r="I183" s="30"/>
      <c r="J183" s="30"/>
      <c r="K183" s="30"/>
      <c r="L183" s="30"/>
      <c r="N183" s="109"/>
      <c r="O183" s="2"/>
    </row>
    <row r="184" spans="1:15" ht="15" customHeight="1" x14ac:dyDescent="0.2">
      <c r="A184" s="1">
        <v>6</v>
      </c>
      <c r="B184" s="89">
        <v>54112</v>
      </c>
      <c r="C184" s="90" t="s">
        <v>549</v>
      </c>
      <c r="D184" s="91">
        <f>EGRESOS!E341+EGRESOS!E866+EGRESOS!E899+EGRESOS!E936+EGRESOS!E974+EGRESOS!E1200+EGRESOS!E1239+EGRESOS!E1320+EGRESOS!E2079</f>
        <v>0</v>
      </c>
      <c r="E184" s="91">
        <f>EGRESOS!F341+EGRESOS!F866+EGRESOS!F899+EGRESOS!F936+EGRESOS!F974+EGRESOS!F1200+EGRESOS!F1239+EGRESOS!F1320+EGRESOS!F2079</f>
        <v>0</v>
      </c>
      <c r="F184" s="91">
        <f>EGRESOS!G341+EGRESOS!G866+EGRESOS!G899+EGRESOS!G936+EGRESOS!G974+EGRESOS!G1200+EGRESOS!G1239+EGRESOS!G1320+EGRESOS!G2079</f>
        <v>2000</v>
      </c>
      <c r="G184" s="91">
        <f>EGRESOS!H341+EGRESOS!H866+EGRESOS!H899+EGRESOS!H936+EGRESOS!H974+EGRESOS!H1200+EGRESOS!H1239+EGRESOS!H1320+EGRESOS!H2079</f>
        <v>2000</v>
      </c>
      <c r="H184" s="30"/>
      <c r="I184" s="30"/>
      <c r="J184" s="30"/>
      <c r="K184" s="30"/>
      <c r="L184" s="30"/>
      <c r="N184" s="109"/>
      <c r="O184" s="2"/>
    </row>
    <row r="185" spans="1:15" ht="15" customHeight="1" x14ac:dyDescent="0.2">
      <c r="A185" s="1">
        <v>6</v>
      </c>
      <c r="B185" s="89">
        <v>54113</v>
      </c>
      <c r="C185" s="62" t="s">
        <v>148</v>
      </c>
      <c r="D185" s="91">
        <f>EGRESOS!E342+EGRESOS!E900+EGRESOS!E1321</f>
        <v>0</v>
      </c>
      <c r="E185" s="91">
        <f>EGRESOS!F342+EGRESOS!F900+EGRESOS!F1321</f>
        <v>0</v>
      </c>
      <c r="F185" s="91">
        <f>EGRESOS!G342+EGRESOS!G900+EGRESOS!G1321</f>
        <v>450</v>
      </c>
      <c r="G185" s="91">
        <f>EGRESOS!H342+EGRESOS!H900+EGRESOS!H1321</f>
        <v>450</v>
      </c>
      <c r="H185" s="91">
        <f>EGRESOS!I900</f>
        <v>0</v>
      </c>
      <c r="I185" s="91">
        <f>EGRESOS!J900</f>
        <v>0</v>
      </c>
      <c r="J185" s="91">
        <f>EGRESOS!K900</f>
        <v>0</v>
      </c>
      <c r="K185" s="91">
        <f>EGRESOS!L900</f>
        <v>0</v>
      </c>
      <c r="L185" s="91">
        <f>EGRESOS!M900</f>
        <v>0</v>
      </c>
      <c r="M185" s="93"/>
      <c r="N185" s="109"/>
      <c r="O185" s="2"/>
    </row>
    <row r="186" spans="1:15" ht="15" customHeight="1" x14ac:dyDescent="0.2">
      <c r="A186" s="1">
        <v>6</v>
      </c>
      <c r="B186" s="89">
        <v>54114</v>
      </c>
      <c r="C186" s="62" t="s">
        <v>5</v>
      </c>
      <c r="D186" s="91">
        <f>EGRESOS!E343+EGRESOS!E381+EGRESOS!E867+EGRESOS!E901+EGRESOS!E937+EGRESOS!E975+EGRESOS!E1201+EGRESOS!E1240+EGRESOS!E1322+EGRESOS!E1771+EGRESOS!E2080</f>
        <v>0</v>
      </c>
      <c r="E186" s="91">
        <f>EGRESOS!F343+EGRESOS!F381+EGRESOS!F867+EGRESOS!F901+EGRESOS!F937+EGRESOS!F975+EGRESOS!F1201+EGRESOS!F1240+EGRESOS!F1322+EGRESOS!F1771+EGRESOS!F2080</f>
        <v>0</v>
      </c>
      <c r="F186" s="91">
        <f>EGRESOS!G343+EGRESOS!G381+EGRESOS!G867+EGRESOS!G901+EGRESOS!G937+EGRESOS!G975+EGRESOS!G1201+EGRESOS!G1240+EGRESOS!G1322+EGRESOS!G1771+EGRESOS!G2080</f>
        <v>5950</v>
      </c>
      <c r="G186" s="91">
        <f>EGRESOS!H343+EGRESOS!H381+EGRESOS!H867+EGRESOS!H901+EGRESOS!H937+EGRESOS!H975+EGRESOS!H1201+EGRESOS!H1240+EGRESOS!H1322+EGRESOS!H1771+EGRESOS!H2080</f>
        <v>5950</v>
      </c>
      <c r="H186" s="91"/>
      <c r="I186" s="91"/>
      <c r="J186" s="91"/>
      <c r="K186" s="91"/>
      <c r="L186" s="91"/>
      <c r="M186" s="86"/>
      <c r="N186" s="109"/>
      <c r="O186" s="2"/>
    </row>
    <row r="187" spans="1:15" ht="15" customHeight="1" x14ac:dyDescent="0.2">
      <c r="A187" s="1">
        <v>6</v>
      </c>
      <c r="B187" s="89">
        <v>54115</v>
      </c>
      <c r="C187" s="62" t="s">
        <v>49</v>
      </c>
      <c r="D187" s="91">
        <f>EGRESOS!E344+EGRESOS!E382+EGRESOS!E868+EGRESOS!E902+EGRESOS!E938+EGRESOS!E976+EGRESOS!E1202+EGRESOS!E1241+EGRESOS!E1323+EGRESOS!E1772+EGRESOS!E2081</f>
        <v>0</v>
      </c>
      <c r="E187" s="91">
        <f>EGRESOS!F344+EGRESOS!F382+EGRESOS!F868+EGRESOS!F902+EGRESOS!F938+EGRESOS!F976+EGRESOS!F1202+EGRESOS!F1241+EGRESOS!F1323+EGRESOS!F1772+EGRESOS!F2081</f>
        <v>0</v>
      </c>
      <c r="F187" s="91">
        <f>EGRESOS!G344+EGRESOS!G382+EGRESOS!G868+EGRESOS!G902+EGRESOS!G938+EGRESOS!G976+EGRESOS!G1202+EGRESOS!G1241+EGRESOS!G1323+EGRESOS!G1772+EGRESOS!G2081</f>
        <v>12050</v>
      </c>
      <c r="G187" s="91">
        <f>EGRESOS!H344+EGRESOS!H382+EGRESOS!H868+EGRESOS!H902+EGRESOS!H938+EGRESOS!H976+EGRESOS!H1202+EGRESOS!H1241+EGRESOS!H1323+EGRESOS!H1772+EGRESOS!H2081</f>
        <v>12050</v>
      </c>
      <c r="H187" s="91"/>
      <c r="I187" s="91"/>
      <c r="J187" s="91"/>
      <c r="K187" s="91"/>
      <c r="L187" s="91"/>
      <c r="M187" s="86"/>
      <c r="N187" s="109"/>
      <c r="O187" s="2"/>
    </row>
    <row r="188" spans="1:15" ht="15" customHeight="1" x14ac:dyDescent="0.2">
      <c r="A188" s="1">
        <v>6</v>
      </c>
      <c r="B188" s="89">
        <f>EGRESOS!C345</f>
        <v>54116</v>
      </c>
      <c r="C188" s="90" t="str">
        <f>EGRESOS!D345</f>
        <v>LIBROS, TEXTOS Y UTILES DE ENSEÑANZAS Y PUBLICACIONES</v>
      </c>
      <c r="D188" s="91">
        <f>EGRESOS!E345+EGRESOS!E383+EGRESOS!E939+EGRESOS!E977+EGRESOS!E1203+EGRESOS!E1242+EGRESOS!E1773</f>
        <v>0</v>
      </c>
      <c r="E188" s="91">
        <f>EGRESOS!F345+EGRESOS!F383+EGRESOS!F939+EGRESOS!F977+EGRESOS!F1203+EGRESOS!F1242+EGRESOS!F1773</f>
        <v>0</v>
      </c>
      <c r="F188" s="91">
        <f>EGRESOS!G345+EGRESOS!G383+EGRESOS!G939+EGRESOS!G977+EGRESOS!G1203+EGRESOS!G1242+EGRESOS!G1773</f>
        <v>950</v>
      </c>
      <c r="G188" s="91">
        <f>EGRESOS!H345+EGRESOS!H383+EGRESOS!H939+EGRESOS!H977+EGRESOS!H1203+EGRESOS!H1242+EGRESOS!H1773</f>
        <v>950</v>
      </c>
      <c r="H188" s="30"/>
      <c r="I188" s="30"/>
      <c r="J188" s="30"/>
      <c r="K188" s="30"/>
      <c r="L188" s="30"/>
      <c r="N188" s="109"/>
      <c r="O188" s="2"/>
    </row>
    <row r="189" spans="1:15" ht="15" customHeight="1" x14ac:dyDescent="0.2">
      <c r="A189" s="1">
        <v>6</v>
      </c>
      <c r="B189" s="89">
        <f>EGRESOS!C346</f>
        <v>54118</v>
      </c>
      <c r="C189" s="90" t="str">
        <f>EGRESOS!D346</f>
        <v>HERRAMIENTAS, REPUESTOS Y ACCESORIOS</v>
      </c>
      <c r="D189" s="91">
        <f>EGRESOS!E346+EGRESOS!E384+EGRESOS!E903+EGRESOS!E1204+EGRESOS!E1324+EGRESOS!E2082</f>
        <v>0</v>
      </c>
      <c r="E189" s="91">
        <f>EGRESOS!F346+EGRESOS!F384+EGRESOS!F903+EGRESOS!F1204+EGRESOS!F1324+EGRESOS!F2082</f>
        <v>0</v>
      </c>
      <c r="F189" s="91">
        <f>EGRESOS!G346+EGRESOS!G384+EGRESOS!G903+EGRESOS!G1204+EGRESOS!G1324+EGRESOS!G2082</f>
        <v>2400</v>
      </c>
      <c r="G189" s="91">
        <f>EGRESOS!H346+EGRESOS!H384+EGRESOS!H903+EGRESOS!H1204+EGRESOS!H1324+EGRESOS!H2082</f>
        <v>2400</v>
      </c>
      <c r="H189" s="30"/>
      <c r="I189" s="30"/>
      <c r="J189" s="30"/>
      <c r="K189" s="30"/>
      <c r="L189" s="30"/>
      <c r="N189" s="109"/>
      <c r="O189" s="2"/>
    </row>
    <row r="190" spans="1:15" ht="15" customHeight="1" x14ac:dyDescent="0.2">
      <c r="A190" s="1">
        <v>6</v>
      </c>
      <c r="B190" s="89">
        <f>EGRESOS!C347</f>
        <v>54119</v>
      </c>
      <c r="C190" s="90" t="str">
        <f>EGRESOS!D347</f>
        <v>MATERIALES ELECTRICOS</v>
      </c>
      <c r="D190" s="91">
        <f>EGRESOS!E347+EGRESOS!E385+EGRESOS!E869+EGRESOS!E904+EGRESOS!E940+EGRESOS!E978+EGRESOS!E1205+EGRESOS!E1243+EGRESOS!E1325+EGRESOS!E1774+EGRESOS!E2083</f>
        <v>0</v>
      </c>
      <c r="E190" s="91">
        <f>EGRESOS!F347+EGRESOS!F385+EGRESOS!F869+EGRESOS!F904+EGRESOS!F940+EGRESOS!F978+EGRESOS!F1205+EGRESOS!F1243+EGRESOS!F1325+EGRESOS!F1774+EGRESOS!F2083</f>
        <v>0</v>
      </c>
      <c r="F190" s="91">
        <f>EGRESOS!G347+EGRESOS!G385+EGRESOS!G869+EGRESOS!G904+EGRESOS!G940+EGRESOS!G978+EGRESOS!G1205+EGRESOS!G1243+EGRESOS!G1325+EGRESOS!G1774+EGRESOS!G2083</f>
        <v>2450</v>
      </c>
      <c r="G190" s="91">
        <f>EGRESOS!H347+EGRESOS!H385+EGRESOS!H869+EGRESOS!H904+EGRESOS!H940+EGRESOS!H978+EGRESOS!H1205+EGRESOS!H1243+EGRESOS!H1325+EGRESOS!H1774+EGRESOS!H2083</f>
        <v>2450</v>
      </c>
      <c r="H190" s="30"/>
      <c r="I190" s="30"/>
      <c r="J190" s="30"/>
      <c r="K190" s="30"/>
      <c r="L190" s="30"/>
      <c r="N190" s="109"/>
      <c r="O190" s="2"/>
    </row>
    <row r="191" spans="1:15" ht="15" customHeight="1" x14ac:dyDescent="0.2">
      <c r="A191" s="1">
        <v>6</v>
      </c>
      <c r="B191" s="89">
        <v>54121</v>
      </c>
      <c r="C191" s="94" t="s">
        <v>136</v>
      </c>
      <c r="D191" s="91">
        <f>EGRESOS!E941+EGRESOS!E1206</f>
        <v>46000</v>
      </c>
      <c r="E191" s="91">
        <f>EGRESOS!F941+EGRESOS!F1206</f>
        <v>0</v>
      </c>
      <c r="F191" s="91">
        <f>EGRESOS!G941+EGRESOS!G1206</f>
        <v>300</v>
      </c>
      <c r="G191" s="91">
        <f>EGRESOS!H941+EGRESOS!H1206</f>
        <v>46300</v>
      </c>
      <c r="H191" s="30"/>
      <c r="I191" s="30"/>
      <c r="J191" s="30"/>
      <c r="K191" s="30"/>
      <c r="L191" s="30"/>
      <c r="N191" s="109"/>
      <c r="O191" s="2"/>
    </row>
    <row r="192" spans="1:15" ht="15" customHeight="1" x14ac:dyDescent="0.2">
      <c r="A192" s="1">
        <v>6</v>
      </c>
      <c r="B192" s="89">
        <f>EGRESOS!C348</f>
        <v>54199</v>
      </c>
      <c r="C192" s="90" t="str">
        <f>EGRESOS!D348</f>
        <v>BIENES DE USO Y CONSUMO DIVERSOS</v>
      </c>
      <c r="D192" s="91">
        <f>EGRESOS!E348+EGRESOS!E386+EGRESOS!E870+EGRESOS!E905+EGRESOS!E942+EGRESOS!E979+EGRESOS!E1326+EGRESOS!E1775+EGRESOS!E2084</f>
        <v>0</v>
      </c>
      <c r="E192" s="91">
        <f>EGRESOS!F348+EGRESOS!F386+EGRESOS!F870+EGRESOS!F905+EGRESOS!F942+EGRESOS!F979+EGRESOS!F1326+EGRESOS!F1775+EGRESOS!F2084</f>
        <v>0</v>
      </c>
      <c r="F192" s="91">
        <f>EGRESOS!G348+EGRESOS!G386+EGRESOS!G870+EGRESOS!G905+EGRESOS!G942+EGRESOS!G979+EGRESOS!G1326+EGRESOS!G1775+EGRESOS!G2084</f>
        <v>3150</v>
      </c>
      <c r="G192" s="91">
        <f>EGRESOS!H348+EGRESOS!H386+EGRESOS!H870+EGRESOS!H905+EGRESOS!H942+EGRESOS!H979+EGRESOS!H1326+EGRESOS!H1775+EGRESOS!H2084</f>
        <v>3150</v>
      </c>
      <c r="H192" s="30"/>
      <c r="I192" s="30"/>
      <c r="J192" s="30"/>
      <c r="K192" s="30"/>
      <c r="L192" s="30"/>
      <c r="N192" s="109"/>
      <c r="O192" s="2"/>
    </row>
    <row r="193" spans="1:15" ht="15" customHeight="1" x14ac:dyDescent="0.2">
      <c r="A193" s="1">
        <v>6</v>
      </c>
      <c r="B193" s="89">
        <f>EGRESOS!C349</f>
        <v>54201</v>
      </c>
      <c r="C193" s="90" t="str">
        <f>EGRESOS!D349</f>
        <v>SERVICIOS DE ENERGIA ELECTRICA</v>
      </c>
      <c r="D193" s="91">
        <f>EGRESOS!E349+EGRESOS!E387+EGRESOS!E1776+EGRESOS!E2085</f>
        <v>0</v>
      </c>
      <c r="E193" s="91">
        <f>EGRESOS!F349+EGRESOS!F387+EGRESOS!F1776+EGRESOS!F2085</f>
        <v>0</v>
      </c>
      <c r="F193" s="91">
        <f>EGRESOS!G349+EGRESOS!G387+EGRESOS!G1776+EGRESOS!G2085</f>
        <v>5000</v>
      </c>
      <c r="G193" s="91">
        <f>EGRESOS!H349+EGRESOS!H387+EGRESOS!H1776+EGRESOS!H2085</f>
        <v>5000</v>
      </c>
      <c r="H193" s="30"/>
      <c r="I193" s="30"/>
      <c r="J193" s="30"/>
      <c r="K193" s="30"/>
      <c r="L193" s="30"/>
      <c r="N193" s="109"/>
      <c r="O193" s="2"/>
    </row>
    <row r="194" spans="1:15" ht="15" customHeight="1" x14ac:dyDescent="0.2">
      <c r="A194" s="1">
        <v>6</v>
      </c>
      <c r="B194" s="89">
        <f>EGRESOS!C350</f>
        <v>54202</v>
      </c>
      <c r="C194" s="90" t="str">
        <f>EGRESOS!D350</f>
        <v>SERVICIOS DE AGUA POTABLE</v>
      </c>
      <c r="D194" s="91">
        <f>EGRESOS!E350+EGRESOS!E388+EGRESOS!E1777+EGRESOS!E2086</f>
        <v>500</v>
      </c>
      <c r="E194" s="91">
        <f>EGRESOS!F350+EGRESOS!F388+EGRESOS!F1777+EGRESOS!F2086</f>
        <v>0</v>
      </c>
      <c r="F194" s="91">
        <f>EGRESOS!G350+EGRESOS!G388+EGRESOS!G1777+EGRESOS!G2086</f>
        <v>1000</v>
      </c>
      <c r="G194" s="91">
        <f>EGRESOS!H350+EGRESOS!H388+EGRESOS!H1777+EGRESOS!H2086</f>
        <v>1500</v>
      </c>
      <c r="H194" s="30"/>
      <c r="I194" s="30"/>
      <c r="J194" s="30"/>
      <c r="K194" s="30"/>
      <c r="L194" s="30"/>
      <c r="N194" s="109"/>
      <c r="O194" s="2"/>
    </row>
    <row r="195" spans="1:15" ht="15" customHeight="1" x14ac:dyDescent="0.2">
      <c r="A195" s="1">
        <v>6</v>
      </c>
      <c r="B195" s="89">
        <f>EGRESOS!C351</f>
        <v>54203</v>
      </c>
      <c r="C195" s="90" t="str">
        <f>EGRESOS!D351</f>
        <v>SERVICIOS DE TELECOMUNICACIONES</v>
      </c>
      <c r="D195" s="91">
        <f>EGRESOS!E351+EGRESOS!E389+EGRESOS!E1778+EGRESOS!E2087</f>
        <v>600</v>
      </c>
      <c r="E195" s="91">
        <f>EGRESOS!F351+EGRESOS!F389+EGRESOS!F1778+EGRESOS!F2087</f>
        <v>0</v>
      </c>
      <c r="F195" s="91">
        <f>EGRESOS!G351+EGRESOS!G389+EGRESOS!G1778+EGRESOS!G2087</f>
        <v>600</v>
      </c>
      <c r="G195" s="91">
        <f>EGRESOS!H351+EGRESOS!H389+EGRESOS!H1778+EGRESOS!H2087</f>
        <v>1200</v>
      </c>
      <c r="H195" s="30"/>
      <c r="I195" s="30"/>
      <c r="J195" s="30"/>
      <c r="K195" s="30"/>
      <c r="L195" s="30"/>
      <c r="N195" s="109"/>
      <c r="O195" s="2"/>
    </row>
    <row r="196" spans="1:15" ht="15" customHeight="1" x14ac:dyDescent="0.2">
      <c r="A196" s="1">
        <v>6</v>
      </c>
      <c r="B196" s="89">
        <v>54204</v>
      </c>
      <c r="C196" s="94" t="s">
        <v>32</v>
      </c>
      <c r="D196" s="91">
        <f>EGRESOS!E1208+EGRESOS!E2088</f>
        <v>800</v>
      </c>
      <c r="E196" s="91">
        <f>EGRESOS!F1208+EGRESOS!F2088</f>
        <v>0</v>
      </c>
      <c r="F196" s="91">
        <f>EGRESOS!G1208+EGRESOS!G2088</f>
        <v>800</v>
      </c>
      <c r="G196" s="91">
        <f>EGRESOS!H1208+EGRESOS!H2088</f>
        <v>1600</v>
      </c>
      <c r="H196" s="30"/>
      <c r="I196" s="30"/>
      <c r="J196" s="30"/>
      <c r="K196" s="30"/>
      <c r="L196" s="30"/>
      <c r="N196" s="109"/>
      <c r="O196" s="2"/>
    </row>
    <row r="197" spans="1:15" ht="15" customHeight="1" x14ac:dyDescent="0.2">
      <c r="A197" s="1">
        <v>6</v>
      </c>
      <c r="B197" s="89">
        <v>54205</v>
      </c>
      <c r="C197" s="94" t="s">
        <v>138</v>
      </c>
      <c r="D197" s="91">
        <f>EGRESOS!E2089</f>
        <v>50000</v>
      </c>
      <c r="E197" s="91">
        <f>EGRESOS!F2089</f>
        <v>0</v>
      </c>
      <c r="F197" s="91">
        <f>EGRESOS!G2089</f>
        <v>10000</v>
      </c>
      <c r="G197" s="91">
        <f>EGRESOS!H2089</f>
        <v>60000</v>
      </c>
      <c r="H197" s="30"/>
      <c r="I197" s="30"/>
      <c r="J197" s="30"/>
      <c r="K197" s="30"/>
      <c r="L197" s="30"/>
      <c r="N197" s="109"/>
      <c r="O197" s="2"/>
    </row>
    <row r="198" spans="1:15" ht="15" customHeight="1" x14ac:dyDescent="0.2">
      <c r="A198" s="1">
        <v>6</v>
      </c>
      <c r="B198" s="89">
        <f>EGRESOS!C352</f>
        <v>54301</v>
      </c>
      <c r="C198" s="90" t="str">
        <f>EGRESOS!D352</f>
        <v>MANTENIMIENTO Y REPARACION DE BIENES MUEBLES</v>
      </c>
      <c r="D198" s="91">
        <f>EGRESOS!E352+EGRESOS!E390+EGRESOS!E871+EGRESOS!E906+EGRESOS!E943+EGRESOS!E980+EGRESOS!E1209+EGRESOS!E1244+EGRESOS!E1327+EGRESOS!E1779+EGRESOS!E2090</f>
        <v>0</v>
      </c>
      <c r="E198" s="91">
        <f>EGRESOS!F352+EGRESOS!F390+EGRESOS!F871+EGRESOS!F906+EGRESOS!F943+EGRESOS!F980+EGRESOS!F1209+EGRESOS!F1244+EGRESOS!F1327+EGRESOS!F1779+EGRESOS!F2090</f>
        <v>0</v>
      </c>
      <c r="F198" s="91">
        <f>EGRESOS!G352+EGRESOS!G390+EGRESOS!G871+EGRESOS!G906+EGRESOS!G943+EGRESOS!G980+EGRESOS!G1209+EGRESOS!G1244+EGRESOS!G1327+EGRESOS!G1779+EGRESOS!G2090</f>
        <v>3500</v>
      </c>
      <c r="G198" s="91">
        <f>EGRESOS!H352+EGRESOS!H390+EGRESOS!H871+EGRESOS!H906+EGRESOS!H943+EGRESOS!H980+EGRESOS!H1209+EGRESOS!H1244+EGRESOS!H1327+EGRESOS!H1779+EGRESOS!H2090</f>
        <v>3500</v>
      </c>
      <c r="H198" s="30"/>
      <c r="I198" s="30"/>
      <c r="J198" s="30"/>
      <c r="K198" s="30"/>
      <c r="L198" s="30"/>
      <c r="N198" s="109"/>
      <c r="O198" s="2"/>
    </row>
    <row r="199" spans="1:15" ht="15" customHeight="1" x14ac:dyDescent="0.2">
      <c r="A199" s="1">
        <v>6</v>
      </c>
      <c r="B199" s="89">
        <f>EGRESOS!C353</f>
        <v>54302</v>
      </c>
      <c r="C199" s="90" t="str">
        <f>EGRESOS!D353</f>
        <v>MANTENIMIENTO Y REPARACIÓN DE VEHÍCULOS</v>
      </c>
      <c r="D199" s="91">
        <f>EGRESOS!E353+EGRESOS!E391+EGRESOS!E981</f>
        <v>0</v>
      </c>
      <c r="E199" s="91">
        <f>EGRESOS!F353+EGRESOS!F391+EGRESOS!F981</f>
        <v>0</v>
      </c>
      <c r="F199" s="91">
        <f>EGRESOS!G353+EGRESOS!G391+EGRESOS!G981</f>
        <v>500</v>
      </c>
      <c r="G199" s="91">
        <f>EGRESOS!H353+EGRESOS!H391+EGRESOS!H981</f>
        <v>500</v>
      </c>
      <c r="H199" s="30"/>
      <c r="I199" s="30"/>
      <c r="J199" s="30"/>
      <c r="K199" s="30"/>
      <c r="L199" s="30"/>
      <c r="N199" s="109"/>
      <c r="O199" s="2"/>
    </row>
    <row r="200" spans="1:15" ht="15" customHeight="1" x14ac:dyDescent="0.2">
      <c r="A200" s="1">
        <v>6</v>
      </c>
      <c r="B200" s="89">
        <v>54303</v>
      </c>
      <c r="C200" s="90" t="s">
        <v>529</v>
      </c>
      <c r="D200" s="91">
        <f>EGRESOS!E1328+EGRESOS!E1780+EGRESOS!E2091</f>
        <v>0</v>
      </c>
      <c r="E200" s="91">
        <f>EGRESOS!F1328+EGRESOS!F1780+EGRESOS!F2091</f>
        <v>0</v>
      </c>
      <c r="F200" s="91">
        <f>EGRESOS!G1328+EGRESOS!G1780+EGRESOS!G2091</f>
        <v>2900</v>
      </c>
      <c r="G200" s="91">
        <f>EGRESOS!H1328+EGRESOS!H1780+EGRESOS!H2091</f>
        <v>2900</v>
      </c>
      <c r="H200" s="30"/>
      <c r="I200" s="30"/>
      <c r="J200" s="30"/>
      <c r="K200" s="30"/>
      <c r="L200" s="30"/>
      <c r="N200" s="109"/>
      <c r="O200" s="2"/>
    </row>
    <row r="201" spans="1:15" ht="15" customHeight="1" x14ac:dyDescent="0.2">
      <c r="A201" s="1">
        <v>6</v>
      </c>
      <c r="B201" s="89">
        <v>54305</v>
      </c>
      <c r="C201" s="94" t="s">
        <v>33</v>
      </c>
      <c r="D201" s="91">
        <f>EGRESOS!E982+EGRESOS!E1210</f>
        <v>0</v>
      </c>
      <c r="E201" s="91">
        <f>EGRESOS!F982+EGRESOS!F1210</f>
        <v>0</v>
      </c>
      <c r="F201" s="91">
        <f>EGRESOS!G982+EGRESOS!G1210</f>
        <v>300</v>
      </c>
      <c r="G201" s="91">
        <f>EGRESOS!H982+EGRESOS!H1210</f>
        <v>300</v>
      </c>
      <c r="H201" s="30"/>
      <c r="I201" s="30"/>
      <c r="J201" s="30"/>
      <c r="K201" s="30"/>
      <c r="L201" s="30"/>
      <c r="N201" s="109"/>
      <c r="O201" s="2"/>
    </row>
    <row r="202" spans="1:15" ht="15" customHeight="1" x14ac:dyDescent="0.2">
      <c r="A202" s="1">
        <v>6</v>
      </c>
      <c r="B202" s="110">
        <f>EGRESOS!C354</f>
        <v>54307</v>
      </c>
      <c r="C202" s="111" t="str">
        <f>EGRESOS!D354</f>
        <v>SERVICIOS DE LIMPIEZA Y FUMIGACIONES</v>
      </c>
      <c r="D202" s="112">
        <f>EGRESOS!E354+EGRESOS!E392+EGRESOS!E1211+EGRESOS!E1329</f>
        <v>0</v>
      </c>
      <c r="E202" s="112">
        <f>EGRESOS!F354+EGRESOS!F392+EGRESOS!F1211+EGRESOS!F1329</f>
        <v>0</v>
      </c>
      <c r="F202" s="112">
        <f>EGRESOS!G354+EGRESOS!G392+EGRESOS!G1211+EGRESOS!G1329</f>
        <v>10200</v>
      </c>
      <c r="G202" s="112">
        <f>EGRESOS!H354+EGRESOS!H392+EGRESOS!H1211+EGRESOS!H1329</f>
        <v>10200</v>
      </c>
      <c r="H202" s="30"/>
      <c r="I202" s="30"/>
      <c r="J202" s="30"/>
      <c r="K202" s="30"/>
      <c r="L202" s="30"/>
      <c r="N202" s="109"/>
      <c r="O202" s="2"/>
    </row>
    <row r="203" spans="1:15" ht="15" customHeight="1" x14ac:dyDescent="0.2">
      <c r="A203" s="1">
        <v>6</v>
      </c>
      <c r="B203" s="89">
        <v>54313</v>
      </c>
      <c r="C203" s="94" t="s">
        <v>11</v>
      </c>
      <c r="D203" s="91">
        <f>EGRESOS!E872+EGRESOS!E907+EGRESOS!E944+EGRESOS!E983+EGRESOS!E1212+EGRESOS!E1245+EGRESOS!E1330+EGRESOS!E1782</f>
        <v>0</v>
      </c>
      <c r="E203" s="91">
        <f>EGRESOS!F872+EGRESOS!F907+EGRESOS!F944+EGRESOS!F983+EGRESOS!F1212+EGRESOS!F1245+EGRESOS!F1330+EGRESOS!F1782</f>
        <v>0</v>
      </c>
      <c r="F203" s="91">
        <f>EGRESOS!G872+EGRESOS!G907+EGRESOS!G944+EGRESOS!G983+EGRESOS!G1212+EGRESOS!G1245+EGRESOS!G1330+EGRESOS!G1782</f>
        <v>2700</v>
      </c>
      <c r="G203" s="91">
        <f>EGRESOS!H872+EGRESOS!H907+EGRESOS!H944+EGRESOS!H983+EGRESOS!H1212+EGRESOS!H1245+EGRESOS!H1330+EGRESOS!H1782</f>
        <v>2700</v>
      </c>
      <c r="H203" s="30"/>
      <c r="I203" s="30"/>
      <c r="J203" s="30"/>
      <c r="K203" s="30"/>
      <c r="L203" s="30"/>
      <c r="N203" s="109"/>
      <c r="O203" s="2"/>
    </row>
    <row r="204" spans="1:15" ht="15" customHeight="1" x14ac:dyDescent="0.2">
      <c r="A204" s="1">
        <v>6</v>
      </c>
      <c r="B204" s="89">
        <v>54399</v>
      </c>
      <c r="C204" s="94" t="str">
        <f>EGRESOS!D984</f>
        <v>SERVICIOS GENERALES Y ARRENDAMIENTOS DIVERSOS</v>
      </c>
      <c r="D204" s="91">
        <f>EGRESOS!E873+EGRESOS!E908+EGRESOS!E984+EGRESOS!E1213+EGRESOS!E1331+EGRESOS!E2092</f>
        <v>0</v>
      </c>
      <c r="E204" s="91">
        <f>EGRESOS!F873+EGRESOS!F908+EGRESOS!F984+EGRESOS!F1213+EGRESOS!F1331+EGRESOS!F2092</f>
        <v>0</v>
      </c>
      <c r="F204" s="91">
        <f>EGRESOS!G873+EGRESOS!G908+EGRESOS!G984+EGRESOS!G1213+EGRESOS!G1331+EGRESOS!G2092</f>
        <v>89500</v>
      </c>
      <c r="G204" s="91">
        <f>EGRESOS!H873+EGRESOS!H908+EGRESOS!H984+EGRESOS!H1213+EGRESOS!H1331+EGRESOS!H2092</f>
        <v>89500</v>
      </c>
      <c r="H204" s="30"/>
      <c r="I204" s="30"/>
      <c r="J204" s="30"/>
      <c r="K204" s="30"/>
      <c r="L204" s="30"/>
      <c r="N204" s="109"/>
      <c r="O204" s="2"/>
    </row>
    <row r="205" spans="1:15" ht="15" customHeight="1" x14ac:dyDescent="0.2">
      <c r="A205" s="1">
        <v>6</v>
      </c>
      <c r="B205" s="89">
        <f>EGRESOS!C355</f>
        <v>54401</v>
      </c>
      <c r="C205" s="90" t="str">
        <f>EGRESOS!D355</f>
        <v>PASAJES AL INTERIOR</v>
      </c>
      <c r="D205" s="91">
        <f>EGRESOS!E355+EGRESOS!E393+EGRESOS!E874+EGRESOS!E909+EGRESOS!E945+EGRESOS!E985+EGRESOS!E1207+EGRESOS!E1246+EGRESOS!E1785+EGRESOS!E2093</f>
        <v>0</v>
      </c>
      <c r="E205" s="91">
        <f>EGRESOS!F355+EGRESOS!F393+EGRESOS!F874+EGRESOS!F909+EGRESOS!F945+EGRESOS!F985+EGRESOS!F1207+EGRESOS!F1246+EGRESOS!F1785+EGRESOS!F2093</f>
        <v>0</v>
      </c>
      <c r="F205" s="91">
        <f>EGRESOS!G355+EGRESOS!G393+EGRESOS!G874+EGRESOS!G909+EGRESOS!G945+EGRESOS!G985+EGRESOS!G1207+EGRESOS!G1246+EGRESOS!G1785+EGRESOS!G2093</f>
        <v>3600</v>
      </c>
      <c r="G205" s="91">
        <f>EGRESOS!H355+EGRESOS!H393+EGRESOS!H874+EGRESOS!H909+EGRESOS!H945+EGRESOS!H985+EGRESOS!H1207+EGRESOS!H1246+EGRESOS!H1785+EGRESOS!H2093</f>
        <v>3600</v>
      </c>
      <c r="H205" s="30"/>
      <c r="I205" s="30"/>
      <c r="J205" s="30"/>
      <c r="K205" s="30"/>
      <c r="L205" s="30"/>
      <c r="N205" s="109"/>
      <c r="O205" s="2"/>
    </row>
    <row r="206" spans="1:15" ht="15" customHeight="1" x14ac:dyDescent="0.2">
      <c r="A206" s="1">
        <v>6</v>
      </c>
      <c r="B206" s="89">
        <v>54503</v>
      </c>
      <c r="C206" s="94" t="s">
        <v>437</v>
      </c>
      <c r="D206" s="91">
        <f>EGRESOS!E1214</f>
        <v>0</v>
      </c>
      <c r="E206" s="91">
        <f>EGRESOS!F1214</f>
        <v>0</v>
      </c>
      <c r="F206" s="91">
        <f>EGRESOS!G1214</f>
        <v>1200</v>
      </c>
      <c r="G206" s="91">
        <f>EGRESOS!H1214</f>
        <v>1200</v>
      </c>
      <c r="H206" s="30"/>
      <c r="I206" s="30"/>
      <c r="J206" s="30"/>
      <c r="K206" s="30"/>
      <c r="L206" s="30"/>
      <c r="N206" s="109"/>
      <c r="O206" s="2"/>
    </row>
    <row r="207" spans="1:15" ht="15" customHeight="1" x14ac:dyDescent="0.2">
      <c r="A207" s="1">
        <v>6</v>
      </c>
      <c r="B207" s="89">
        <v>54505</v>
      </c>
      <c r="C207" s="94" t="s">
        <v>40</v>
      </c>
      <c r="D207" s="91">
        <f>+EGRESOS!E946+EGRESOS!E986+EGRESOS!E1247+EGRESOS!E1786</f>
        <v>0</v>
      </c>
      <c r="E207" s="91">
        <f>+EGRESOS!F946+EGRESOS!F986+EGRESOS!F1247+EGRESOS!F1786</f>
        <v>0</v>
      </c>
      <c r="F207" s="91">
        <f>+EGRESOS!G946+EGRESOS!G986+EGRESOS!G1247+EGRESOS!G1786</f>
        <v>1100</v>
      </c>
      <c r="G207" s="91">
        <f>+EGRESOS!H946+EGRESOS!H986+EGRESOS!H1247+EGRESOS!H1786</f>
        <v>1100</v>
      </c>
      <c r="H207" s="30"/>
      <c r="I207" s="30"/>
      <c r="J207" s="30"/>
      <c r="K207" s="30"/>
      <c r="L207" s="30"/>
      <c r="N207" s="109"/>
      <c r="O207" s="2"/>
    </row>
    <row r="208" spans="1:15" ht="15" customHeight="1" x14ac:dyDescent="0.2">
      <c r="A208" s="1">
        <v>6</v>
      </c>
      <c r="B208" s="89">
        <f>EGRESOS!C987</f>
        <v>54507</v>
      </c>
      <c r="C208" s="94" t="str">
        <f>EGRESOS!D987</f>
        <v xml:space="preserve">DESARROLLOS INFORMATICOS </v>
      </c>
      <c r="D208" s="91">
        <f>EGRESOS!E910+EGRESOS!E987+EGRESOS!E1215</f>
        <v>0</v>
      </c>
      <c r="E208" s="91">
        <f>EGRESOS!F910+EGRESOS!F987+EGRESOS!F1215</f>
        <v>0</v>
      </c>
      <c r="F208" s="91">
        <f>EGRESOS!G910+EGRESOS!G987+EGRESOS!G1215</f>
        <v>2500</v>
      </c>
      <c r="G208" s="91">
        <f>EGRESOS!H910+EGRESOS!H987+EGRESOS!H1215</f>
        <v>2500</v>
      </c>
      <c r="H208" s="30"/>
      <c r="I208" s="30"/>
      <c r="J208" s="30"/>
      <c r="K208" s="30"/>
      <c r="L208" s="30"/>
      <c r="N208" s="109"/>
      <c r="O208" s="2"/>
    </row>
    <row r="209" spans="1:16" ht="15" customHeight="1" x14ac:dyDescent="0.2">
      <c r="A209" s="1">
        <v>6</v>
      </c>
      <c r="B209" s="89">
        <v>55601</v>
      </c>
      <c r="C209" s="94" t="s">
        <v>191</v>
      </c>
      <c r="D209" s="91">
        <f>EGRESOS!E356</f>
        <v>0</v>
      </c>
      <c r="E209" s="91">
        <f>EGRESOS!F356</f>
        <v>0</v>
      </c>
      <c r="F209" s="91">
        <f>EGRESOS!G356</f>
        <v>2000</v>
      </c>
      <c r="G209" s="91">
        <f>EGRESOS!H356</f>
        <v>2000</v>
      </c>
      <c r="H209" s="30"/>
      <c r="I209" s="30"/>
      <c r="J209" s="30"/>
      <c r="K209" s="30"/>
      <c r="L209" s="30"/>
      <c r="N209" s="109"/>
      <c r="O209" s="2"/>
    </row>
    <row r="210" spans="1:16" ht="15" customHeight="1" x14ac:dyDescent="0.2">
      <c r="A210" s="1">
        <v>6</v>
      </c>
      <c r="B210" s="89">
        <v>55603</v>
      </c>
      <c r="C210" s="94" t="s">
        <v>134</v>
      </c>
      <c r="D210" s="91">
        <f>EGRESOS!E947</f>
        <v>2000</v>
      </c>
      <c r="E210" s="91">
        <f>EGRESOS!F947</f>
        <v>0</v>
      </c>
      <c r="F210" s="91">
        <f>EGRESOS!G947</f>
        <v>2000</v>
      </c>
      <c r="G210" s="91">
        <f>EGRESOS!H947</f>
        <v>4000</v>
      </c>
      <c r="H210" s="30"/>
      <c r="I210" s="30"/>
      <c r="J210" s="30"/>
      <c r="K210" s="30"/>
      <c r="L210" s="30"/>
      <c r="N210" s="109"/>
      <c r="O210" s="2"/>
    </row>
    <row r="211" spans="1:16" ht="15" customHeight="1" x14ac:dyDescent="0.2">
      <c r="A211" s="1">
        <v>6</v>
      </c>
      <c r="B211" s="89">
        <v>55703</v>
      </c>
      <c r="C211" s="62" t="s">
        <v>456</v>
      </c>
      <c r="D211" s="91">
        <f>EGRESOS!E2094</f>
        <v>0</v>
      </c>
      <c r="E211" s="91">
        <f>EGRESOS!F2094</f>
        <v>0</v>
      </c>
      <c r="F211" s="91">
        <f>EGRESOS!G2094</f>
        <v>1200</v>
      </c>
      <c r="G211" s="91">
        <f>EGRESOS!H2094</f>
        <v>1200</v>
      </c>
      <c r="H211" s="30"/>
      <c r="I211" s="30"/>
      <c r="J211" s="30"/>
      <c r="K211" s="30"/>
      <c r="L211" s="30"/>
      <c r="N211" s="109"/>
      <c r="O211" s="2"/>
    </row>
    <row r="212" spans="1:16" ht="15" customHeight="1" x14ac:dyDescent="0.2">
      <c r="A212" s="1">
        <v>6</v>
      </c>
      <c r="B212" s="89">
        <f>EGRESOS!C357</f>
        <v>61101</v>
      </c>
      <c r="C212" s="90" t="str">
        <f>EGRESOS!D357</f>
        <v xml:space="preserve">MOBILIARIO </v>
      </c>
      <c r="D212" s="91">
        <f>EGRESOS!E357+EGRESOS!E394+EGRESOS!E875+EGRESOS!E911+EGRESOS!E948+EGRESOS!E989+EGRESOS!E1216+EGRESOS!E1248+EGRESOS!E1332+EGRESOS!E1787+EGRESOS!E2095</f>
        <v>0</v>
      </c>
      <c r="E212" s="91">
        <f>EGRESOS!F357+EGRESOS!F394+EGRESOS!F875+EGRESOS!F911+EGRESOS!F948+EGRESOS!F989+EGRESOS!F1216+EGRESOS!F1248+EGRESOS!F1332+EGRESOS!F1787+EGRESOS!F2095</f>
        <v>0</v>
      </c>
      <c r="F212" s="91">
        <f>EGRESOS!G357+EGRESOS!G394+EGRESOS!G875+EGRESOS!G911+EGRESOS!G948+EGRESOS!G989+EGRESOS!G1216+EGRESOS!G1248+EGRESOS!G1332+EGRESOS!G1787+EGRESOS!G2095</f>
        <v>14470</v>
      </c>
      <c r="G212" s="91">
        <f>EGRESOS!H357+EGRESOS!H394+EGRESOS!H875+EGRESOS!H911+EGRESOS!H948+EGRESOS!H989+EGRESOS!H1216+EGRESOS!H1248+EGRESOS!H1332+EGRESOS!H1787+EGRESOS!H2095</f>
        <v>14470</v>
      </c>
      <c r="H212" s="30"/>
      <c r="I212" s="30"/>
      <c r="J212" s="30"/>
      <c r="K212" s="30"/>
      <c r="L212" s="30"/>
      <c r="N212" s="109"/>
      <c r="O212" s="2"/>
    </row>
    <row r="213" spans="1:16" ht="15" customHeight="1" x14ac:dyDescent="0.2">
      <c r="A213" s="1">
        <v>6</v>
      </c>
      <c r="B213" s="89">
        <v>61102</v>
      </c>
      <c r="C213" s="90" t="s">
        <v>28</v>
      </c>
      <c r="D213" s="91">
        <f>EGRESOS!E358+EGRESOS!E395+EGRESOS!E876+EGRESOS!E912+EGRESOS!E949+EGRESOS!E990+EGRESOS!E1249+EGRESOS!E1333+EGRESOS!E1788+EGRESOS!E2096</f>
        <v>0</v>
      </c>
      <c r="E213" s="91">
        <f>EGRESOS!F358+EGRESOS!F395+EGRESOS!F876+EGRESOS!F912+EGRESOS!F949+EGRESOS!F990+EGRESOS!F1249+EGRESOS!F1333+EGRESOS!F1788+EGRESOS!F2096</f>
        <v>0</v>
      </c>
      <c r="F213" s="91">
        <f>+EGRESOS!G358+EGRESOS!G395+EGRESOS!G876+EGRESOS!G912+EGRESOS!G949+EGRESOS!G990+EGRESOS!G1217+EGRESOS!G1249+EGRESOS!G1333+EGRESOS!G1788+EGRESOS!G2096+EGRESOS!G1313</f>
        <v>13500</v>
      </c>
      <c r="G213" s="91">
        <f>+EGRESOS!H358+EGRESOS!H395+EGRESOS!H876+EGRESOS!H912+EGRESOS!H949+EGRESOS!H990+EGRESOS!H1217+EGRESOS!H1249+EGRESOS!H1333+EGRESOS!H1788+EGRESOS!H2096</f>
        <v>10500</v>
      </c>
      <c r="H213" s="30"/>
      <c r="I213" s="30"/>
      <c r="J213" s="30"/>
      <c r="K213" s="30"/>
      <c r="L213" s="30"/>
      <c r="N213" s="109"/>
      <c r="O213" s="2"/>
    </row>
    <row r="214" spans="1:16" ht="15" customHeight="1" x14ac:dyDescent="0.2">
      <c r="A214" s="1">
        <v>6</v>
      </c>
      <c r="B214" s="89">
        <f>EGRESOS!C359</f>
        <v>61104</v>
      </c>
      <c r="C214" s="90" t="str">
        <f>EGRESOS!D359</f>
        <v>EQUIPOS INFORMATICOS</v>
      </c>
      <c r="D214" s="91">
        <f>EGRESOS!E359+EGRESOS!E396+EGRESOS!E877+EGRESOS!E913+EGRESOS!E950+EGRESOS!E991+EGRESOS!E1218+EGRESOS!E1250+EGRESOS!E1334+EGRESOS!E1789+EGRESOS!E2097</f>
        <v>0</v>
      </c>
      <c r="E214" s="91">
        <f>EGRESOS!F359+EGRESOS!F396+EGRESOS!F877+EGRESOS!F913+EGRESOS!F950+EGRESOS!F991+EGRESOS!F1218+EGRESOS!F1250+EGRESOS!F1334+EGRESOS!F1789+EGRESOS!F2097</f>
        <v>0</v>
      </c>
      <c r="F214" s="91">
        <f>+EGRESOS!G359+EGRESOS!G396+EGRESOS!G877+EGRESOS!G913+EGRESOS!G950+EGRESOS!G991+EGRESOS!G1218+EGRESOS!G1250+EGRESOS!G1334+EGRESOS!G1789+EGRESOS!G2097+EGRESOS!G1317</f>
        <v>14800</v>
      </c>
      <c r="G214" s="91">
        <f>+EGRESOS!H359+EGRESOS!H396+EGRESOS!H877+EGRESOS!H913+EGRESOS!H950+EGRESOS!H991+EGRESOS!H1218+EGRESOS!H1250+EGRESOS!H1334+EGRESOS!H1789+EGRESOS!H2097</f>
        <v>14300</v>
      </c>
      <c r="H214" s="91">
        <f>EGRESOS!I359+EGRESOS!I877+EGRESOS!I950+EGRESOS!I991+EGRESOS!I1218+EGRESOS!I1250+EGRESOS!I2096</f>
        <v>0</v>
      </c>
      <c r="I214" s="91">
        <f>EGRESOS!J359+EGRESOS!J877+EGRESOS!J950+EGRESOS!J991+EGRESOS!J1218+EGRESOS!J1250+EGRESOS!J2096</f>
        <v>0</v>
      </c>
      <c r="J214" s="91">
        <f>EGRESOS!K359+EGRESOS!K877+EGRESOS!K950+EGRESOS!K991+EGRESOS!K1218+EGRESOS!K1250+EGRESOS!K2096</f>
        <v>0</v>
      </c>
      <c r="K214" s="91">
        <f>EGRESOS!L359+EGRESOS!L877+EGRESOS!L950+EGRESOS!L991+EGRESOS!L1218+EGRESOS!L1250+EGRESOS!L2096</f>
        <v>0</v>
      </c>
      <c r="L214" s="91">
        <f>EGRESOS!M359+EGRESOS!M877+EGRESOS!M950+EGRESOS!M991+EGRESOS!M1218+EGRESOS!M1250+EGRESOS!M2096</f>
        <v>0</v>
      </c>
      <c r="M214" s="93"/>
      <c r="N214" s="109"/>
      <c r="O214" s="2"/>
    </row>
    <row r="215" spans="1:16" ht="15" customHeight="1" x14ac:dyDescent="0.2">
      <c r="A215" s="1">
        <v>6</v>
      </c>
      <c r="B215" s="89">
        <v>61108</v>
      </c>
      <c r="C215" s="90" t="s">
        <v>545</v>
      </c>
      <c r="D215" s="91">
        <f>EGRESOS!E914</f>
        <v>0</v>
      </c>
      <c r="E215" s="91">
        <f>EGRESOS!F914</f>
        <v>0</v>
      </c>
      <c r="F215" s="91">
        <f>EGRESOS!G914</f>
        <v>300</v>
      </c>
      <c r="G215" s="91">
        <f>EGRESOS!H914</f>
        <v>300</v>
      </c>
      <c r="H215" s="30"/>
      <c r="I215" s="30"/>
      <c r="J215" s="30"/>
      <c r="K215" s="30"/>
      <c r="L215" s="30"/>
      <c r="N215" s="109"/>
      <c r="O215" s="2"/>
    </row>
    <row r="216" spans="1:16" ht="15" customHeight="1" x14ac:dyDescent="0.2">
      <c r="A216" s="1">
        <v>6</v>
      </c>
      <c r="B216" s="89">
        <f>EGRESOS!C360</f>
        <v>61199</v>
      </c>
      <c r="C216" s="90" t="str">
        <f>EGRESOS!D360</f>
        <v>BIENES MUEBLES DIVERSOS</v>
      </c>
      <c r="D216" s="91">
        <f>EGRESOS!E360+EGRESOS!E397+EGRESOS!E1219+EGRESOS!E1335+EGRESOS!E1790</f>
        <v>0</v>
      </c>
      <c r="E216" s="91">
        <f>EGRESOS!F360+EGRESOS!F397+EGRESOS!F1219+EGRESOS!F1335+EGRESOS!F1790</f>
        <v>0</v>
      </c>
      <c r="F216" s="91">
        <f>EGRESOS!G360+EGRESOS!G397+EGRESOS!G1219+EGRESOS!G1335+EGRESOS!G1790</f>
        <v>2600</v>
      </c>
      <c r="G216" s="91">
        <f>EGRESOS!H360+EGRESOS!H397+EGRESOS!H1219+EGRESOS!H1335+EGRESOS!H1790</f>
        <v>2600</v>
      </c>
      <c r="H216" s="30"/>
      <c r="I216" s="30"/>
      <c r="J216" s="30"/>
      <c r="K216" s="30"/>
      <c r="L216" s="30"/>
      <c r="N216" s="109"/>
      <c r="O216" s="2"/>
    </row>
    <row r="217" spans="1:16" ht="15" customHeight="1" x14ac:dyDescent="0.2">
      <c r="A217" s="1">
        <v>6</v>
      </c>
      <c r="B217" s="89">
        <f>EGRESOS!C878</f>
        <v>61403</v>
      </c>
      <c r="C217" s="90" t="str">
        <f>EGRESOS!D878</f>
        <v>DERECHO DE PROPIEDAD INTELECTUAL</v>
      </c>
      <c r="D217" s="91">
        <f>EGRESOS!E878+EGRESOS!E915</f>
        <v>0</v>
      </c>
      <c r="E217" s="91">
        <f>EGRESOS!F878+EGRESOS!F915</f>
        <v>0</v>
      </c>
      <c r="F217" s="91">
        <f>EGRESOS!G878+EGRESOS!G915</f>
        <v>1700</v>
      </c>
      <c r="G217" s="91">
        <f>EGRESOS!H878+EGRESOS!H915</f>
        <v>1700</v>
      </c>
      <c r="H217" s="91">
        <f>EGRESOS!I878+EGRESOS!I1219</f>
        <v>0</v>
      </c>
      <c r="I217" s="91">
        <f>EGRESOS!J878+EGRESOS!J1219</f>
        <v>0</v>
      </c>
      <c r="J217" s="91">
        <f>EGRESOS!K878+EGRESOS!K1219</f>
        <v>0</v>
      </c>
      <c r="K217" s="91">
        <f>EGRESOS!L878+EGRESOS!L1219</f>
        <v>0</v>
      </c>
      <c r="L217" s="91">
        <f>EGRESOS!M878+EGRESOS!M1219</f>
        <v>0</v>
      </c>
      <c r="M217" s="93"/>
      <c r="N217" s="109"/>
      <c r="O217" s="2"/>
    </row>
    <row r="218" spans="1:16" ht="15" customHeight="1" x14ac:dyDescent="0.2">
      <c r="A218" s="1" t="s">
        <v>387</v>
      </c>
      <c r="B218" s="89"/>
      <c r="C218" s="89" t="s">
        <v>14</v>
      </c>
      <c r="D218" s="82">
        <f>SUM(D170:D217)</f>
        <v>99900</v>
      </c>
      <c r="E218" s="82">
        <f>SUM(E170:E217)</f>
        <v>0</v>
      </c>
      <c r="F218" s="82">
        <f>SUM(F170:F217)</f>
        <v>826027.33</v>
      </c>
      <c r="G218" s="82">
        <f>+F218+D218</f>
        <v>925927.33</v>
      </c>
      <c r="H218" s="30"/>
      <c r="I218" s="30"/>
      <c r="J218" s="30"/>
      <c r="K218" s="30"/>
      <c r="L218" s="30"/>
      <c r="M218" s="1">
        <f>+EGRESOS!O2337</f>
        <v>925927.33000000007</v>
      </c>
      <c r="N218" s="2">
        <f>+M218-G218</f>
        <v>0</v>
      </c>
      <c r="O218" s="2"/>
      <c r="P218" s="2">
        <f>+G218-N218</f>
        <v>925927.33</v>
      </c>
    </row>
    <row r="219" spans="1:16" ht="15" customHeight="1" x14ac:dyDescent="0.2">
      <c r="A219" s="1" t="s">
        <v>387</v>
      </c>
      <c r="B219" s="7"/>
      <c r="C219" s="7"/>
      <c r="D219" s="85"/>
      <c r="E219" s="85"/>
      <c r="F219" s="86"/>
      <c r="G219" s="86"/>
    </row>
    <row r="220" spans="1:16" ht="15" customHeight="1" x14ac:dyDescent="0.2">
      <c r="A220" s="1" t="s">
        <v>387</v>
      </c>
      <c r="B220" s="7"/>
      <c r="C220" s="7"/>
      <c r="D220" s="85"/>
      <c r="E220" s="85"/>
      <c r="F220" s="86"/>
      <c r="G220" s="86"/>
      <c r="N220" s="3"/>
    </row>
    <row r="221" spans="1:16" ht="15" customHeight="1" x14ac:dyDescent="0.2">
      <c r="A221" s="1" t="s">
        <v>387</v>
      </c>
      <c r="B221" s="7"/>
      <c r="C221" s="113"/>
      <c r="D221" s="114"/>
      <c r="E221" s="114"/>
      <c r="F221" s="114"/>
      <c r="G221" s="114"/>
    </row>
    <row r="222" spans="1:16" ht="15" customHeight="1" x14ac:dyDescent="0.2">
      <c r="A222" s="1" t="s">
        <v>387</v>
      </c>
      <c r="B222" s="404" t="s">
        <v>119</v>
      </c>
      <c r="C222" s="404"/>
      <c r="D222" s="404"/>
      <c r="E222" s="404"/>
      <c r="F222" s="404"/>
      <c r="G222" s="404"/>
    </row>
    <row r="223" spans="1:16" ht="15" customHeight="1" x14ac:dyDescent="0.2">
      <c r="A223" s="1" t="s">
        <v>387</v>
      </c>
      <c r="B223" s="414" t="str">
        <f>+B3</f>
        <v>PRESUPUESTO AÑO 2024</v>
      </c>
      <c r="C223" s="414"/>
      <c r="D223" s="414"/>
      <c r="E223" s="414"/>
      <c r="F223" s="414"/>
      <c r="G223" s="414"/>
    </row>
    <row r="224" spans="1:16" ht="15" customHeight="1" x14ac:dyDescent="0.2">
      <c r="A224" s="1" t="s">
        <v>387</v>
      </c>
      <c r="B224" s="414" t="str">
        <f>B2</f>
        <v>PRESUPUESTO EXTRA CONTABLE</v>
      </c>
      <c r="C224" s="414"/>
      <c r="D224" s="414"/>
      <c r="E224" s="414"/>
      <c r="F224" s="414"/>
      <c r="G224" s="414"/>
    </row>
    <row r="225" spans="1:15" ht="15" customHeight="1" x14ac:dyDescent="0.2">
      <c r="A225" s="1" t="s">
        <v>387</v>
      </c>
      <c r="B225" s="404" t="s">
        <v>117</v>
      </c>
      <c r="C225" s="404"/>
      <c r="D225" s="404"/>
      <c r="E225" s="404"/>
      <c r="F225" s="404"/>
      <c r="G225" s="404"/>
    </row>
    <row r="226" spans="1:15" ht="15" customHeight="1" x14ac:dyDescent="0.2">
      <c r="A226" s="1" t="s">
        <v>387</v>
      </c>
      <c r="B226" s="404" t="s">
        <v>502</v>
      </c>
      <c r="C226" s="404"/>
      <c r="D226" s="404"/>
      <c r="E226" s="404"/>
      <c r="F226" s="404"/>
      <c r="G226" s="404"/>
    </row>
    <row r="227" spans="1:15" ht="15" customHeight="1" x14ac:dyDescent="0.2">
      <c r="A227" s="1" t="s">
        <v>387</v>
      </c>
      <c r="B227" s="415" t="s">
        <v>1</v>
      </c>
      <c r="C227" s="87"/>
      <c r="D227" s="71" t="s">
        <v>56</v>
      </c>
      <c r="E227" s="71" t="str">
        <f>E6</f>
        <v>REFORMA</v>
      </c>
      <c r="F227" s="71" t="s">
        <v>56</v>
      </c>
      <c r="G227" s="88" t="str">
        <f>$G$6</f>
        <v>TOTAL 2024</v>
      </c>
    </row>
    <row r="228" spans="1:15" ht="15" customHeight="1" x14ac:dyDescent="0.2">
      <c r="A228" s="1" t="s">
        <v>387</v>
      </c>
      <c r="B228" s="416"/>
      <c r="C228" s="72" t="s">
        <v>0</v>
      </c>
      <c r="D228" s="71" t="s">
        <v>139</v>
      </c>
      <c r="E228" s="71"/>
      <c r="F228" s="71" t="s">
        <v>140</v>
      </c>
      <c r="G228" s="71"/>
    </row>
    <row r="229" spans="1:15" ht="15" customHeight="1" x14ac:dyDescent="0.2">
      <c r="A229" s="1">
        <v>8</v>
      </c>
      <c r="B229" s="89">
        <f>EGRESOS!C680</f>
        <v>51101</v>
      </c>
      <c r="C229" s="90" t="str">
        <f>EGRESOS!D680</f>
        <v>SUELDOS</v>
      </c>
      <c r="D229" s="115">
        <f>EGRESOS!E680+EGRESOS!E1482+EGRESOS!E1522+EGRESOS!E1725+EGRESOS!E1802+EGRESOS!E1845+EGRESOS!E1884+EGRESOS!E1920+EGRESOS!E1954+EGRESOS!E1988+EGRESOS!E2030</f>
        <v>0</v>
      </c>
      <c r="E229" s="115">
        <f>EGRESOS!F680+EGRESOS!F1482+EGRESOS!F1522+EGRESOS!F1725+EGRESOS!F1802+EGRESOS!F1845+EGRESOS!F1884+EGRESOS!F1920+EGRESOS!F1954+EGRESOS!F1988+EGRESOS!F2030</f>
        <v>0</v>
      </c>
      <c r="F229" s="115">
        <f>EGRESOS!G680+EGRESOS!G1482+EGRESOS!G1522+EGRESOS!G1725+EGRESOS!G1802+EGRESOS!G1845+EGRESOS!G1884+EGRESOS!G1920+EGRESOS!G1954+EGRESOS!G1988+EGRESOS!G2030</f>
        <v>281580</v>
      </c>
      <c r="G229" s="115">
        <f>EGRESOS!H680+EGRESOS!H1482+EGRESOS!H1522+EGRESOS!H1725+EGRESOS!H1802+EGRESOS!H1845+EGRESOS!H1884+EGRESOS!H1920+EGRESOS!H1954+EGRESOS!H1988+EGRESOS!H2030</f>
        <v>281580</v>
      </c>
      <c r="H229" s="115">
        <f>EGRESOS!I680+EGRESOS!I1482+EGRESOS!I1522+EGRESOS!I1683+EGRESOS!I1725+EGRESOS!I1759+EGRESOS!I1802+EGRESOS!I1845+EGRESOS!I1884+EGRESOS!I1920+EGRESOS!I1954+EGRESOS!I1988</f>
        <v>0</v>
      </c>
      <c r="I229" s="115">
        <f>EGRESOS!J680+EGRESOS!J1482+EGRESOS!J1522+EGRESOS!J1683+EGRESOS!J1725+EGRESOS!J1759+EGRESOS!J1802+EGRESOS!J1845+EGRESOS!J1884+EGRESOS!J1920+EGRESOS!J1954+EGRESOS!J1988</f>
        <v>0</v>
      </c>
      <c r="J229" s="115">
        <f>EGRESOS!K680+EGRESOS!K1482+EGRESOS!K1522+EGRESOS!K1683+EGRESOS!K1725+EGRESOS!K1759+EGRESOS!K1802+EGRESOS!K1845+EGRESOS!K1884+EGRESOS!K1920+EGRESOS!K1954+EGRESOS!K1988</f>
        <v>0</v>
      </c>
      <c r="K229" s="115">
        <f>EGRESOS!L680+EGRESOS!L1482+EGRESOS!L1522+EGRESOS!L1683+EGRESOS!L1725+EGRESOS!L1759+EGRESOS!L1802+EGRESOS!L1845+EGRESOS!L1884+EGRESOS!L1920+EGRESOS!L1954+EGRESOS!L1988</f>
        <v>0</v>
      </c>
      <c r="L229" s="115">
        <f>EGRESOS!M680+EGRESOS!M1482+EGRESOS!M1522+EGRESOS!M1683+EGRESOS!M1725+EGRESOS!M1759+EGRESOS!M1802+EGRESOS!M1845+EGRESOS!M1884+EGRESOS!M1920+EGRESOS!M1954+EGRESOS!M1988</f>
        <v>0</v>
      </c>
      <c r="M229" s="116"/>
      <c r="N229" s="2"/>
      <c r="O229" s="2"/>
    </row>
    <row r="230" spans="1:15" ht="15" customHeight="1" x14ac:dyDescent="0.2">
      <c r="A230" s="1">
        <v>8</v>
      </c>
      <c r="B230" s="89">
        <f>EGRESOS!C681</f>
        <v>51103</v>
      </c>
      <c r="C230" s="90" t="str">
        <f>EGRESOS!D681</f>
        <v>AGUINALDO</v>
      </c>
      <c r="D230" s="115">
        <f>EGRESOS!E681+EGRESOS!E1483+EGRESOS!E1523+EGRESOS!E1726+EGRESOS!E1803+EGRESOS!E1846+EGRESOS!E1885+EGRESOS!E1921+EGRESOS!E1955+EGRESOS!E1989+EGRESOS!E2031</f>
        <v>0</v>
      </c>
      <c r="E230" s="115">
        <f>EGRESOS!F681+EGRESOS!F1483+EGRESOS!F1523+EGRESOS!F1726+EGRESOS!F1803+EGRESOS!F1846+EGRESOS!F1885+EGRESOS!F1921+EGRESOS!F1955+EGRESOS!F1989+EGRESOS!F2031</f>
        <v>0</v>
      </c>
      <c r="F230" s="115">
        <f>EGRESOS!G681+EGRESOS!G1483+EGRESOS!G1523+EGRESOS!G1726+EGRESOS!G1803+EGRESOS!G1846+EGRESOS!G1885+EGRESOS!G1921+EGRESOS!G1955+EGRESOS!G1989+EGRESOS!G2031</f>
        <v>23465</v>
      </c>
      <c r="G230" s="115">
        <f>EGRESOS!H681+EGRESOS!H1483+EGRESOS!H1523+EGRESOS!H1726+EGRESOS!H1803+EGRESOS!H1846+EGRESOS!H1885+EGRESOS!H1921+EGRESOS!H1955+EGRESOS!H1989+EGRESOS!H2031</f>
        <v>23465</v>
      </c>
      <c r="N230" s="2"/>
      <c r="O230" s="2"/>
    </row>
    <row r="231" spans="1:15" ht="15" customHeight="1" x14ac:dyDescent="0.2">
      <c r="A231" s="1">
        <v>8</v>
      </c>
      <c r="B231" s="89">
        <v>51107</v>
      </c>
      <c r="C231" s="90" t="s">
        <v>34</v>
      </c>
      <c r="D231" s="115">
        <f>EGRESOS!E682+EGRESOS!E1484+EGRESOS!E1524+EGRESOS!E1727+EGRESOS!E1804+EGRESOS!E1847+EGRESOS!E1886+EGRESOS!E1922+EGRESOS!E1956+EGRESOS!E1990+EGRESOS!E2032</f>
        <v>0</v>
      </c>
      <c r="E231" s="115">
        <f>EGRESOS!F682+EGRESOS!F1484+EGRESOS!F1524+EGRESOS!F1727+EGRESOS!F1804+EGRESOS!F1847+EGRESOS!F1886+EGRESOS!F1922+EGRESOS!F1956+EGRESOS!F1990+EGRESOS!F2032</f>
        <v>0</v>
      </c>
      <c r="F231" s="115">
        <f>EGRESOS!G682+EGRESOS!G1484+EGRESOS!G1524+EGRESOS!G1727+EGRESOS!G1804+EGRESOS!G1847+EGRESOS!G1886+EGRESOS!G1922+EGRESOS!G1956+EGRESOS!G1990+EGRESOS!G2032</f>
        <v>10600</v>
      </c>
      <c r="G231" s="115">
        <f>EGRESOS!H682+EGRESOS!H1484+EGRESOS!H1524+EGRESOS!H1727+EGRESOS!H1804+EGRESOS!H1847+EGRESOS!H1886+EGRESOS!H1922+EGRESOS!H1956+EGRESOS!H1990+EGRESOS!H2032</f>
        <v>10600</v>
      </c>
      <c r="N231" s="2"/>
      <c r="O231" s="2"/>
    </row>
    <row r="232" spans="1:15" ht="15" customHeight="1" x14ac:dyDescent="0.2">
      <c r="A232" s="1">
        <v>8</v>
      </c>
      <c r="B232" s="89">
        <f>EGRESOS!C683</f>
        <v>51401</v>
      </c>
      <c r="C232" s="90" t="str">
        <f>EGRESOS!D683</f>
        <v>POR REMUN. PERM. (INPEP,  ISSS, INSAFORP)</v>
      </c>
      <c r="D232" s="115">
        <f>EGRESOS!E683+EGRESOS!E1485+EGRESOS!E1525+EGRESOS!E1728+EGRESOS!E1805+EGRESOS!E1848+EGRESOS!E1887+EGRESOS!E1923+EGRESOS!E1957+EGRESOS!E1991+EGRESOS!E2033</f>
        <v>0</v>
      </c>
      <c r="E232" s="115">
        <f>EGRESOS!F683+EGRESOS!F1485+EGRESOS!F1525+EGRESOS!F1728+EGRESOS!F1805+EGRESOS!F1848+EGRESOS!F1887+EGRESOS!F1923+EGRESOS!F1957+EGRESOS!F1991+EGRESOS!F2033</f>
        <v>0</v>
      </c>
      <c r="F232" s="115">
        <f>EGRESOS!G683+EGRESOS!G1485+EGRESOS!G1525+EGRESOS!G1728+EGRESOS!G1805+EGRESOS!G1848+EGRESOS!G1887+EGRESOS!G1923+EGRESOS!G1957+EGRESOS!G1991+EGRESOS!G2033</f>
        <v>23551.98</v>
      </c>
      <c r="G232" s="115">
        <f>EGRESOS!H683+EGRESOS!H1485+EGRESOS!H1525+EGRESOS!H1728+EGRESOS!H1805+EGRESOS!H1848+EGRESOS!H1887+EGRESOS!H1923+EGRESOS!H1957+EGRESOS!H1991+EGRESOS!H2033</f>
        <v>23551.98</v>
      </c>
      <c r="N232" s="2"/>
      <c r="O232" s="2"/>
    </row>
    <row r="233" spans="1:15" ht="15" customHeight="1" x14ac:dyDescent="0.2">
      <c r="A233" s="1">
        <v>8</v>
      </c>
      <c r="B233" s="89">
        <f>EGRESOS!C684</f>
        <v>51501</v>
      </c>
      <c r="C233" s="90" t="str">
        <f>EGRESOS!D684</f>
        <v>POR REMUNERACIONES PERMANENTES (AFP)</v>
      </c>
      <c r="D233" s="115">
        <f>EGRESOS!E684+EGRESOS!E1486+EGRESOS!E1526+EGRESOS!E1729+EGRESOS!E1806+EGRESOS!E1849+EGRESOS!E1888+EGRESOS!E1924+EGRESOS!E1958+EGRESOS!E1992+EGRESOS!E2034</f>
        <v>0</v>
      </c>
      <c r="E233" s="115">
        <f>EGRESOS!F684+EGRESOS!F1486+EGRESOS!F1526+EGRESOS!F1729+EGRESOS!F1806+EGRESOS!F1849+EGRESOS!F1888+EGRESOS!F1924+EGRESOS!F1958+EGRESOS!F1992+EGRESOS!F2034</f>
        <v>0</v>
      </c>
      <c r="F233" s="115">
        <f>EGRESOS!G684+EGRESOS!G1486+EGRESOS!G1526+EGRESOS!G1729+EGRESOS!G1806+EGRESOS!G1849+EGRESOS!G1888+EGRESOS!G1924+EGRESOS!G1958+EGRESOS!G1992+EGRESOS!G2034</f>
        <v>24638.25</v>
      </c>
      <c r="G233" s="115">
        <f>EGRESOS!H684+EGRESOS!H1486+EGRESOS!H1526+EGRESOS!H1729+EGRESOS!H1806+EGRESOS!H1849+EGRESOS!H1888+EGRESOS!H1924+EGRESOS!H1958+EGRESOS!H1992+EGRESOS!H2034</f>
        <v>24638.25</v>
      </c>
      <c r="N233" s="2"/>
      <c r="O233" s="2"/>
    </row>
    <row r="234" spans="1:15" ht="15" customHeight="1" x14ac:dyDescent="0.2">
      <c r="A234" s="1">
        <v>8</v>
      </c>
      <c r="B234" s="89">
        <f>EGRESOS!C685</f>
        <v>54101</v>
      </c>
      <c r="C234" s="90" t="str">
        <f>EGRESOS!D685</f>
        <v>PRODUCTOS ALIMENTICIOS PARA PERSONAS</v>
      </c>
      <c r="D234" s="115">
        <f>EGRESOS!E685+EGRESOS!E1487+EGRESOS!E1527+EGRESOS!E1730+EGRESOS!E1807+EGRESOS!E1850+EGRESOS!E1889+EGRESOS!E1925+EGRESOS!E1959+EGRESOS!E1993+EGRESOS!E2035</f>
        <v>0</v>
      </c>
      <c r="E234" s="115">
        <f>EGRESOS!F685+EGRESOS!F1487+EGRESOS!F1527+EGRESOS!F1730+EGRESOS!F1807+EGRESOS!F1850+EGRESOS!F1889+EGRESOS!F1925+EGRESOS!F1959+EGRESOS!F1993+EGRESOS!F2035</f>
        <v>0</v>
      </c>
      <c r="F234" s="115">
        <f>EGRESOS!G685+EGRESOS!G1487+EGRESOS!G1527+EGRESOS!G1730+EGRESOS!G1807+EGRESOS!G1850+EGRESOS!G1889+EGRESOS!G1925+EGRESOS!G1959+EGRESOS!G1993+EGRESOS!G2035</f>
        <v>15950</v>
      </c>
      <c r="G234" s="115">
        <f>EGRESOS!H685+EGRESOS!H1487+EGRESOS!H1527+EGRESOS!H1730+EGRESOS!H1807+EGRESOS!H1850+EGRESOS!H1889+EGRESOS!H1925+EGRESOS!H1959+EGRESOS!H1993+EGRESOS!H2035</f>
        <v>15950</v>
      </c>
      <c r="N234" s="2"/>
      <c r="O234" s="2"/>
    </row>
    <row r="235" spans="1:15" ht="15" customHeight="1" x14ac:dyDescent="0.2">
      <c r="A235" s="1">
        <v>8</v>
      </c>
      <c r="B235" s="89">
        <f>EGRESOS!C686</f>
        <v>54103</v>
      </c>
      <c r="C235" s="90" t="str">
        <f>EGRESOS!D686</f>
        <v>PRODUCTOS AGROPECUARIOS Y FORESTALES</v>
      </c>
      <c r="D235" s="115">
        <f>EGRESOS!E686+EGRESOS!E1926</f>
        <v>0</v>
      </c>
      <c r="E235" s="115">
        <f>EGRESOS!F686+EGRESOS!F1926</f>
        <v>0</v>
      </c>
      <c r="F235" s="115">
        <f>EGRESOS!G686+EGRESOS!G1926</f>
        <v>1500</v>
      </c>
      <c r="G235" s="115">
        <f>EGRESOS!H686+EGRESOS!H1926</f>
        <v>1500</v>
      </c>
      <c r="H235" s="115">
        <f>+EGRESOS!I1926+EGRESOS!I686</f>
        <v>0</v>
      </c>
      <c r="I235" s="115">
        <f>+EGRESOS!J1926+EGRESOS!J686</f>
        <v>0</v>
      </c>
      <c r="J235" s="115">
        <f>+EGRESOS!K1926+EGRESOS!K686</f>
        <v>0</v>
      </c>
      <c r="K235" s="115">
        <f>+EGRESOS!L1926+EGRESOS!L686</f>
        <v>0</v>
      </c>
      <c r="L235" s="115">
        <f>+EGRESOS!M1926+EGRESOS!M686</f>
        <v>0</v>
      </c>
      <c r="M235" s="116"/>
      <c r="N235" s="117"/>
      <c r="O235" s="2"/>
    </row>
    <row r="236" spans="1:15" ht="15" customHeight="1" x14ac:dyDescent="0.2">
      <c r="A236" s="1">
        <v>8</v>
      </c>
      <c r="B236" s="89">
        <f>EGRESOS!C687</f>
        <v>54104</v>
      </c>
      <c r="C236" s="90" t="str">
        <f>EGRESOS!D687</f>
        <v>PRODUCTOS TEXTILES Y VESTUARIOS</v>
      </c>
      <c r="D236" s="115">
        <f>EGRESOS!E687+EGRESOS!E1488+EGRESOS!E1528+EGRESOS!E1731+EGRESOS!E1808+EGRESOS!E1851+EGRESOS!E1890+EGRESOS!E1927+EGRESOS!E1960+EGRESOS!E1994+EGRESOS!E2036</f>
        <v>0</v>
      </c>
      <c r="E236" s="115">
        <f>EGRESOS!F687+EGRESOS!F1488+EGRESOS!F1528+EGRESOS!F1731+EGRESOS!F1808+EGRESOS!F1851+EGRESOS!F1890+EGRESOS!F1927+EGRESOS!F1960+EGRESOS!F1994+EGRESOS!F2036</f>
        <v>0</v>
      </c>
      <c r="F236" s="115">
        <f>EGRESOS!G687+EGRESOS!G1488+EGRESOS!G1528+EGRESOS!G1731+EGRESOS!G1808+EGRESOS!G1851+EGRESOS!G1890+EGRESOS!G1927+EGRESOS!G1960+EGRESOS!G1994+EGRESOS!G2036</f>
        <v>6800</v>
      </c>
      <c r="G236" s="115">
        <f>EGRESOS!H687+EGRESOS!H1488+EGRESOS!H1528+EGRESOS!H1731+EGRESOS!H1808+EGRESOS!H1851+EGRESOS!H1890+EGRESOS!H1927+EGRESOS!H1960+EGRESOS!H1994+EGRESOS!H2036</f>
        <v>6800</v>
      </c>
      <c r="N236" s="2"/>
      <c r="O236" s="2"/>
    </row>
    <row r="237" spans="1:15" ht="15" customHeight="1" x14ac:dyDescent="0.2">
      <c r="A237" s="1">
        <v>8</v>
      </c>
      <c r="B237" s="89">
        <f>EGRESOS!C689</f>
        <v>54106</v>
      </c>
      <c r="C237" s="90" t="str">
        <f>EGRESOS!D689</f>
        <v>PRODUCTOS DE CUERO Y CAUCHO</v>
      </c>
      <c r="D237" s="115">
        <f>EGRESOS!E689+EGRESOS!E1490+EGRESOS!E1810+EGRESOS!E1853+EGRESOS!E1962+EGRESOS!E1996</f>
        <v>0</v>
      </c>
      <c r="E237" s="115">
        <f>EGRESOS!F689+EGRESOS!F1490+EGRESOS!F1810+EGRESOS!F1853+EGRESOS!F1962+EGRESOS!F1996</f>
        <v>0</v>
      </c>
      <c r="F237" s="115">
        <f>EGRESOS!G689+EGRESOS!G1490+EGRESOS!G1810+EGRESOS!G1853+EGRESOS!G1962+EGRESOS!G1996</f>
        <v>3100</v>
      </c>
      <c r="G237" s="115">
        <f>EGRESOS!H689+EGRESOS!H1490+EGRESOS!H1810+EGRESOS!H1853+EGRESOS!H1962+EGRESOS!H1996</f>
        <v>3100</v>
      </c>
      <c r="H237" s="115">
        <f>EGRESOS!I689+EGRESOS!I1490</f>
        <v>0</v>
      </c>
      <c r="I237" s="115">
        <f>EGRESOS!J689+EGRESOS!J1490</f>
        <v>0</v>
      </c>
      <c r="J237" s="115">
        <f>EGRESOS!K689+EGRESOS!K1490</f>
        <v>0</v>
      </c>
      <c r="K237" s="115">
        <f>EGRESOS!L689+EGRESOS!L1490</f>
        <v>0</v>
      </c>
      <c r="L237" s="115">
        <f>EGRESOS!M689+EGRESOS!M1490</f>
        <v>0</v>
      </c>
      <c r="M237" s="116"/>
      <c r="N237" s="2"/>
      <c r="O237" s="2"/>
    </row>
    <row r="238" spans="1:15" ht="15" customHeight="1" x14ac:dyDescent="0.2">
      <c r="A238" s="1">
        <v>8</v>
      </c>
      <c r="B238" s="89">
        <v>54105</v>
      </c>
      <c r="C238" s="90" t="s">
        <v>3</v>
      </c>
      <c r="D238" s="115">
        <v>0</v>
      </c>
      <c r="E238" s="115"/>
      <c r="F238" s="115">
        <f>+EGRESOS!G688+EGRESOS!G1489+EGRESOS!G1529+EGRESOS!G1732+EGRESOS!G1809+EGRESOS!G1852+EGRESOS!G1891+EGRESOS!G1928+EGRESOS!G1961+EGRESOS!G1995+EGRESOS!G2037+EGRESOS!G1852</f>
        <v>9780</v>
      </c>
      <c r="G238" s="115">
        <f>+EGRESOS!H688+EGRESOS!H1489+EGRESOS!H1529+EGRESOS!H1732+EGRESOS!H1809+EGRESOS!H1852+EGRESOS!H1891+EGRESOS!H1928+EGRESOS!H1961+EGRESOS!H1995+EGRESOS!H2037</f>
        <v>9480</v>
      </c>
      <c r="H238" s="117"/>
      <c r="I238" s="117"/>
      <c r="J238" s="117"/>
      <c r="K238" s="117"/>
      <c r="L238" s="117"/>
      <c r="M238" s="117"/>
      <c r="N238" s="2"/>
      <c r="O238" s="2"/>
    </row>
    <row r="239" spans="1:15" ht="15" customHeight="1" x14ac:dyDescent="0.2">
      <c r="A239" s="1">
        <v>8</v>
      </c>
      <c r="B239" s="89">
        <f>EGRESOS!C690</f>
        <v>54107</v>
      </c>
      <c r="C239" s="90" t="str">
        <f>EGRESOS!D690</f>
        <v>PRODUCTOS QUIMICOS</v>
      </c>
      <c r="D239" s="115">
        <f>EGRESOS!E690+EGRESOS!E1491+EGRESOS!E1530+EGRESOS!E1733+EGRESOS!E1854+EGRESOS!E1929+EGRESOS!E1963+EGRESOS!E1997+EGRESOS!E2038</f>
        <v>0</v>
      </c>
      <c r="E239" s="115">
        <f>EGRESOS!F690+EGRESOS!F1491+EGRESOS!F1530+EGRESOS!F1733+EGRESOS!F1854+EGRESOS!F1929+EGRESOS!F1963+EGRESOS!F1997+EGRESOS!F2038</f>
        <v>0</v>
      </c>
      <c r="F239" s="115">
        <f>EGRESOS!G690+EGRESOS!G1491+EGRESOS!G1530+EGRESOS!G1733+EGRESOS!G1854+EGRESOS!G1929+EGRESOS!G1963+EGRESOS!G1997+EGRESOS!G2038</f>
        <v>9110</v>
      </c>
      <c r="G239" s="115">
        <f>EGRESOS!H690+EGRESOS!H1491+EGRESOS!H1530+EGRESOS!H1733+EGRESOS!H1854+EGRESOS!H1929+EGRESOS!H1963+EGRESOS!H1997+EGRESOS!H2038</f>
        <v>9110</v>
      </c>
      <c r="N239" s="2"/>
      <c r="O239" s="2"/>
    </row>
    <row r="240" spans="1:15" ht="15" customHeight="1" x14ac:dyDescent="0.2">
      <c r="A240" s="1">
        <v>8</v>
      </c>
      <c r="B240" s="110">
        <f>EGRESOS!C691</f>
        <v>54108</v>
      </c>
      <c r="C240" s="111" t="str">
        <f>EGRESOS!D691</f>
        <v>PRODUCTOS FARMACEUTICOS Y MEDICINALES</v>
      </c>
      <c r="D240" s="118">
        <f>EGRESOS!E691+EGRESOS!E1734+EGRESOS!E1855</f>
        <v>0</v>
      </c>
      <c r="E240" s="118">
        <f>EGRESOS!F691+EGRESOS!F1734+EGRESOS!F1855</f>
        <v>0</v>
      </c>
      <c r="F240" s="118">
        <f>EGRESOS!G691+EGRESOS!G1734+EGRESOS!G1855</f>
        <v>10400</v>
      </c>
      <c r="G240" s="118">
        <f>EGRESOS!H691+EGRESOS!H1734+EGRESOS!H1855</f>
        <v>10400</v>
      </c>
      <c r="N240" s="2"/>
      <c r="O240" s="2"/>
    </row>
    <row r="241" spans="1:15" ht="15" customHeight="1" x14ac:dyDescent="0.2">
      <c r="A241" s="1">
        <v>8</v>
      </c>
      <c r="B241" s="89">
        <f>EGRESOS!C693</f>
        <v>54110</v>
      </c>
      <c r="C241" s="90" t="str">
        <f>EGRESOS!D693</f>
        <v>COMBUSTIBLE Y LUBRICANTES</v>
      </c>
      <c r="D241" s="115">
        <f>EGRESOS!E693+EGRESOS!E1492+EGRESOS!E1856+EGRESOS!E1930+EGRESOS!E1998+EGRESOS!E2039</f>
        <v>0</v>
      </c>
      <c r="E241" s="115">
        <f>EGRESOS!F693+EGRESOS!F1492+EGRESOS!F1856+EGRESOS!F1930+EGRESOS!F1998+EGRESOS!F2039</f>
        <v>0</v>
      </c>
      <c r="F241" s="115">
        <f>EGRESOS!G693+EGRESOS!G1492+EGRESOS!G1856+EGRESOS!G1930+EGRESOS!G1998+EGRESOS!G2039</f>
        <v>3900</v>
      </c>
      <c r="G241" s="115">
        <f>EGRESOS!H693+EGRESOS!H1492+EGRESOS!H1856+EGRESOS!H1930+EGRESOS!H1998+EGRESOS!H2039</f>
        <v>3900</v>
      </c>
      <c r="N241" s="2"/>
      <c r="O241" s="2"/>
    </row>
    <row r="242" spans="1:15" ht="15" customHeight="1" x14ac:dyDescent="0.2">
      <c r="A242" s="1">
        <v>8</v>
      </c>
      <c r="B242" s="110">
        <f>EGRESOS!C694</f>
        <v>54111</v>
      </c>
      <c r="C242" s="111" t="str">
        <f>EGRESOS!D694</f>
        <v>MINERALES NO METALICOS Y PRODUCTOS DERIVADOS</v>
      </c>
      <c r="D242" s="118">
        <f>EGRESOS!E694+EGRESOS!E1493+EGRESOS!E1531+EGRESOS!E1735+EGRESOS!E1811+EGRESOS!E1857+EGRESOS!E1892+EGRESOS!E1931+EGRESOS!E1964+EGRESOS!E1999+EGRESOS!E2040</f>
        <v>0</v>
      </c>
      <c r="E242" s="118">
        <f>EGRESOS!F694+EGRESOS!F1493+EGRESOS!F1531+EGRESOS!F1735+EGRESOS!F1811+EGRESOS!F1857+EGRESOS!F1892+EGRESOS!F1931+EGRESOS!F1964+EGRESOS!F1999+EGRESOS!F2040</f>
        <v>0</v>
      </c>
      <c r="F242" s="118">
        <f>EGRESOS!G694+EGRESOS!G1493+EGRESOS!G1531+EGRESOS!G1735+EGRESOS!G1811+EGRESOS!G1857+EGRESOS!G1892+EGRESOS!G1931+EGRESOS!G1964+EGRESOS!G1999+EGRESOS!G2040</f>
        <v>4650</v>
      </c>
      <c r="G242" s="118">
        <f>EGRESOS!H694+EGRESOS!H1493+EGRESOS!H1531+EGRESOS!H1735+EGRESOS!H1811+EGRESOS!H1857+EGRESOS!H1892+EGRESOS!H1931+EGRESOS!H1964+EGRESOS!H1999+EGRESOS!H2040</f>
        <v>4650</v>
      </c>
      <c r="N242" s="2"/>
      <c r="O242" s="2"/>
    </row>
    <row r="243" spans="1:15" ht="15" customHeight="1" x14ac:dyDescent="0.2">
      <c r="A243" s="1">
        <v>8</v>
      </c>
      <c r="B243" s="89">
        <f>EGRESOS!C695</f>
        <v>54112</v>
      </c>
      <c r="C243" s="90" t="str">
        <f>EGRESOS!D695</f>
        <v>MINERALES METALICOS Y PRODUCTOS DERIVADOS</v>
      </c>
      <c r="D243" s="115">
        <f>EGRESOS!E695+EGRESOS!E1494+EGRESOS!E1532+EGRESOS!E1736+EGRESOS!E1812+EGRESOS!E1858+EGRESOS!E1893+EGRESOS!E1932+EGRESOS!E1965+EGRESOS!E2000+EGRESOS!E2041</f>
        <v>0</v>
      </c>
      <c r="E243" s="115">
        <f>EGRESOS!F695+EGRESOS!F1494+EGRESOS!F1532+EGRESOS!F1736+EGRESOS!F1812+EGRESOS!F1858+EGRESOS!F1893+EGRESOS!F1932+EGRESOS!F1965+EGRESOS!F2000+EGRESOS!F2041</f>
        <v>0</v>
      </c>
      <c r="F243" s="115">
        <f>EGRESOS!G695+EGRESOS!G1494+EGRESOS!G1532+EGRESOS!G1736+EGRESOS!G1812+EGRESOS!G1858+EGRESOS!G1893+EGRESOS!G1932+EGRESOS!G1965+EGRESOS!G2000+EGRESOS!G2041</f>
        <v>5370</v>
      </c>
      <c r="G243" s="115">
        <f>EGRESOS!H695+EGRESOS!H1494+EGRESOS!H1532+EGRESOS!H1736+EGRESOS!H1812+EGRESOS!H1858+EGRESOS!H1893+EGRESOS!H1932+EGRESOS!H1965+EGRESOS!H2000+EGRESOS!H2041</f>
        <v>5370</v>
      </c>
      <c r="N243" s="2"/>
      <c r="O243" s="2"/>
    </row>
    <row r="244" spans="1:15" ht="15" customHeight="1" x14ac:dyDescent="0.2">
      <c r="A244" s="1">
        <v>8</v>
      </c>
      <c r="B244" s="89">
        <f>EGRESOS!C696</f>
        <v>54113</v>
      </c>
      <c r="C244" s="90" t="str">
        <f>EGRESOS!D696</f>
        <v>MATERIALES E INSTRUMENTAL DE LABORATORIO Y USO MEDICO</v>
      </c>
      <c r="D244" s="115">
        <f>EGRESOS!E696+EGRESOS!E1737+EGRESOS!E2001+EGRESOS!E2042</f>
        <v>0</v>
      </c>
      <c r="E244" s="115">
        <f>EGRESOS!F696+EGRESOS!F1737+EGRESOS!F2001+EGRESOS!F2042</f>
        <v>0</v>
      </c>
      <c r="F244" s="115">
        <f>EGRESOS!G696+EGRESOS!G1737+EGRESOS!G2001+EGRESOS!G2042</f>
        <v>16150</v>
      </c>
      <c r="G244" s="115">
        <f>EGRESOS!H696+EGRESOS!H1737+EGRESOS!H2001+EGRESOS!H2042</f>
        <v>16150</v>
      </c>
      <c r="N244" s="2"/>
      <c r="O244" s="2"/>
    </row>
    <row r="245" spans="1:15" ht="15" customHeight="1" x14ac:dyDescent="0.2">
      <c r="A245" s="1">
        <v>8</v>
      </c>
      <c r="B245" s="89">
        <f>EGRESOS!C697</f>
        <v>54114</v>
      </c>
      <c r="C245" s="90" t="str">
        <f>EGRESOS!D697</f>
        <v>MATERIALES DE OFICINA</v>
      </c>
      <c r="D245" s="115">
        <f>EGRESOS!E697+EGRESOS!E1495+EGRESOS!E1533+EGRESOS!E1738+EGRESOS!E1813+EGRESOS!E1859+EGRESOS!E1894+EGRESOS!E1933+EGRESOS!E1966+EGRESOS!E2002+EGRESOS!E2043</f>
        <v>0</v>
      </c>
      <c r="E245" s="115">
        <f>EGRESOS!F697+EGRESOS!F1495+EGRESOS!F1533+EGRESOS!F1738+EGRESOS!F1813+EGRESOS!F1859+EGRESOS!F1894+EGRESOS!F1933+EGRESOS!F1966+EGRESOS!F2002+EGRESOS!F2043</f>
        <v>0</v>
      </c>
      <c r="F245" s="115">
        <f>EGRESOS!G697+EGRESOS!G1495+EGRESOS!G1533+EGRESOS!G1738+EGRESOS!G1813+EGRESOS!G1859+EGRESOS!G1894+EGRESOS!G1933+EGRESOS!G1966+EGRESOS!G2002+EGRESOS!G2043</f>
        <v>6970</v>
      </c>
      <c r="G245" s="115">
        <f>EGRESOS!H697+EGRESOS!H1495+EGRESOS!H1533+EGRESOS!H1738+EGRESOS!H1813+EGRESOS!H1859+EGRESOS!H1894+EGRESOS!H1933+EGRESOS!H1966+EGRESOS!H2002+EGRESOS!H2043</f>
        <v>6970</v>
      </c>
      <c r="N245" s="2"/>
      <c r="O245" s="2"/>
    </row>
    <row r="246" spans="1:15" ht="15" customHeight="1" x14ac:dyDescent="0.2">
      <c r="A246" s="1">
        <v>8</v>
      </c>
      <c r="B246" s="89">
        <f>EGRESOS!C698</f>
        <v>54115</v>
      </c>
      <c r="C246" s="90" t="str">
        <f>EGRESOS!D698</f>
        <v>MATERIALES INFORMATICOS</v>
      </c>
      <c r="D246" s="115">
        <f>EGRESOS!E698+EGRESOS!E1496+EGRESOS!E1534+EGRESOS!E1739+EGRESOS!E1814+EGRESOS!E1860+EGRESOS!E1895+EGRESOS!E1934+EGRESOS!E1967+EGRESOS!E2003+EGRESOS!E2044</f>
        <v>0</v>
      </c>
      <c r="E246" s="115">
        <f>EGRESOS!F698+EGRESOS!F1496+EGRESOS!F1534+EGRESOS!F1739+EGRESOS!F1814+EGRESOS!F1860+EGRESOS!F1895+EGRESOS!F1934+EGRESOS!F1967+EGRESOS!F2003+EGRESOS!F2044</f>
        <v>0</v>
      </c>
      <c r="F246" s="115">
        <f>EGRESOS!G698+EGRESOS!G1496+EGRESOS!G1534+EGRESOS!G1739+EGRESOS!G1814+EGRESOS!G1860+EGRESOS!G1895+EGRESOS!G1934+EGRESOS!G1967+EGRESOS!G2003+EGRESOS!G2044</f>
        <v>7125</v>
      </c>
      <c r="G246" s="115">
        <f>EGRESOS!H698+EGRESOS!H1496+EGRESOS!H1534+EGRESOS!H1739+EGRESOS!H1814+EGRESOS!H1860+EGRESOS!H1895+EGRESOS!H1934+EGRESOS!H1967+EGRESOS!H2003+EGRESOS!H2044</f>
        <v>7125</v>
      </c>
      <c r="N246" s="2"/>
      <c r="O246" s="2"/>
    </row>
    <row r="247" spans="1:15" ht="15" customHeight="1" x14ac:dyDescent="0.2">
      <c r="A247" s="1">
        <v>8</v>
      </c>
      <c r="B247" s="89">
        <f>EGRESOS!C699</f>
        <v>54116</v>
      </c>
      <c r="C247" s="90" t="str">
        <f>EGRESOS!D699</f>
        <v>LIBROS, TEXTOS Y UTILES DE ENSEÑANZAS Y PUBLICACIONES</v>
      </c>
      <c r="D247" s="115">
        <f>EGRESOS!E699+EGRESOS!E1497+EGRESOS!E1535+EGRESOS!E1815+EGRESOS!E1861+EGRESOS!E1896+EGRESOS!E2004+EGRESOS!E2045</f>
        <v>0</v>
      </c>
      <c r="E247" s="115">
        <f>EGRESOS!F699+EGRESOS!F1497+EGRESOS!F1535+EGRESOS!F1815+EGRESOS!F1861+EGRESOS!F1896+EGRESOS!F2004+EGRESOS!F2045</f>
        <v>0</v>
      </c>
      <c r="F247" s="115">
        <f>EGRESOS!G699+EGRESOS!G1497+EGRESOS!G1535+EGRESOS!G1815+EGRESOS!G1861+EGRESOS!G1896+EGRESOS!G2004+EGRESOS!G2045</f>
        <v>6000</v>
      </c>
      <c r="G247" s="115">
        <f>EGRESOS!H699+EGRESOS!H1497+EGRESOS!H1535+EGRESOS!H1815+EGRESOS!H1861+EGRESOS!H1896+EGRESOS!H2004+EGRESOS!H2045</f>
        <v>6000</v>
      </c>
      <c r="N247" s="2"/>
      <c r="O247" s="2"/>
    </row>
    <row r="248" spans="1:15" ht="15" customHeight="1" x14ac:dyDescent="0.2">
      <c r="A248" s="1">
        <v>8</v>
      </c>
      <c r="B248" s="89">
        <f>EGRESOS!C700</f>
        <v>54118</v>
      </c>
      <c r="C248" s="90" t="str">
        <f>EGRESOS!D700</f>
        <v>HERRAMIENTAS, REPUESTOS Y ACCESORIOS</v>
      </c>
      <c r="D248" s="115">
        <f>EGRESOS!E700+EGRESOS!E1740+EGRESOS!E1935+EGRESOS!E2005+EGRESOS!E2046</f>
        <v>0</v>
      </c>
      <c r="E248" s="115">
        <f>EGRESOS!F700+EGRESOS!F1740+EGRESOS!F1935+EGRESOS!F2005+EGRESOS!F2046</f>
        <v>0</v>
      </c>
      <c r="F248" s="115">
        <f>EGRESOS!G700+EGRESOS!G1740+EGRESOS!G1935+EGRESOS!G2005+EGRESOS!G2046</f>
        <v>1500</v>
      </c>
      <c r="G248" s="115">
        <f>EGRESOS!H700+EGRESOS!H1740+EGRESOS!H1935+EGRESOS!H2005+EGRESOS!H2046</f>
        <v>1500</v>
      </c>
      <c r="N248" s="2"/>
      <c r="O248" s="2"/>
    </row>
    <row r="249" spans="1:15" ht="15" customHeight="1" x14ac:dyDescent="0.2">
      <c r="A249" s="1">
        <v>8</v>
      </c>
      <c r="B249" s="89">
        <f>EGRESOS!C701</f>
        <v>54119</v>
      </c>
      <c r="C249" s="90" t="str">
        <f>EGRESOS!D701</f>
        <v>MATERIALES ELECTRICOS</v>
      </c>
      <c r="D249" s="115">
        <f>EGRESOS!E701+EGRESOS!E1498+EGRESOS!E1536+EGRESOS!E1741+EGRESOS!E1816+EGRESOS!E1862+EGRESOS!E1897+EGRESOS!E1936+EGRESOS!E1968+EGRESOS!E2006+EGRESOS!E2047</f>
        <v>0</v>
      </c>
      <c r="E249" s="115">
        <f>EGRESOS!F701+EGRESOS!F1498+EGRESOS!F1536+EGRESOS!F1741+EGRESOS!F1816+EGRESOS!F1862+EGRESOS!F1897+EGRESOS!F1936+EGRESOS!F1968+EGRESOS!F2006+EGRESOS!F2047</f>
        <v>0</v>
      </c>
      <c r="F249" s="115">
        <f>EGRESOS!G701+EGRESOS!G1498+EGRESOS!G1536+EGRESOS!G1741+EGRESOS!G1816+EGRESOS!G1862+EGRESOS!G1897+EGRESOS!G1936+EGRESOS!G1968+EGRESOS!G2006+EGRESOS!G2047</f>
        <v>3010</v>
      </c>
      <c r="G249" s="115">
        <f>EGRESOS!H701+EGRESOS!H1498+EGRESOS!H1536+EGRESOS!H1741+EGRESOS!H1816+EGRESOS!H1862+EGRESOS!H1897+EGRESOS!H1936+EGRESOS!H1968+EGRESOS!H2006+EGRESOS!H2047</f>
        <v>3010</v>
      </c>
      <c r="N249" s="2"/>
      <c r="O249" s="2"/>
    </row>
    <row r="250" spans="1:15" ht="15" customHeight="1" x14ac:dyDescent="0.2">
      <c r="A250" s="1">
        <v>8</v>
      </c>
      <c r="B250" s="89">
        <f>EGRESOS!C702</f>
        <v>54199</v>
      </c>
      <c r="C250" s="90" t="str">
        <f>EGRESOS!D702</f>
        <v xml:space="preserve">BIENES DE USO Y CONSUMO DIVERSOS </v>
      </c>
      <c r="D250" s="115">
        <f>EGRESOS!E702+EGRESOS!E1499+EGRESOS!E1537+EGRESOS!E1817+EGRESOS!E1863+EGRESOS!E1898+EGRESOS!E1969+EGRESOS!E2007+EGRESOS!E2048</f>
        <v>0</v>
      </c>
      <c r="E250" s="115">
        <f>EGRESOS!F702+EGRESOS!F1499+EGRESOS!F1537+EGRESOS!F1817+EGRESOS!F1863+EGRESOS!F1898+EGRESOS!F1969+EGRESOS!F2007+EGRESOS!F2048</f>
        <v>0</v>
      </c>
      <c r="F250" s="115">
        <f>EGRESOS!G702+EGRESOS!G1499+EGRESOS!G1537+EGRESOS!G1817+EGRESOS!G1863+EGRESOS!G1898+EGRESOS!G1969+EGRESOS!G2007+EGRESOS!G2048</f>
        <v>4020</v>
      </c>
      <c r="G250" s="115">
        <f>EGRESOS!H702+EGRESOS!H1499+EGRESOS!H1537+EGRESOS!H1817+EGRESOS!H1863+EGRESOS!H1898+EGRESOS!H1969+EGRESOS!H2007+EGRESOS!H2048</f>
        <v>4020</v>
      </c>
      <c r="N250" s="2"/>
      <c r="O250" s="2"/>
    </row>
    <row r="251" spans="1:15" ht="15" customHeight="1" x14ac:dyDescent="0.2">
      <c r="A251" s="1">
        <v>8</v>
      </c>
      <c r="B251" s="89">
        <v>54201</v>
      </c>
      <c r="C251" s="73" t="s">
        <v>523</v>
      </c>
      <c r="D251" s="115">
        <f>EGRESOS!E1500+EGRESOS!E1818+EGRESOS!E2008+EGRESOS!E2049</f>
        <v>0</v>
      </c>
      <c r="E251" s="115">
        <f>EGRESOS!F1500+EGRESOS!F1818+EGRESOS!F2008+EGRESOS!F2049</f>
        <v>0</v>
      </c>
      <c r="F251" s="115">
        <f>EGRESOS!G1500+EGRESOS!G1818+EGRESOS!G2008+EGRESOS!G2049</f>
        <v>200</v>
      </c>
      <c r="G251" s="115">
        <f>EGRESOS!H1500+EGRESOS!H1818+EGRESOS!H2008+EGRESOS!H2049</f>
        <v>200</v>
      </c>
      <c r="N251" s="2"/>
      <c r="O251" s="2"/>
    </row>
    <row r="252" spans="1:15" ht="15" customHeight="1" x14ac:dyDescent="0.2">
      <c r="A252" s="1">
        <v>8</v>
      </c>
      <c r="B252" s="89">
        <v>54202</v>
      </c>
      <c r="C252" s="73" t="s">
        <v>27</v>
      </c>
      <c r="D252" s="115">
        <f>EGRESOS!E1501+EGRESOS!E1819+EGRESOS!E2009+EGRESOS!E2050</f>
        <v>0</v>
      </c>
      <c r="E252" s="115">
        <f>EGRESOS!F1501+EGRESOS!F1819+EGRESOS!F2009+EGRESOS!F2050</f>
        <v>0</v>
      </c>
      <c r="F252" s="115">
        <f>EGRESOS!G1501+EGRESOS!G1819+EGRESOS!G2009+EGRESOS!G2050</f>
        <v>200</v>
      </c>
      <c r="G252" s="115">
        <f>EGRESOS!H1501+EGRESOS!H1819+EGRESOS!H2009+EGRESOS!H2050</f>
        <v>200</v>
      </c>
      <c r="N252" s="2"/>
      <c r="O252" s="2"/>
    </row>
    <row r="253" spans="1:15" ht="15" customHeight="1" x14ac:dyDescent="0.2">
      <c r="A253" s="1">
        <v>8</v>
      </c>
      <c r="B253" s="89">
        <v>54203</v>
      </c>
      <c r="C253" s="73" t="s">
        <v>7</v>
      </c>
      <c r="D253" s="115">
        <f>EGRESOS!E1502+EGRESOS!E1820+EGRESOS!E2010+EGRESOS!E2051</f>
        <v>0</v>
      </c>
      <c r="E253" s="115">
        <f>EGRESOS!F1502+EGRESOS!F1820+EGRESOS!F2010+EGRESOS!F2051</f>
        <v>0</v>
      </c>
      <c r="F253" s="115">
        <f>EGRESOS!G1502+EGRESOS!G1820+EGRESOS!G2010+EGRESOS!G2051</f>
        <v>200</v>
      </c>
      <c r="G253" s="115">
        <f>EGRESOS!H1502+EGRESOS!H1820+EGRESOS!H2010+EGRESOS!H2051</f>
        <v>200</v>
      </c>
      <c r="N253" s="2"/>
      <c r="O253" s="2"/>
    </row>
    <row r="254" spans="1:15" ht="15" customHeight="1" x14ac:dyDescent="0.2">
      <c r="A254" s="1">
        <v>8</v>
      </c>
      <c r="B254" s="110">
        <f>EGRESOS!C703</f>
        <v>54301</v>
      </c>
      <c r="C254" s="111" t="str">
        <f>EGRESOS!D703</f>
        <v>MANTENIMIENTO Y REPARACIÓN DE BIENES MUEBLES</v>
      </c>
      <c r="D254" s="118">
        <f>EGRESOS!E703+EGRESOS!E1503+EGRESOS!E1538+EGRESOS!E1742+EGRESOS!E1821+EGRESOS!E1864+EGRESOS!E1899+EGRESOS!E1970+EGRESOS!E2011+EGRESOS!E2052</f>
        <v>0</v>
      </c>
      <c r="E254" s="118">
        <f>EGRESOS!F703+EGRESOS!F1503+EGRESOS!F1538+EGRESOS!F1742+EGRESOS!F1821+EGRESOS!F1864+EGRESOS!F1899+EGRESOS!F1970+EGRESOS!F2011+EGRESOS!F2052</f>
        <v>0</v>
      </c>
      <c r="F254" s="118">
        <f>EGRESOS!G703+EGRESOS!G1503+EGRESOS!G1538+EGRESOS!G1742+EGRESOS!G1821+EGRESOS!G1864+EGRESOS!G1899+EGRESOS!G1970+EGRESOS!G2011+EGRESOS!G2052</f>
        <v>5680</v>
      </c>
      <c r="G254" s="118">
        <f>EGRESOS!H703+EGRESOS!H1503+EGRESOS!H1538+EGRESOS!H1742+EGRESOS!H1821+EGRESOS!H1864+EGRESOS!H1899+EGRESOS!H1970+EGRESOS!H2011+EGRESOS!H2052</f>
        <v>5680</v>
      </c>
      <c r="N254" s="2"/>
      <c r="O254" s="2"/>
    </row>
    <row r="255" spans="1:15" ht="15" customHeight="1" x14ac:dyDescent="0.2">
      <c r="A255" s="1">
        <v>8</v>
      </c>
      <c r="B255" s="89">
        <f>EGRESOS!C704</f>
        <v>54302</v>
      </c>
      <c r="C255" s="90" t="str">
        <f>EGRESOS!D704</f>
        <v>MANTENIMIENTO Y REPARACION DE VEHICULOS</v>
      </c>
      <c r="D255" s="115">
        <f>EGRESOS!E704+EGRESOS!E1504</f>
        <v>0</v>
      </c>
      <c r="E255" s="115">
        <f>EGRESOS!F704+EGRESOS!F1504</f>
        <v>0</v>
      </c>
      <c r="F255" s="115">
        <f>EGRESOS!G704+EGRESOS!G1504</f>
        <v>400</v>
      </c>
      <c r="G255" s="115">
        <f>EGRESOS!H704+EGRESOS!H1504</f>
        <v>400</v>
      </c>
      <c r="N255" s="2"/>
      <c r="O255" s="2"/>
    </row>
    <row r="256" spans="1:15" ht="15" customHeight="1" x14ac:dyDescent="0.2">
      <c r="A256" s="1">
        <v>8</v>
      </c>
      <c r="B256" s="89">
        <f>EGRESOS!C705</f>
        <v>54303</v>
      </c>
      <c r="C256" s="90" t="str">
        <f>EGRESOS!D705</f>
        <v>MANTENIMIENTO Y REPARACION DE BIENES INMUEBLES</v>
      </c>
      <c r="D256" s="115">
        <f>EGRESOS!E705+EGRESOS!E1743+EGRESOS!E1822+EGRESOS!E1865+EGRESOS!E2012</f>
        <v>0</v>
      </c>
      <c r="E256" s="115">
        <f>EGRESOS!F705+EGRESOS!F1743+EGRESOS!F1822+EGRESOS!F1865+EGRESOS!F2012</f>
        <v>0</v>
      </c>
      <c r="F256" s="115">
        <f>EGRESOS!G705+EGRESOS!G1743+EGRESOS!G1822+EGRESOS!G1865+EGRESOS!G2012</f>
        <v>900</v>
      </c>
      <c r="G256" s="115">
        <f>EGRESOS!H705+EGRESOS!H1743+EGRESOS!H1822+EGRESOS!H1865+EGRESOS!H2012</f>
        <v>900</v>
      </c>
      <c r="N256" s="2"/>
      <c r="O256" s="2"/>
    </row>
    <row r="257" spans="1:15" ht="15" customHeight="1" x14ac:dyDescent="0.2">
      <c r="A257" s="1">
        <v>8</v>
      </c>
      <c r="B257" s="89">
        <v>54305</v>
      </c>
      <c r="C257" s="90" t="s">
        <v>33</v>
      </c>
      <c r="D257" s="115">
        <f>EGRESOS!E706+EGRESOS!E1900</f>
        <v>0</v>
      </c>
      <c r="E257" s="115">
        <f>EGRESOS!F706+EGRESOS!F1900</f>
        <v>0</v>
      </c>
      <c r="F257" s="115">
        <f>EGRESOS!G706+EGRESOS!G1900</f>
        <v>1600</v>
      </c>
      <c r="G257" s="115">
        <f>EGRESOS!H706+EGRESOS!H1900</f>
        <v>1600</v>
      </c>
      <c r="N257" s="2"/>
      <c r="O257" s="2"/>
    </row>
    <row r="258" spans="1:15" ht="15" customHeight="1" x14ac:dyDescent="0.2">
      <c r="A258" s="1">
        <v>8</v>
      </c>
      <c r="B258" s="89">
        <v>54307</v>
      </c>
      <c r="C258" s="90" t="s">
        <v>10</v>
      </c>
      <c r="D258" s="115">
        <f>EGRESOS!E707+EGRESOS!E1505+EGRESOS!E1823+EGRESOS!E2013+EGRESOS!E2053</f>
        <v>0</v>
      </c>
      <c r="E258" s="115">
        <f>EGRESOS!F707+EGRESOS!F1505+EGRESOS!F1823+EGRESOS!F2013+EGRESOS!F2053</f>
        <v>0</v>
      </c>
      <c r="F258" s="115">
        <f>EGRESOS!G707+EGRESOS!G1505+EGRESOS!G1823+EGRESOS!G2013+EGRESOS!G2053</f>
        <v>1500</v>
      </c>
      <c r="G258" s="115">
        <f>EGRESOS!H707+EGRESOS!H1505+EGRESOS!H1823+EGRESOS!H2013+EGRESOS!H2053</f>
        <v>1500</v>
      </c>
      <c r="N258" s="2"/>
      <c r="O258" s="2"/>
    </row>
    <row r="259" spans="1:15" ht="15" customHeight="1" x14ac:dyDescent="0.2">
      <c r="A259" s="1">
        <v>8</v>
      </c>
      <c r="B259" s="89">
        <f>EGRESOS!C708</f>
        <v>54310</v>
      </c>
      <c r="C259" s="90" t="str">
        <f>EGRESOS!D708</f>
        <v xml:space="preserve">SERVICIOS DE ALIMENTACION </v>
      </c>
      <c r="D259" s="115">
        <f>EGRESOS!E708+EGRESOS!E1824+EGRESOS!E1901+EGRESOS!E1937</f>
        <v>0</v>
      </c>
      <c r="E259" s="115">
        <f>EGRESOS!F708+EGRESOS!F1824+EGRESOS!F1901+EGRESOS!F1937</f>
        <v>0</v>
      </c>
      <c r="F259" s="115">
        <f>EGRESOS!G708+EGRESOS!G1824+EGRESOS!G1901+EGRESOS!G1937</f>
        <v>3700</v>
      </c>
      <c r="G259" s="115">
        <f>EGRESOS!H708+EGRESOS!H1824+EGRESOS!H1901+EGRESOS!H1937</f>
        <v>3850</v>
      </c>
      <c r="N259" s="2"/>
      <c r="O259" s="2"/>
    </row>
    <row r="260" spans="1:15" ht="15" customHeight="1" x14ac:dyDescent="0.2">
      <c r="A260" s="1">
        <v>8</v>
      </c>
      <c r="B260" s="89">
        <f>EGRESOS!C709</f>
        <v>54313</v>
      </c>
      <c r="C260" s="90" t="str">
        <f>EGRESOS!D709</f>
        <v>IMPRESIONES, PUBLICACIONES Y REPRODUCCIONES</v>
      </c>
      <c r="D260" s="115">
        <f>EGRESOS!E709+EGRESOS!E1539+EGRESOS!E1825+EGRESOS!E1866+EGRESOS!E1971+EGRESOS!E2014</f>
        <v>0</v>
      </c>
      <c r="E260" s="115">
        <f>EGRESOS!F709+EGRESOS!F1539+EGRESOS!F1825+EGRESOS!F1866+EGRESOS!F1971+EGRESOS!F2014</f>
        <v>0</v>
      </c>
      <c r="F260" s="115">
        <f>EGRESOS!G709+EGRESOS!G1539+EGRESOS!G1825+EGRESOS!G1866+EGRESOS!G1971+EGRESOS!G2014</f>
        <v>2950</v>
      </c>
      <c r="G260" s="115">
        <f>EGRESOS!H709+EGRESOS!H1539+EGRESOS!H1825+EGRESOS!H1866+EGRESOS!H1971+EGRESOS!H2014</f>
        <v>2950</v>
      </c>
      <c r="N260" s="2"/>
      <c r="O260" s="2"/>
    </row>
    <row r="261" spans="1:15" ht="15" customHeight="1" x14ac:dyDescent="0.2">
      <c r="A261" s="1">
        <v>8</v>
      </c>
      <c r="B261" s="89">
        <f>EGRESOS!C710</f>
        <v>54314</v>
      </c>
      <c r="C261" s="90" t="str">
        <f>EGRESOS!D710</f>
        <v>ATENCIONES OFICIALES</v>
      </c>
      <c r="D261" s="115">
        <f>EGRESOS!E710+EGRESOS!E1744+EGRESOS!E1826+EGRESOS!E1902</f>
        <v>0</v>
      </c>
      <c r="E261" s="115">
        <f>EGRESOS!F710+EGRESOS!F1744+EGRESOS!F1826+EGRESOS!F1902</f>
        <v>0</v>
      </c>
      <c r="F261" s="115">
        <f>EGRESOS!G710+EGRESOS!G1744+EGRESOS!G1826+EGRESOS!G1902</f>
        <v>300</v>
      </c>
      <c r="G261" s="115">
        <f>EGRESOS!H710+EGRESOS!H1744+EGRESOS!H1826+EGRESOS!H1902</f>
        <v>300</v>
      </c>
      <c r="H261" s="115">
        <f>EGRESOS!I710+EGRESOS!I1826</f>
        <v>0</v>
      </c>
      <c r="I261" s="115">
        <f>EGRESOS!J710+EGRESOS!J1826</f>
        <v>0</v>
      </c>
      <c r="J261" s="115">
        <f>EGRESOS!K710+EGRESOS!K1826</f>
        <v>0</v>
      </c>
      <c r="K261" s="115">
        <f>EGRESOS!L710+EGRESOS!L1826</f>
        <v>0</v>
      </c>
      <c r="L261" s="115">
        <f>EGRESOS!M710+EGRESOS!M1826</f>
        <v>0</v>
      </c>
      <c r="M261" s="116"/>
      <c r="N261" s="2"/>
      <c r="O261" s="2"/>
    </row>
    <row r="262" spans="1:15" ht="15" customHeight="1" x14ac:dyDescent="0.2">
      <c r="A262" s="1">
        <v>8</v>
      </c>
      <c r="B262" s="89">
        <v>54316</v>
      </c>
      <c r="C262" s="62" t="s">
        <v>228</v>
      </c>
      <c r="D262" s="115">
        <f>EGRESOS!E711+EGRESOS!E1867+EGRESOS!E1903</f>
        <v>0</v>
      </c>
      <c r="E262" s="115">
        <f>EGRESOS!F711+EGRESOS!F1867+EGRESOS!F1903</f>
        <v>0</v>
      </c>
      <c r="F262" s="115">
        <f>EGRESOS!G711+EGRESOS!G1867+EGRESOS!G1903</f>
        <v>1000</v>
      </c>
      <c r="G262" s="115">
        <f>EGRESOS!H711+EGRESOS!H1867+EGRESOS!H1903</f>
        <v>1000</v>
      </c>
      <c r="H262" s="117"/>
      <c r="I262" s="117"/>
      <c r="J262" s="117"/>
      <c r="K262" s="117"/>
      <c r="L262" s="117"/>
      <c r="M262" s="117"/>
      <c r="N262" s="2"/>
      <c r="O262" s="2"/>
    </row>
    <row r="263" spans="1:15" ht="15" customHeight="1" x14ac:dyDescent="0.2">
      <c r="A263" s="1">
        <v>8</v>
      </c>
      <c r="B263" s="89">
        <f>EGRESOS!C713</f>
        <v>54399</v>
      </c>
      <c r="C263" s="90" t="str">
        <f>EGRESOS!D713</f>
        <v>SERVICIOS GENERALES Y ARRENDAMIENTOS DIVERSOS</v>
      </c>
      <c r="D263" s="115">
        <f>EGRESOS!E713+EGRESOS!E1506+EGRESOS!E1540+EGRESOS!E1827+EGRESOS!E1868+EGRESOS!E1904+EGRESOS!E1938</f>
        <v>0</v>
      </c>
      <c r="E263" s="115">
        <f>EGRESOS!F713+EGRESOS!F1506+EGRESOS!F1540+EGRESOS!F1827+EGRESOS!F1868+EGRESOS!F1904+EGRESOS!F1938</f>
        <v>0</v>
      </c>
      <c r="F263" s="115">
        <f>EGRESOS!G713+EGRESOS!G1506+EGRESOS!G1540+EGRESOS!G1827+EGRESOS!G1868+EGRESOS!G1904+EGRESOS!G1938</f>
        <v>3515</v>
      </c>
      <c r="G263" s="115">
        <f>EGRESOS!H713+EGRESOS!H1506+EGRESOS!H1540+EGRESOS!H1827+EGRESOS!H1868+EGRESOS!H1904+EGRESOS!H1938</f>
        <v>3515</v>
      </c>
      <c r="N263" s="2"/>
      <c r="O263" s="2"/>
    </row>
    <row r="264" spans="1:15" ht="15" customHeight="1" x14ac:dyDescent="0.2">
      <c r="A264" s="1">
        <v>8</v>
      </c>
      <c r="B264" s="110">
        <f>EGRESOS!C714</f>
        <v>54401</v>
      </c>
      <c r="C264" s="111" t="str">
        <f>EGRESOS!D714</f>
        <v xml:space="preserve">PASAJES AL INTERIOR </v>
      </c>
      <c r="D264" s="118">
        <f>EGRESOS!E714+EGRESOS!E1507+EGRESOS!E1541+EGRESOS!E1828+EGRESOS!E1905+EGRESOS!E1939+EGRESOS!E1972+EGRESOS!E2015+EGRESOS!E2054</f>
        <v>0</v>
      </c>
      <c r="E264" s="118">
        <f>EGRESOS!F714+EGRESOS!F1507+EGRESOS!F1541+EGRESOS!F1828+EGRESOS!F1905+EGRESOS!F1939+EGRESOS!F1972+EGRESOS!F2015+EGRESOS!F2054</f>
        <v>0</v>
      </c>
      <c r="F264" s="118">
        <f>EGRESOS!G714+EGRESOS!G1507+EGRESOS!G1541+EGRESOS!G1828+EGRESOS!G1905+EGRESOS!G1939+EGRESOS!G1972+EGRESOS!G2015+EGRESOS!G2054</f>
        <v>2500</v>
      </c>
      <c r="G264" s="118">
        <f>EGRESOS!H714+EGRESOS!H1507+EGRESOS!H1541+EGRESOS!H1828+EGRESOS!H1905+EGRESOS!H1939+EGRESOS!H1972+EGRESOS!H2015+EGRESOS!H2054</f>
        <v>2500</v>
      </c>
      <c r="N264" s="2"/>
      <c r="O264" s="2"/>
    </row>
    <row r="265" spans="1:15" ht="15" customHeight="1" x14ac:dyDescent="0.2">
      <c r="A265" s="1">
        <v>8</v>
      </c>
      <c r="B265" s="89">
        <f>EGRESOS!C715</f>
        <v>54505</v>
      </c>
      <c r="C265" s="90" t="str">
        <f>EGRESOS!D715</f>
        <v>SERVICIOS DE CAPACITACION</v>
      </c>
      <c r="D265" s="115">
        <f>EGRESOS!E715+EGRESOS!E1508+EGRESOS!E1829</f>
        <v>0</v>
      </c>
      <c r="E265" s="115">
        <f>EGRESOS!F715+EGRESOS!F1508+EGRESOS!F1829</f>
        <v>0</v>
      </c>
      <c r="F265" s="115">
        <f>EGRESOS!G715+EGRESOS!G1508+EGRESOS!G1829+EGRESOS!G1973</f>
        <v>2600</v>
      </c>
      <c r="G265" s="115">
        <f>EGRESOS!H715+EGRESOS!H1508+EGRESOS!H1829+EGRESOS!H1973</f>
        <v>2600</v>
      </c>
      <c r="N265" s="2"/>
      <c r="O265" s="2"/>
    </row>
    <row r="266" spans="1:15" ht="15" customHeight="1" x14ac:dyDescent="0.2">
      <c r="A266" s="1">
        <v>8</v>
      </c>
      <c r="B266" s="89">
        <v>54602</v>
      </c>
      <c r="C266" s="90" t="s">
        <v>419</v>
      </c>
      <c r="D266" s="115">
        <f>+EGRESOS!E1745</f>
        <v>0</v>
      </c>
      <c r="E266" s="115">
        <f>+EGRESOS!F1745</f>
        <v>0</v>
      </c>
      <c r="F266" s="115">
        <f>+EGRESOS!G1745</f>
        <v>600</v>
      </c>
      <c r="G266" s="115">
        <f>+EGRESOS!H1745</f>
        <v>600</v>
      </c>
      <c r="N266" s="2"/>
      <c r="O266" s="2"/>
    </row>
    <row r="267" spans="1:15" ht="15" customHeight="1" x14ac:dyDescent="0.2">
      <c r="A267" s="1">
        <v>8</v>
      </c>
      <c r="B267" s="89">
        <f>EGRESOS!C716</f>
        <v>61101</v>
      </c>
      <c r="C267" s="90" t="str">
        <f>EGRESOS!D716</f>
        <v>MOBILIARIO</v>
      </c>
      <c r="D267" s="115">
        <f>EGRESOS!E716+EGRESOS!E1509+EGRESOS!E1542+EGRESOS!E1746+EGRESOS!E1830+EGRESOS!E1869+EGRESOS!E1906+EGRESOS!E1940+EGRESOS!E1974+EGRESOS!E2016+EGRESOS!E2055</f>
        <v>0</v>
      </c>
      <c r="E267" s="115">
        <f>EGRESOS!F716+EGRESOS!F1509+EGRESOS!F1542+EGRESOS!F1746+EGRESOS!F1830+EGRESOS!F1869+EGRESOS!F1906+EGRESOS!F1940+EGRESOS!F1974+EGRESOS!F2016+EGRESOS!F2055</f>
        <v>0</v>
      </c>
      <c r="F267" s="115">
        <f>EGRESOS!G716+EGRESOS!G1509+EGRESOS!G1542+EGRESOS!G1746+EGRESOS!G1830+EGRESOS!G1869+EGRESOS!G1906+EGRESOS!G1940+EGRESOS!G1974+EGRESOS!G2016+EGRESOS!G2055</f>
        <v>19500</v>
      </c>
      <c r="G267" s="115">
        <f>EGRESOS!H716+EGRESOS!H1509+EGRESOS!H1542+EGRESOS!H1746+EGRESOS!H1830+EGRESOS!H1869+EGRESOS!H1906+EGRESOS!H1940+EGRESOS!H1974+EGRESOS!H2016+EGRESOS!H2055</f>
        <v>19500</v>
      </c>
      <c r="N267" s="2"/>
      <c r="O267" s="2"/>
    </row>
    <row r="268" spans="1:15" ht="15" customHeight="1" x14ac:dyDescent="0.2">
      <c r="A268" s="1">
        <v>8</v>
      </c>
      <c r="B268" s="89">
        <f>EGRESOS!C717</f>
        <v>61102</v>
      </c>
      <c r="C268" s="90" t="str">
        <f>EGRESOS!D717</f>
        <v>MAQUINARIA Y EQUIPO</v>
      </c>
      <c r="D268" s="115">
        <f>EGRESOS!E717+EGRESOS!E1543+EGRESOS!E1747+EGRESOS!E1831+EGRESOS!E1870+EGRESOS!E1907+EGRESOS!E1941+EGRESOS!E1975</f>
        <v>0</v>
      </c>
      <c r="E268" s="115">
        <f>EGRESOS!F717+EGRESOS!F1543+EGRESOS!F1747+EGRESOS!F1831+EGRESOS!F1870+EGRESOS!F1907+EGRESOS!F1941+EGRESOS!F1975</f>
        <v>0</v>
      </c>
      <c r="F268" s="115">
        <f>EGRESOS!G717+EGRESOS!G1543+EGRESOS!G1746+EGRESOS!G1831+EGRESOS!G1870+EGRESOS!G1907+EGRESOS!G1941+EGRESOS!G1975+EGRESOS!G1217</f>
        <v>14850</v>
      </c>
      <c r="G268" s="115">
        <f>EGRESOS!H717+EGRESOS!H1543+EGRESOS!H1747+EGRESOS!H1831+EGRESOS!H1870+EGRESOS!H1907+EGRESOS!H1941+EGRESOS!H1975+EGRESOS!H1217</f>
        <v>17650</v>
      </c>
      <c r="N268" s="2"/>
      <c r="O268" s="2"/>
    </row>
    <row r="269" spans="1:15" ht="15" customHeight="1" x14ac:dyDescent="0.2">
      <c r="A269" s="1">
        <v>8</v>
      </c>
      <c r="B269" s="89">
        <f>EGRESOS!C718</f>
        <v>61104</v>
      </c>
      <c r="C269" s="90" t="str">
        <f>EGRESOS!D718</f>
        <v>EQUIPOS INFORMATICOS</v>
      </c>
      <c r="D269" s="115">
        <f>EGRESOS!E718+EGRESOS!E1510+EGRESOS!E1544+EGRESOS!E1748+EGRESOS!E1832+EGRESOS!E1871+EGRESOS!E1908+EGRESOS!E1942+EGRESOS!E2017+EGRESOS!E2056</f>
        <v>0</v>
      </c>
      <c r="E269" s="115">
        <f>EGRESOS!F718+EGRESOS!F1510+EGRESOS!F1544+EGRESOS!F1748+EGRESOS!F1832+EGRESOS!F1871+EGRESOS!F1908+EGRESOS!F1942+EGRESOS!F2017+EGRESOS!F2056</f>
        <v>0</v>
      </c>
      <c r="F269" s="115">
        <f>EGRESOS!G718+EGRESOS!G1510+EGRESOS!G1544+EGRESOS!G1748+EGRESOS!G1832+EGRESOS!G1871+EGRESOS!G1908+EGRESOS!G1942+EGRESOS!G2017+EGRESOS!G2056+EGRESOS!G1976</f>
        <v>11700</v>
      </c>
      <c r="G269" s="115">
        <f>EGRESOS!H718+EGRESOS!H1510+EGRESOS!H1544+EGRESOS!H1748+EGRESOS!H1832+EGRESOS!H1871+EGRESOS!H1908+EGRESOS!H1942+EGRESOS!H2017+EGRESOS!H2056+EGRESOS!H1976</f>
        <v>11700</v>
      </c>
      <c r="N269" s="2"/>
      <c r="O269" s="2"/>
    </row>
    <row r="270" spans="1:15" ht="15" customHeight="1" x14ac:dyDescent="0.2">
      <c r="A270" s="1">
        <v>8</v>
      </c>
      <c r="B270" s="89">
        <f>EGRESOS!C719</f>
        <v>61199</v>
      </c>
      <c r="C270" s="90" t="str">
        <f>EGRESOS!D719</f>
        <v>BIENES MUEBLES DIVERSOS</v>
      </c>
      <c r="D270" s="115">
        <f>EGRESOS!E719+EGRESOS!E1511+EGRESOS!E1833+EGRESOS!E2018+EGRESOS!E2057</f>
        <v>0</v>
      </c>
      <c r="E270" s="115">
        <f>EGRESOS!F719+EGRESOS!F1511+EGRESOS!F1833+EGRESOS!F2018+EGRESOS!F2057</f>
        <v>0</v>
      </c>
      <c r="F270" s="115">
        <f>EGRESOS!G719+EGRESOS!G1511+EGRESOS!G1833+EGRESOS!G2018+EGRESOS!G2057</f>
        <v>2600</v>
      </c>
      <c r="G270" s="115">
        <f>EGRESOS!H719+EGRESOS!H1511+EGRESOS!H1833+EGRESOS!H2018+EGRESOS!H2057</f>
        <v>2300</v>
      </c>
      <c r="N270" s="117"/>
      <c r="O270" s="2"/>
    </row>
    <row r="271" spans="1:15" ht="15" customHeight="1" x14ac:dyDescent="0.2">
      <c r="A271" s="1">
        <v>8</v>
      </c>
      <c r="B271" s="61">
        <v>61403</v>
      </c>
      <c r="C271" s="62" t="s">
        <v>54</v>
      </c>
      <c r="D271" s="115">
        <f>+EGRESOS!E1545+EGRESOS!E1872</f>
        <v>0</v>
      </c>
      <c r="E271" s="115">
        <f>+EGRESOS!F1545+EGRESOS!F1872</f>
        <v>0</v>
      </c>
      <c r="F271" s="115">
        <f>+EGRESOS!G1545+EGRESOS!G1872</f>
        <v>350</v>
      </c>
      <c r="G271" s="115">
        <f>+EGRESOS!H1545+EGRESOS!H1872</f>
        <v>350</v>
      </c>
      <c r="N271" s="117"/>
      <c r="O271" s="2"/>
    </row>
    <row r="272" spans="1:15" ht="15" customHeight="1" x14ac:dyDescent="0.2">
      <c r="A272" s="1" t="s">
        <v>387</v>
      </c>
      <c r="B272" s="89"/>
      <c r="C272" s="89" t="s">
        <v>14</v>
      </c>
      <c r="D272" s="82">
        <f>SUM(D229:D270)</f>
        <v>0</v>
      </c>
      <c r="E272" s="82">
        <f>SUM(E229:E270)</f>
        <v>0</v>
      </c>
      <c r="F272" s="82">
        <f>SUM(F229:F271)</f>
        <v>556015.23</v>
      </c>
      <c r="G272" s="98">
        <f>D272+E272+F272</f>
        <v>556015.23</v>
      </c>
      <c r="M272" s="1">
        <f>+EGRESOS!G2058+EGRESOS!G2019+EGRESOS!G1977+EGRESOS!G1943+EGRESOS!G1909+EGRESOS!G1873+EGRESOS!G1834+EGRESOS!G1749+EGRESOS!G1546+EGRESOS!G1512+EGRESOS!G720</f>
        <v>556015.23</v>
      </c>
      <c r="N272" s="2">
        <f>+M272-G272</f>
        <v>0</v>
      </c>
      <c r="O272" s="2"/>
    </row>
    <row r="273" spans="1:15" ht="15" customHeight="1" x14ac:dyDescent="0.2">
      <c r="A273" s="1" t="s">
        <v>387</v>
      </c>
      <c r="B273" s="7"/>
      <c r="C273" s="113"/>
      <c r="D273" s="114"/>
      <c r="E273" s="114"/>
      <c r="F273" s="114"/>
      <c r="G273" s="114"/>
    </row>
    <row r="274" spans="1:15" ht="15" customHeight="1" x14ac:dyDescent="0.2">
      <c r="A274" s="1" t="s">
        <v>387</v>
      </c>
      <c r="B274" s="7"/>
      <c r="C274" s="113"/>
      <c r="D274" s="114"/>
      <c r="E274" s="114"/>
      <c r="F274" s="114"/>
      <c r="G274" s="114"/>
      <c r="N274" s="3"/>
    </row>
    <row r="275" spans="1:15" ht="15" customHeight="1" x14ac:dyDescent="0.2">
      <c r="A275" s="1" t="s">
        <v>387</v>
      </c>
      <c r="B275" s="7"/>
      <c r="C275" s="113"/>
      <c r="D275" s="114"/>
      <c r="E275" s="114"/>
      <c r="F275" s="114"/>
      <c r="G275" s="114"/>
    </row>
    <row r="276" spans="1:15" ht="15" customHeight="1" x14ac:dyDescent="0.2">
      <c r="A276" s="1" t="s">
        <v>387</v>
      </c>
      <c r="B276" s="404" t="s">
        <v>260</v>
      </c>
      <c r="C276" s="404"/>
      <c r="D276" s="404"/>
      <c r="E276" s="404"/>
      <c r="F276" s="404"/>
      <c r="G276" s="404"/>
      <c r="H276" s="404"/>
    </row>
    <row r="277" spans="1:15" ht="15" customHeight="1" x14ac:dyDescent="0.2">
      <c r="A277" s="1" t="s">
        <v>387</v>
      </c>
      <c r="B277" s="404" t="str">
        <f>+B3</f>
        <v>PRESUPUESTO AÑO 2024</v>
      </c>
      <c r="C277" s="404"/>
      <c r="D277" s="404"/>
      <c r="E277" s="404"/>
      <c r="F277" s="404"/>
      <c r="G277" s="404"/>
      <c r="H277" s="404"/>
    </row>
    <row r="278" spans="1:15" ht="15" customHeight="1" x14ac:dyDescent="0.2">
      <c r="A278" s="1" t="s">
        <v>387</v>
      </c>
      <c r="B278" s="404" t="str">
        <f>B2</f>
        <v>PRESUPUESTO EXTRA CONTABLE</v>
      </c>
      <c r="C278" s="404"/>
      <c r="D278" s="404"/>
      <c r="E278" s="404"/>
      <c r="F278" s="404"/>
      <c r="G278" s="404"/>
      <c r="H278" s="113"/>
    </row>
    <row r="279" spans="1:15" ht="15" customHeight="1" x14ac:dyDescent="0.2">
      <c r="A279" s="1" t="s">
        <v>387</v>
      </c>
      <c r="B279" s="404" t="s">
        <v>317</v>
      </c>
      <c r="C279" s="404"/>
      <c r="D279" s="404"/>
      <c r="E279" s="404"/>
      <c r="F279" s="404"/>
      <c r="G279" s="404"/>
      <c r="H279" s="113"/>
    </row>
    <row r="280" spans="1:15" ht="15" customHeight="1" x14ac:dyDescent="0.2">
      <c r="A280" s="1" t="s">
        <v>387</v>
      </c>
      <c r="B280" s="404" t="s">
        <v>704</v>
      </c>
      <c r="C280" s="404"/>
      <c r="D280" s="404"/>
      <c r="E280" s="404"/>
      <c r="F280" s="404"/>
      <c r="G280" s="404"/>
      <c r="H280" s="404"/>
    </row>
    <row r="281" spans="1:15" ht="15" customHeight="1" x14ac:dyDescent="0.2">
      <c r="A281" s="1" t="s">
        <v>387</v>
      </c>
      <c r="B281" s="415" t="s">
        <v>1</v>
      </c>
      <c r="C281" s="119"/>
      <c r="D281" s="71" t="s">
        <v>56</v>
      </c>
      <c r="E281" s="71" t="str">
        <f>E6</f>
        <v>REFORMA</v>
      </c>
      <c r="F281" s="71" t="s">
        <v>56</v>
      </c>
      <c r="G281" s="88" t="str">
        <f>$G$6</f>
        <v>TOTAL 2024</v>
      </c>
      <c r="H281" s="120" t="s">
        <v>115</v>
      </c>
    </row>
    <row r="282" spans="1:15" ht="15" customHeight="1" x14ac:dyDescent="0.2">
      <c r="A282" s="1" t="s">
        <v>387</v>
      </c>
      <c r="B282" s="416"/>
      <c r="C282" s="121" t="s">
        <v>0</v>
      </c>
      <c r="D282" s="71" t="s">
        <v>421</v>
      </c>
      <c r="E282" s="71"/>
      <c r="F282" s="71" t="s">
        <v>140</v>
      </c>
      <c r="G282" s="71"/>
      <c r="H282" s="88" t="s">
        <v>316</v>
      </c>
    </row>
    <row r="283" spans="1:15" ht="15" customHeight="1" x14ac:dyDescent="0.2">
      <c r="A283" s="1">
        <v>10</v>
      </c>
      <c r="B283" s="89">
        <f>EGRESOS!C1347</f>
        <v>51101</v>
      </c>
      <c r="C283" s="90" t="str">
        <f>EGRESOS!D1347</f>
        <v>SUELDOS</v>
      </c>
      <c r="D283" s="97">
        <f>EGRESOS!E521+EGRESOS!E564+EGRESOS!E601+EGRESOS!E639+EGRESOS!E731+EGRESOS!E1262+EGRESOS!E1347+EGRESOS!E1402+EGRESOS!E1683</f>
        <v>0</v>
      </c>
      <c r="E283" s="97">
        <f>EGRESOS!F521+EGRESOS!F564+EGRESOS!F601+EGRESOS!F639+EGRESOS!F731+EGRESOS!F1262+EGRESOS!F1347+EGRESOS!F1402+EGRESOS!F1683</f>
        <v>0</v>
      </c>
      <c r="F283" s="97">
        <f>EGRESOS!G521+EGRESOS!G564+EGRESOS!G601+EGRESOS!G639+EGRESOS!G731+EGRESOS!G1262+EGRESOS!G1347+EGRESOS!G1402+EGRESOS!G1683</f>
        <v>693065.28</v>
      </c>
      <c r="G283" s="97">
        <f>EGRESOS!H521+EGRESOS!H564+EGRESOS!H601+EGRESOS!H639+EGRESOS!H731+EGRESOS!H1262+EGRESOS!H1347+EGRESOS!H1402+EGRESOS!H1683</f>
        <v>693065.28</v>
      </c>
      <c r="H283" s="91">
        <f>+D283+F283+G283</f>
        <v>1386130.56</v>
      </c>
      <c r="N283" s="85"/>
      <c r="O283" s="2"/>
    </row>
    <row r="284" spans="1:15" ht="15" customHeight="1" x14ac:dyDescent="0.2">
      <c r="A284" s="1">
        <v>10</v>
      </c>
      <c r="B284" s="89">
        <f>EGRESOS!C1348</f>
        <v>51103</v>
      </c>
      <c r="C284" s="90" t="str">
        <f>EGRESOS!D1348</f>
        <v>AGUINALDO</v>
      </c>
      <c r="D284" s="97">
        <f>EGRESOS!E522+EGRESOS!E565+EGRESOS!E602+EGRESOS!E640+EGRESOS!E732+EGRESOS!E1263+EGRESOS!E1348+EGRESOS!E1403+EGRESOS!E1684</f>
        <v>0</v>
      </c>
      <c r="E284" s="97">
        <f>EGRESOS!F522+EGRESOS!F565+EGRESOS!F602+EGRESOS!F640+EGRESOS!F732+EGRESOS!F1263+EGRESOS!F1348+EGRESOS!F1403+EGRESOS!F1684</f>
        <v>0</v>
      </c>
      <c r="F284" s="97">
        <f>EGRESOS!G522+EGRESOS!G565+EGRESOS!G602+EGRESOS!G640+EGRESOS!G732+EGRESOS!G1263+EGRESOS!G1348+EGRESOS!G1403+EGRESOS!G1684</f>
        <v>57443</v>
      </c>
      <c r="G284" s="97">
        <f>EGRESOS!H522+EGRESOS!H565+EGRESOS!H602+EGRESOS!H640+EGRESOS!H732+EGRESOS!H1263+EGRESOS!H1348+EGRESOS!H1403+EGRESOS!H1684</f>
        <v>57443</v>
      </c>
      <c r="H284" s="91">
        <f>+D284+F284+G284</f>
        <v>114886</v>
      </c>
      <c r="M284" s="2"/>
      <c r="N284" s="2"/>
      <c r="O284" s="2"/>
    </row>
    <row r="285" spans="1:15" ht="15" customHeight="1" x14ac:dyDescent="0.2">
      <c r="A285" s="1">
        <v>10</v>
      </c>
      <c r="B285" s="89">
        <f>EGRESOS!C1349</f>
        <v>51107</v>
      </c>
      <c r="C285" s="90" t="str">
        <f>EGRESOS!D1349</f>
        <v>BENEFICIOS ADICIONALES</v>
      </c>
      <c r="D285" s="97">
        <f>EGRESOS!E523+EGRESOS!E566+EGRESOS!E603+EGRESOS!E641+EGRESOS!E733+EGRESOS!E1264+EGRESOS!E1349+EGRESOS!E1404+EGRESOS!E1685</f>
        <v>0</v>
      </c>
      <c r="E285" s="97">
        <f>EGRESOS!F523+EGRESOS!F566+EGRESOS!F603+EGRESOS!F641+EGRESOS!F733+EGRESOS!F1264+EGRESOS!F1349+EGRESOS!F1404+EGRESOS!F1685</f>
        <v>0</v>
      </c>
      <c r="F285" s="97">
        <f>EGRESOS!G523+EGRESOS!G566+EGRESOS!G603+EGRESOS!G641+EGRESOS!G733+EGRESOS!G1264+EGRESOS!G1349+EGRESOS!G1404+EGRESOS!G1685</f>
        <v>26600</v>
      </c>
      <c r="G285" s="97">
        <f>EGRESOS!H523+EGRESOS!H566+EGRESOS!H603+EGRESOS!H641+EGRESOS!H733+EGRESOS!H1264+EGRESOS!H1349+EGRESOS!H1404+EGRESOS!H1685</f>
        <v>26600</v>
      </c>
      <c r="H285" s="91"/>
      <c r="M285" s="2"/>
      <c r="N285" s="2"/>
      <c r="O285" s="2"/>
    </row>
    <row r="286" spans="1:15" ht="15" customHeight="1" x14ac:dyDescent="0.2">
      <c r="A286" s="1">
        <v>10</v>
      </c>
      <c r="B286" s="89">
        <f>EGRESOS!C1350</f>
        <v>51401</v>
      </c>
      <c r="C286" s="90" t="str">
        <f>EGRESOS!D1350</f>
        <v>POR REMUN. PERM. (INPEP,  ISSS, INSAFORP)</v>
      </c>
      <c r="D286" s="97">
        <f>EGRESOS!E524+EGRESOS!E567+EGRESOS!E604+EGRESOS!E642+EGRESOS!E734+EGRESOS!E1265+EGRESOS!E1350+EGRESOS!E1405+EGRESOS!E1686</f>
        <v>0</v>
      </c>
      <c r="E286" s="97">
        <f>EGRESOS!F524+EGRESOS!F567+EGRESOS!F604+EGRESOS!F642+EGRESOS!F734+EGRESOS!F1265+EGRESOS!F1350+EGRESOS!F1405+EGRESOS!F1686</f>
        <v>0</v>
      </c>
      <c r="F286" s="97">
        <f>EGRESOS!G524+EGRESOS!G567+EGRESOS!G604+EGRESOS!G642+EGRESOS!G734+EGRESOS!G1265+EGRESOS!G1350+EGRESOS!G1405+EGRESOS!G1686</f>
        <v>58426.830000000009</v>
      </c>
      <c r="G286" s="97">
        <f>EGRESOS!H524+EGRESOS!H567+EGRESOS!H604+EGRESOS!H642+EGRESOS!H734+EGRESOS!H1265+EGRESOS!H1350+EGRESOS!H1405+EGRESOS!H1686</f>
        <v>58426.830000000009</v>
      </c>
      <c r="H286" s="91"/>
      <c r="M286" s="2"/>
      <c r="N286" s="2"/>
      <c r="O286" s="2"/>
    </row>
    <row r="287" spans="1:15" ht="15" customHeight="1" x14ac:dyDescent="0.2">
      <c r="A287" s="1">
        <v>10</v>
      </c>
      <c r="B287" s="89">
        <f>EGRESOS!C1351</f>
        <v>51501</v>
      </c>
      <c r="C287" s="90" t="str">
        <f>EGRESOS!D1351</f>
        <v>POR REMUNERACIONES PERMANENTES (AFP)</v>
      </c>
      <c r="D287" s="97">
        <f>EGRESOS!E525+EGRESOS!E568+EGRESOS!E605+EGRESOS!E643+EGRESOS!E735+EGRESOS!E1266+EGRESOS!E1351+EGRESOS!E1406+EGRESOS!E1687</f>
        <v>0</v>
      </c>
      <c r="E287" s="97">
        <f>EGRESOS!F525+EGRESOS!F568+EGRESOS!F605+EGRESOS!F643+EGRESOS!F735+EGRESOS!F1266+EGRESOS!F1351+EGRESOS!F1406+EGRESOS!F1687</f>
        <v>0</v>
      </c>
      <c r="F287" s="97">
        <f>EGRESOS!G525+EGRESOS!G568+EGRESOS!G605+EGRESOS!G643+EGRESOS!G735+EGRESOS!G1266+EGRESOS!G1351+EGRESOS!G1406+EGRESOS!G1687</f>
        <v>57781.189999999995</v>
      </c>
      <c r="G287" s="97">
        <f>EGRESOS!H525+EGRESOS!H568+EGRESOS!H605+EGRESOS!H643+EGRESOS!H735+EGRESOS!H1266+EGRESOS!H1351+EGRESOS!H1406+EGRESOS!H1687</f>
        <v>57781.189999999995</v>
      </c>
      <c r="H287" s="91">
        <f>+D287+F287+G287</f>
        <v>115562.37999999999</v>
      </c>
      <c r="M287" s="2"/>
      <c r="N287" s="2"/>
      <c r="O287" s="2"/>
    </row>
    <row r="288" spans="1:15" ht="15" customHeight="1" x14ac:dyDescent="0.2">
      <c r="A288" s="1">
        <v>10</v>
      </c>
      <c r="B288" s="89">
        <f>EGRESOS!C1352</f>
        <v>54101</v>
      </c>
      <c r="C288" s="90" t="str">
        <f>EGRESOS!D1352</f>
        <v>PRODUCTOS ALIMENTICIOS PARA PERSONAS</v>
      </c>
      <c r="D288" s="97">
        <f>EGRESOS!E526+EGRESOS!E569+EGRESOS!E606+EGRESOS!E644+EGRESOS!E736+EGRESOS!E1267+EGRESOS!E1352+EGRESOS!E1688</f>
        <v>0</v>
      </c>
      <c r="E288" s="97">
        <f>EGRESOS!F526+EGRESOS!F569+EGRESOS!F606+EGRESOS!F644+EGRESOS!F736+EGRESOS!F1267+EGRESOS!F1352+EGRESOS!F1688</f>
        <v>0</v>
      </c>
      <c r="F288" s="97">
        <f>EGRESOS!G526+EGRESOS!G569+EGRESOS!G606+EGRESOS!G644+EGRESOS!G736+EGRESOS!G1267+EGRESOS!G1352+EGRESOS!G1688</f>
        <v>2060</v>
      </c>
      <c r="G288" s="97">
        <f>EGRESOS!H526+EGRESOS!H569+EGRESOS!H606+EGRESOS!H644+EGRESOS!H736+EGRESOS!H1267+EGRESOS!H1352+EGRESOS!H1688</f>
        <v>2060</v>
      </c>
      <c r="H288" s="91">
        <f>+D288+F288+G288</f>
        <v>4120</v>
      </c>
      <c r="M288" s="2"/>
      <c r="N288" s="2"/>
      <c r="O288" s="2"/>
    </row>
    <row r="289" spans="1:15" ht="15" customHeight="1" x14ac:dyDescent="0.2">
      <c r="A289" s="1">
        <v>10</v>
      </c>
      <c r="B289" s="110">
        <v>54102</v>
      </c>
      <c r="C289" s="122" t="s">
        <v>37</v>
      </c>
      <c r="D289" s="123">
        <f>EGRESOS!E1268+EGRESOS!E1689</f>
        <v>0</v>
      </c>
      <c r="E289" s="123">
        <f>EGRESOS!F1268+EGRESOS!F1689</f>
        <v>0</v>
      </c>
      <c r="F289" s="123">
        <f>EGRESOS!G1268+EGRESOS!G1689</f>
        <v>500</v>
      </c>
      <c r="G289" s="123">
        <f>EGRESOS!H1268+EGRESOS!H1689</f>
        <v>500</v>
      </c>
      <c r="H289" s="91"/>
      <c r="M289" s="2"/>
      <c r="N289" s="2"/>
      <c r="O289" s="2"/>
    </row>
    <row r="290" spans="1:15" ht="15" customHeight="1" x14ac:dyDescent="0.2">
      <c r="A290" s="1">
        <v>10</v>
      </c>
      <c r="B290" s="89">
        <f>EGRESOS!C1353</f>
        <v>54103</v>
      </c>
      <c r="C290" s="90" t="str">
        <f>EGRESOS!D1353</f>
        <v>PRODUCTOS AGROPECUARIOS Y FORESTALES</v>
      </c>
      <c r="D290" s="97">
        <f>EGRESOS!E737+EGRESOS!E1269+EGRESOS!E1353+EGRESOS!E1690</f>
        <v>0</v>
      </c>
      <c r="E290" s="97">
        <f>EGRESOS!F737+EGRESOS!F1269+EGRESOS!F1353+EGRESOS!F1690</f>
        <v>0</v>
      </c>
      <c r="F290" s="97">
        <f>EGRESOS!G737+EGRESOS!G1269+EGRESOS!G1353+EGRESOS!G1690</f>
        <v>3800</v>
      </c>
      <c r="G290" s="97">
        <f>EGRESOS!H737+EGRESOS!H1269+EGRESOS!H1353+EGRESOS!H1690</f>
        <v>3800</v>
      </c>
      <c r="H290" s="97">
        <f>EGRESOS!I1269+EGRESOS!I1353</f>
        <v>0</v>
      </c>
      <c r="I290" s="97">
        <f>EGRESOS!J1269+EGRESOS!J1353</f>
        <v>0</v>
      </c>
      <c r="J290" s="97">
        <f>EGRESOS!K1269+EGRESOS!K1353</f>
        <v>0</v>
      </c>
      <c r="K290" s="97">
        <f>EGRESOS!L1269+EGRESOS!L1353</f>
        <v>0</v>
      </c>
      <c r="L290" s="97">
        <f>EGRESOS!M1269+EGRESOS!M1353</f>
        <v>0</v>
      </c>
      <c r="M290" s="102"/>
      <c r="N290" s="2"/>
      <c r="O290" s="2"/>
    </row>
    <row r="291" spans="1:15" ht="15" customHeight="1" x14ac:dyDescent="0.2">
      <c r="A291" s="1">
        <v>10</v>
      </c>
      <c r="B291" s="89">
        <f>EGRESOS!C1354</f>
        <v>54104</v>
      </c>
      <c r="C291" s="90" t="str">
        <f>EGRESOS!D1354</f>
        <v>PRODUCTOS TEXTILES Y VESTUARIOS</v>
      </c>
      <c r="D291" s="97">
        <f>EGRESOS!E528+EGRESOS!E570+EGRESOS!E607+EGRESOS!E645+EGRESOS!E738+EGRESOS!E1270+EGRESOS!E1354+EGRESOS!E1407+EGRESOS!E1691</f>
        <v>0</v>
      </c>
      <c r="E291" s="97">
        <f>EGRESOS!F528+EGRESOS!F570+EGRESOS!F607+EGRESOS!F645+EGRESOS!F738+EGRESOS!F1270+EGRESOS!F1354+EGRESOS!F1407+EGRESOS!F1691</f>
        <v>0</v>
      </c>
      <c r="F291" s="97">
        <f>EGRESOS!G528+EGRESOS!G570+EGRESOS!G607+EGRESOS!G645+EGRESOS!G738+EGRESOS!G1270+EGRESOS!G1354+EGRESOS!G1407+EGRESOS!G1691</f>
        <v>19400</v>
      </c>
      <c r="G291" s="97">
        <f>EGRESOS!H528+EGRESOS!H570+EGRESOS!H607+EGRESOS!H645+EGRESOS!H738+EGRESOS!H1270+EGRESOS!H1354+EGRESOS!H1407+EGRESOS!H1691</f>
        <v>19400</v>
      </c>
      <c r="H291" s="91"/>
      <c r="N291" s="2"/>
      <c r="O291" s="2"/>
    </row>
    <row r="292" spans="1:15" ht="15" customHeight="1" x14ac:dyDescent="0.2">
      <c r="A292" s="1">
        <v>10</v>
      </c>
      <c r="B292" s="89">
        <f>EGRESOS!C1355</f>
        <v>54105</v>
      </c>
      <c r="C292" s="90" t="str">
        <f>EGRESOS!D1355</f>
        <v xml:space="preserve">PRODUCTOS DE PAPEL Y CARTON </v>
      </c>
      <c r="D292" s="97">
        <f>EGRESOS!E529+EGRESOS!E571+EGRESOS!E608+EGRESOS!E646+EGRESOS!E739+EGRESOS!E1271+EGRESOS!E1355+EGRESOS!E1408+EGRESOS!E1692</f>
        <v>0</v>
      </c>
      <c r="E292" s="97">
        <f>EGRESOS!F529+EGRESOS!F571+EGRESOS!F608+EGRESOS!F646+EGRESOS!F739+EGRESOS!F1271+EGRESOS!F1355+EGRESOS!F1408+EGRESOS!F1692</f>
        <v>0</v>
      </c>
      <c r="F292" s="97">
        <f>EGRESOS!G529+EGRESOS!G571+EGRESOS!G608+EGRESOS!G646+EGRESOS!G739+EGRESOS!G1271+EGRESOS!G1355+EGRESOS!G1408+EGRESOS!G1692</f>
        <v>6000</v>
      </c>
      <c r="G292" s="97">
        <f>EGRESOS!H529+EGRESOS!H571+EGRESOS!H608+EGRESOS!H646+EGRESOS!H739+EGRESOS!H1271+EGRESOS!H1355+EGRESOS!H1408+EGRESOS!H1692</f>
        <v>6000</v>
      </c>
      <c r="H292" s="91"/>
      <c r="N292" s="2"/>
      <c r="O292" s="2"/>
    </row>
    <row r="293" spans="1:15" ht="15" customHeight="1" x14ac:dyDescent="0.2">
      <c r="A293" s="1">
        <v>10</v>
      </c>
      <c r="B293" s="89">
        <f>EGRESOS!C1356</f>
        <v>54106</v>
      </c>
      <c r="C293" s="90" t="str">
        <f>EGRESOS!D1356</f>
        <v>PRODUCTOS DE CUERO Y CAUCHO</v>
      </c>
      <c r="D293" s="97">
        <f>EGRESOS!E530+EGRESOS!E572+EGRESOS!E609+EGRESOS!E647+EGRESOS!E740+EGRESOS!E1272+EGRESOS!E1356+EGRESOS!E1409+EGRESOS!E1693</f>
        <v>0</v>
      </c>
      <c r="E293" s="97">
        <f>EGRESOS!F530+EGRESOS!F572+EGRESOS!F609+EGRESOS!F647+EGRESOS!F740+EGRESOS!F1272+EGRESOS!F1356+EGRESOS!F1409+EGRESOS!F1693</f>
        <v>0</v>
      </c>
      <c r="F293" s="97">
        <f>EGRESOS!G530+EGRESOS!G572+EGRESOS!G609+EGRESOS!G647+EGRESOS!G740+EGRESOS!G1272+EGRESOS!G1356+EGRESOS!G1409+EGRESOS!G1693</f>
        <v>5720</v>
      </c>
      <c r="G293" s="97">
        <f>EGRESOS!H530+EGRESOS!H572+EGRESOS!H609+EGRESOS!H647+EGRESOS!H740+EGRESOS!H1272+EGRESOS!H1356+EGRESOS!H1409+EGRESOS!H1693</f>
        <v>5720</v>
      </c>
      <c r="H293" s="91">
        <f>+D293+F293+G293</f>
        <v>11440</v>
      </c>
      <c r="N293" s="2"/>
      <c r="O293" s="2"/>
    </row>
    <row r="294" spans="1:15" ht="15" customHeight="1" x14ac:dyDescent="0.2">
      <c r="A294" s="1">
        <v>10</v>
      </c>
      <c r="B294" s="89">
        <f>EGRESOS!C1357</f>
        <v>54107</v>
      </c>
      <c r="C294" s="90" t="str">
        <f>EGRESOS!D1357</f>
        <v>PRODUCTOS QUIMICOS</v>
      </c>
      <c r="D294" s="97">
        <f>EGRESOS!E531+EGRESOS!E573+EGRESOS!E610+EGRESOS!E648+EGRESOS!E741+EGRESOS!E1273+EGRESOS!E1357+EGRESOS!E1410+EGRESOS!E1694</f>
        <v>0</v>
      </c>
      <c r="E294" s="97">
        <f>EGRESOS!F531+EGRESOS!F573+EGRESOS!F610+EGRESOS!F648+EGRESOS!F741+EGRESOS!F1273+EGRESOS!F1357+EGRESOS!F1410+EGRESOS!F1694</f>
        <v>0</v>
      </c>
      <c r="F294" s="97">
        <f>EGRESOS!G531+EGRESOS!G573+EGRESOS!G610+EGRESOS!G648+EGRESOS!G741+EGRESOS!G1273+EGRESOS!G1357+EGRESOS!G1410+EGRESOS!G1694</f>
        <v>53400</v>
      </c>
      <c r="G294" s="97">
        <f>EGRESOS!H531+EGRESOS!H573+EGRESOS!H610+EGRESOS!H648+EGRESOS!H741+EGRESOS!H1273+EGRESOS!H1357+EGRESOS!H1410+EGRESOS!H1694</f>
        <v>53400</v>
      </c>
      <c r="H294" s="91"/>
      <c r="N294" s="2"/>
      <c r="O294" s="2"/>
    </row>
    <row r="295" spans="1:15" ht="15" customHeight="1" x14ac:dyDescent="0.2">
      <c r="A295" s="1">
        <v>10</v>
      </c>
      <c r="B295" s="89">
        <v>54108</v>
      </c>
      <c r="C295" s="94" t="s">
        <v>169</v>
      </c>
      <c r="D295" s="97">
        <f>EGRESOS!E742+EGRESOS!E1274+EGRESOS!E1358</f>
        <v>0</v>
      </c>
      <c r="E295" s="97">
        <f>EGRESOS!F742+EGRESOS!F1274+EGRESOS!F1358</f>
        <v>0</v>
      </c>
      <c r="F295" s="97">
        <f>EGRESOS!G742+EGRESOS!G1274+EGRESOS!G1358+EGRESOS!G1317</f>
        <v>1600</v>
      </c>
      <c r="G295" s="97">
        <f>EGRESOS!H742+EGRESOS!H1274+EGRESOS!H1358+EGRESOS!H1317</f>
        <v>1600</v>
      </c>
      <c r="H295" s="91"/>
      <c r="N295" s="2"/>
      <c r="O295" s="2"/>
    </row>
    <row r="296" spans="1:15" ht="15" customHeight="1" x14ac:dyDescent="0.2">
      <c r="A296" s="1">
        <v>10</v>
      </c>
      <c r="B296" s="89">
        <f>EGRESOS!C1359</f>
        <v>54109</v>
      </c>
      <c r="C296" s="90" t="str">
        <f>EGRESOS!D1359</f>
        <v>LLANTAS Y NEUMÁTICOS</v>
      </c>
      <c r="D296" s="97">
        <f>EGRESOS!E743+EGRESOS!E1359+EGRESOS!E1411+EGRESOS!E1695</f>
        <v>0</v>
      </c>
      <c r="E296" s="97">
        <f>EGRESOS!F743+EGRESOS!F1359+EGRESOS!F1411+EGRESOS!F1695</f>
        <v>0</v>
      </c>
      <c r="F296" s="97">
        <f>EGRESOS!G743+EGRESOS!G1359+EGRESOS!G1411+EGRESOS!G1695</f>
        <v>32000</v>
      </c>
      <c r="G296" s="97">
        <f>EGRESOS!H743+EGRESOS!H1359+EGRESOS!H1411+EGRESOS!H1695</f>
        <v>32000</v>
      </c>
      <c r="H296" s="97">
        <f>EGRESOS!I1359+EGRESOS!I1411</f>
        <v>0</v>
      </c>
      <c r="I296" s="97">
        <f>EGRESOS!J1359+EGRESOS!J1411</f>
        <v>0</v>
      </c>
      <c r="J296" s="97">
        <f>EGRESOS!K1359+EGRESOS!K1411</f>
        <v>0</v>
      </c>
      <c r="K296" s="97">
        <f>EGRESOS!L1359+EGRESOS!L1411</f>
        <v>0</v>
      </c>
      <c r="L296" s="97">
        <f>EGRESOS!M1359+EGRESOS!M1411</f>
        <v>0</v>
      </c>
      <c r="M296" s="102"/>
      <c r="N296" s="2"/>
      <c r="O296" s="2"/>
    </row>
    <row r="297" spans="1:15" ht="15" customHeight="1" x14ac:dyDescent="0.2">
      <c r="A297" s="1">
        <v>10</v>
      </c>
      <c r="B297" s="89">
        <f>EGRESOS!C1360</f>
        <v>54110</v>
      </c>
      <c r="C297" s="90" t="str">
        <f>EGRESOS!D1360</f>
        <v>COMBUSTIBLE Y LUBRICANTES</v>
      </c>
      <c r="D297" s="97">
        <f>EGRESOS!E532+EGRESOS!E574+EGRESOS!E611+EGRESOS!E651+EGRESOS!E744+EGRESOS!E1275+EGRESOS!E1360+EGRESOS!E1412+EGRESOS!E1696</f>
        <v>0</v>
      </c>
      <c r="E297" s="97">
        <f>EGRESOS!F532+EGRESOS!F574+EGRESOS!F611+EGRESOS!F651+EGRESOS!F744+EGRESOS!F1275+EGRESOS!F1360+EGRESOS!F1412+EGRESOS!F1696</f>
        <v>0</v>
      </c>
      <c r="F297" s="97">
        <f>EGRESOS!G532+EGRESOS!G574+EGRESOS!G611+EGRESOS!G651+EGRESOS!G744+EGRESOS!G1275+EGRESOS!G1360+EGRESOS!G1412+EGRESOS!G1696</f>
        <v>138100</v>
      </c>
      <c r="G297" s="97">
        <f>EGRESOS!H532+EGRESOS!H574+EGRESOS!H611+EGRESOS!H651+EGRESOS!H744+EGRESOS!H1275+EGRESOS!H1360+EGRESOS!H1412+EGRESOS!H1696</f>
        <v>138100</v>
      </c>
      <c r="H297" s="97">
        <f>EGRESOS!I744+EGRESOS!I1275+EGRESOS!I1318+EGRESOS!I1360+EGRESOS!I1412+EGRESOS!I1696</f>
        <v>2000</v>
      </c>
      <c r="I297" s="97">
        <f>EGRESOS!J744+EGRESOS!J1275+EGRESOS!J1318+EGRESOS!J1360+EGRESOS!J1412+EGRESOS!J1696</f>
        <v>0</v>
      </c>
      <c r="J297" s="97">
        <f>EGRESOS!K744+EGRESOS!K1275+EGRESOS!K1318+EGRESOS!K1360+EGRESOS!K1412+EGRESOS!K1696</f>
        <v>0</v>
      </c>
      <c r="K297" s="97">
        <f>EGRESOS!L744+EGRESOS!L1275+EGRESOS!L1318+EGRESOS!L1360+EGRESOS!L1412+EGRESOS!L1696</f>
        <v>0</v>
      </c>
      <c r="L297" s="97">
        <f>EGRESOS!M744+EGRESOS!M1275+EGRESOS!M1318+EGRESOS!M1360+EGRESOS!M1412+EGRESOS!M1696</f>
        <v>0</v>
      </c>
      <c r="M297" s="102"/>
      <c r="N297" s="2"/>
      <c r="O297" s="2"/>
    </row>
    <row r="298" spans="1:15" ht="15" customHeight="1" x14ac:dyDescent="0.2">
      <c r="A298" s="1">
        <v>10</v>
      </c>
      <c r="B298" s="89">
        <f>EGRESOS!C1361</f>
        <v>54111</v>
      </c>
      <c r="C298" s="90" t="str">
        <f>EGRESOS!D1361</f>
        <v>MINERALES NO METÁLICOS Y PRODUCTOS DERIVADOS</v>
      </c>
      <c r="D298" s="97">
        <f>EGRESOS!E533+EGRESOS!E649+EGRESOS!E745+EGRESOS!E1276+EGRESOS!E1361+EGRESOS!E1413+EGRESOS!E1697</f>
        <v>0</v>
      </c>
      <c r="E298" s="97">
        <f>EGRESOS!F533+EGRESOS!F649+EGRESOS!F745+EGRESOS!F1276+EGRESOS!F1361+EGRESOS!F1413+EGRESOS!F1697</f>
        <v>0</v>
      </c>
      <c r="F298" s="97">
        <f>EGRESOS!G533+EGRESOS!G649+EGRESOS!G745+EGRESOS!G1276+EGRESOS!G1361+EGRESOS!G1413+EGRESOS!G1697</f>
        <v>27100</v>
      </c>
      <c r="G298" s="97">
        <f>EGRESOS!H533+EGRESOS!H649+EGRESOS!H745+EGRESOS!H1276+EGRESOS!H1361+EGRESOS!H1413+EGRESOS!H1697</f>
        <v>27100</v>
      </c>
      <c r="H298" s="91"/>
      <c r="N298" s="2"/>
      <c r="O298" s="2"/>
    </row>
    <row r="299" spans="1:15" ht="15" customHeight="1" x14ac:dyDescent="0.2">
      <c r="A299" s="1">
        <v>10</v>
      </c>
      <c r="B299" s="89">
        <f>EGRESOS!C1362</f>
        <v>54112</v>
      </c>
      <c r="C299" s="90" t="str">
        <f>EGRESOS!D1362</f>
        <v>MINERALES METÁLICOS Y PRODUCTOS DERIVADOS</v>
      </c>
      <c r="D299" s="97">
        <f>EGRESOS!E534+EGRESOS!E650+EGRESOS!E746+EGRESOS!E1277+EGRESOS!E1362+EGRESOS!E1414+EGRESOS!E1698</f>
        <v>0</v>
      </c>
      <c r="E299" s="97">
        <f>EGRESOS!F534+EGRESOS!F650+EGRESOS!F746+EGRESOS!F1277+EGRESOS!F1362+EGRESOS!F1414+EGRESOS!F1698</f>
        <v>0</v>
      </c>
      <c r="F299" s="97">
        <f>EGRESOS!G534+EGRESOS!G650+EGRESOS!G746+EGRESOS!G1277+EGRESOS!G1362+EGRESOS!G1414+EGRESOS!G1698</f>
        <v>20900</v>
      </c>
      <c r="G299" s="97">
        <f>EGRESOS!H534+EGRESOS!H650+EGRESOS!H746+EGRESOS!H1277+EGRESOS!H1362+EGRESOS!H1414+EGRESOS!H1698</f>
        <v>20900</v>
      </c>
      <c r="H299" s="91">
        <f>+D299+F299+G299</f>
        <v>41800</v>
      </c>
      <c r="N299" s="85"/>
      <c r="O299" s="2"/>
    </row>
    <row r="300" spans="1:15" ht="15" customHeight="1" x14ac:dyDescent="0.2">
      <c r="A300" s="1">
        <v>10</v>
      </c>
      <c r="B300" s="89">
        <f>EGRESOS!C1363</f>
        <v>54114</v>
      </c>
      <c r="C300" s="90" t="str">
        <f>EGRESOS!D1363</f>
        <v>MATERIALES DE OFICINA</v>
      </c>
      <c r="D300" s="97">
        <f>EGRESOS!E535+EGRESOS!E575+EGRESOS!E612+EGRESOS!E652+EGRESOS!E747+EGRESOS!E1278+EGRESOS!E1363+EGRESOS!E1415+EGRESOS!E1699</f>
        <v>0</v>
      </c>
      <c r="E300" s="97">
        <f>EGRESOS!F535+EGRESOS!F575+EGRESOS!F612+EGRESOS!F652+EGRESOS!F747+EGRESOS!F1278+EGRESOS!F1363+EGRESOS!F1415+EGRESOS!F1699</f>
        <v>0</v>
      </c>
      <c r="F300" s="97">
        <f>EGRESOS!G535+EGRESOS!G575+EGRESOS!G612+EGRESOS!G652+EGRESOS!G747+EGRESOS!G1278+EGRESOS!G1363+EGRESOS!G1415+EGRESOS!G1699</f>
        <v>9225</v>
      </c>
      <c r="G300" s="97">
        <f>EGRESOS!H535+EGRESOS!H575+EGRESOS!H612+EGRESOS!H652+EGRESOS!H747+EGRESOS!H1278+EGRESOS!H1363+EGRESOS!H1415+EGRESOS!H1699</f>
        <v>9225</v>
      </c>
      <c r="H300" s="91"/>
      <c r="N300" s="2"/>
      <c r="O300" s="2"/>
    </row>
    <row r="301" spans="1:15" ht="15" customHeight="1" x14ac:dyDescent="0.2">
      <c r="A301" s="1">
        <v>10</v>
      </c>
      <c r="B301" s="89">
        <f>EGRESOS!C1364</f>
        <v>54115</v>
      </c>
      <c r="C301" s="90" t="str">
        <f>EGRESOS!D1364</f>
        <v>MATERIALES INFORMATICOS</v>
      </c>
      <c r="D301" s="97">
        <f>EGRESOS!E536+EGRESOS!E576+EGRESOS!E613+EGRESOS!E653+EGRESOS!E748+EGRESOS!E1279+EGRESOS!E1364+EGRESOS!E1416+EGRESOS!E1700</f>
        <v>0</v>
      </c>
      <c r="E301" s="97">
        <f>EGRESOS!F536+EGRESOS!F576+EGRESOS!F613+EGRESOS!F653+EGRESOS!F748+EGRESOS!F1279+EGRESOS!F1364+EGRESOS!F1416+EGRESOS!F1700</f>
        <v>0</v>
      </c>
      <c r="F301" s="97">
        <f>EGRESOS!G536+EGRESOS!G576+EGRESOS!G613+EGRESOS!G653+EGRESOS!G748+EGRESOS!G1279+EGRESOS!G1364+EGRESOS!G1416+EGRESOS!G1700</f>
        <v>9475</v>
      </c>
      <c r="G301" s="97">
        <f>EGRESOS!H536+EGRESOS!H576+EGRESOS!H613+EGRESOS!H653+EGRESOS!H748+EGRESOS!H1279+EGRESOS!H1364+EGRESOS!H1416+EGRESOS!H1700</f>
        <v>9475</v>
      </c>
      <c r="H301" s="91"/>
      <c r="N301" s="2"/>
      <c r="O301" s="2"/>
    </row>
    <row r="302" spans="1:15" ht="15" customHeight="1" x14ac:dyDescent="0.2">
      <c r="A302" s="1">
        <v>10</v>
      </c>
      <c r="B302" s="89">
        <v>54116</v>
      </c>
      <c r="C302" s="94" t="s">
        <v>167</v>
      </c>
      <c r="D302" s="97">
        <f>EGRESOS!E537+EGRESOS!E577+EGRESOS!E614+EGRESOS!E654+EGRESOS!E749+EGRESOS!E1280+EGRESOS!E1365+EGRESOS!E1417+EGRESOS!E1701</f>
        <v>0</v>
      </c>
      <c r="E302" s="97">
        <f>EGRESOS!F537+EGRESOS!F577+EGRESOS!F614+EGRESOS!F654+EGRESOS!F749+EGRESOS!F1280+EGRESOS!F1365+EGRESOS!F1417+EGRESOS!F1701</f>
        <v>0</v>
      </c>
      <c r="F302" s="97">
        <f>EGRESOS!G537+EGRESOS!G577+EGRESOS!G614+EGRESOS!G654+EGRESOS!G749+EGRESOS!G1280+EGRESOS!G1365+EGRESOS!G1417+EGRESOS!G1701</f>
        <v>2950</v>
      </c>
      <c r="G302" s="97">
        <f>EGRESOS!H537+EGRESOS!H577+EGRESOS!H614+EGRESOS!H654+EGRESOS!H749+EGRESOS!H1280+EGRESOS!H1365+EGRESOS!H1417+EGRESOS!H1701</f>
        <v>2950</v>
      </c>
      <c r="H302" s="91"/>
      <c r="N302" s="2"/>
      <c r="O302" s="2"/>
    </row>
    <row r="303" spans="1:15" ht="15" customHeight="1" x14ac:dyDescent="0.2">
      <c r="A303" s="1">
        <v>10</v>
      </c>
      <c r="B303" s="89">
        <f>EGRESOS!C1366</f>
        <v>54118</v>
      </c>
      <c r="C303" s="90" t="str">
        <f>EGRESOS!D1366</f>
        <v>HERRAMIENTAS, REPUESTOS Y ACCESORIOS</v>
      </c>
      <c r="D303" s="97">
        <f>EGRESOS!E538+EGRESOS!E578+EGRESOS!E615+EGRESOS!E655+EGRESOS!E750+EGRESOS!E1281+EGRESOS!E1366+EGRESOS!E1418+EGRESOS!E1702</f>
        <v>0</v>
      </c>
      <c r="E303" s="97">
        <f>EGRESOS!F538+EGRESOS!F578+EGRESOS!F615+EGRESOS!F655+EGRESOS!F750+EGRESOS!F1281+EGRESOS!F1366+EGRESOS!F1418+EGRESOS!F1702</f>
        <v>0</v>
      </c>
      <c r="F303" s="97">
        <f>EGRESOS!G538+EGRESOS!G578+EGRESOS!G615+EGRESOS!G655+EGRESOS!G750+EGRESOS!G1281+EGRESOS!G1366+EGRESOS!G1418+EGRESOS!G1702</f>
        <v>29800</v>
      </c>
      <c r="G303" s="97">
        <f>EGRESOS!H538+EGRESOS!H578+EGRESOS!H615+EGRESOS!H655+EGRESOS!H750+EGRESOS!H1281+EGRESOS!H1366+EGRESOS!H1418+EGRESOS!H1702</f>
        <v>29800</v>
      </c>
      <c r="H303" s="91">
        <f>+D303+F303+G303</f>
        <v>59600</v>
      </c>
      <c r="N303" s="2"/>
      <c r="O303" s="2"/>
    </row>
    <row r="304" spans="1:15" ht="15" customHeight="1" x14ac:dyDescent="0.2">
      <c r="A304" s="1">
        <v>10</v>
      </c>
      <c r="B304" s="110">
        <f>EGRESOS!C1367</f>
        <v>54119</v>
      </c>
      <c r="C304" s="111" t="str">
        <f>EGRESOS!D1367</f>
        <v>MATERIALES ELÉCTRICOS</v>
      </c>
      <c r="D304" s="123">
        <f>EGRESOS!E539+EGRESOS!E579+EGRESOS!E616+EGRESOS!E656+EGRESOS!E751+EGRESOS!E1282+EGRESOS!E1367+EGRESOS!E1419+EGRESOS!E1703</f>
        <v>0</v>
      </c>
      <c r="E304" s="123">
        <f>EGRESOS!F539+EGRESOS!F579+EGRESOS!F616+EGRESOS!F656+EGRESOS!F751+EGRESOS!F1282+EGRESOS!F1367+EGRESOS!F1419+EGRESOS!F1703</f>
        <v>0</v>
      </c>
      <c r="F304" s="123">
        <f>EGRESOS!G539+EGRESOS!G579+EGRESOS!G616+EGRESOS!G656+EGRESOS!G751+EGRESOS!G1282+EGRESOS!G1367+EGRESOS!G1419+EGRESOS!G1703</f>
        <v>33050</v>
      </c>
      <c r="G304" s="123">
        <f>EGRESOS!H539+EGRESOS!H579+EGRESOS!H616+EGRESOS!H656+EGRESOS!H751+EGRESOS!H1282+EGRESOS!H1367+EGRESOS!H1419+EGRESOS!H1703</f>
        <v>33050</v>
      </c>
      <c r="H304" s="91">
        <f>+D304+F304+G304</f>
        <v>66100</v>
      </c>
      <c r="N304" s="2"/>
      <c r="O304" s="2"/>
    </row>
    <row r="305" spans="1:15" ht="15" customHeight="1" x14ac:dyDescent="0.2">
      <c r="A305" s="1">
        <v>10</v>
      </c>
      <c r="B305" s="89">
        <f>EGRESOS!C1368</f>
        <v>54199</v>
      </c>
      <c r="C305" s="90" t="str">
        <f>EGRESOS!D1368</f>
        <v>BIENES DE USO Y CONSUMO DIVERSOS</v>
      </c>
      <c r="D305" s="97">
        <f>EGRESOS!E540+EGRESOS!E580+EGRESOS!E617+EGRESOS!E657+EGRESOS!E752+EGRESOS!E1283+EGRESOS!E1368+EGRESOS!E1420+EGRESOS!E1704</f>
        <v>0</v>
      </c>
      <c r="E305" s="97">
        <f>EGRESOS!F540+EGRESOS!F580+EGRESOS!F617+EGRESOS!F657+EGRESOS!F752+EGRESOS!F1283+EGRESOS!F1368+EGRESOS!F1420+EGRESOS!F1704</f>
        <v>0</v>
      </c>
      <c r="F305" s="97">
        <f>EGRESOS!G540+EGRESOS!G580+EGRESOS!G617+EGRESOS!G657+EGRESOS!G752+EGRESOS!G1283+EGRESOS!G1368+EGRESOS!G1420+EGRESOS!G1704</f>
        <v>4500</v>
      </c>
      <c r="G305" s="97">
        <f>EGRESOS!H540+EGRESOS!H580+EGRESOS!H617+EGRESOS!H657+EGRESOS!H752+EGRESOS!H1283+EGRESOS!H1368+EGRESOS!H1420+EGRESOS!H1704</f>
        <v>4500</v>
      </c>
      <c r="H305" s="91">
        <f>+D305+F305+G305</f>
        <v>9000</v>
      </c>
      <c r="N305" s="2"/>
      <c r="O305" s="2"/>
    </row>
    <row r="306" spans="1:15" ht="15" customHeight="1" x14ac:dyDescent="0.2">
      <c r="A306" s="1">
        <v>10</v>
      </c>
      <c r="B306" s="89">
        <f>EGRESOS!C1369</f>
        <v>54201</v>
      </c>
      <c r="C306" s="90" t="str">
        <f>EGRESOS!D1369</f>
        <v>SERVICIOS DE ENERGÍA ELÉCTRICA</v>
      </c>
      <c r="D306" s="97">
        <f>EGRESOS!E541+EGRESOS!E581+EGRESOS!E618+EGRESOS!E658+EGRESOS!E753+EGRESOS!E1284+EGRESOS!E1369</f>
        <v>50000</v>
      </c>
      <c r="E306" s="97">
        <f>EGRESOS!F541+EGRESOS!F581+EGRESOS!F618+EGRESOS!F658+EGRESOS!F753+EGRESOS!F1284+EGRESOS!F1369</f>
        <v>0</v>
      </c>
      <c r="F306" s="97">
        <f>EGRESOS!G541+EGRESOS!G581+EGRESOS!G618+EGRESOS!G658+EGRESOS!G753+EGRESOS!G1284+EGRESOS!G1369</f>
        <v>80000</v>
      </c>
      <c r="G306" s="97">
        <f>EGRESOS!H541+EGRESOS!H581+EGRESOS!H618+EGRESOS!H658+EGRESOS!H753+EGRESOS!H1284+EGRESOS!H1369</f>
        <v>130000</v>
      </c>
      <c r="H306" s="91"/>
      <c r="N306" s="2"/>
      <c r="O306" s="2"/>
    </row>
    <row r="307" spans="1:15" ht="15" customHeight="1" x14ac:dyDescent="0.2">
      <c r="A307" s="1">
        <v>10</v>
      </c>
      <c r="B307" s="89">
        <f>EGRESOS!C1370</f>
        <v>54202</v>
      </c>
      <c r="C307" s="90" t="str">
        <f>EGRESOS!D1370</f>
        <v>SERVICIOS DE AGUA POTABLE</v>
      </c>
      <c r="D307" s="97">
        <f>EGRESOS!E542+EGRESOS!E582+EGRESOS!E619+EGRESOS!E659+EGRESOS!E754+EGRESOS!E1285+EGRESOS!E1370</f>
        <v>20000</v>
      </c>
      <c r="E307" s="97">
        <f>EGRESOS!F542+EGRESOS!F582+EGRESOS!F619+EGRESOS!F659+EGRESOS!F754+EGRESOS!F1285+EGRESOS!F1370</f>
        <v>0</v>
      </c>
      <c r="F307" s="97">
        <f>EGRESOS!G542+EGRESOS!G582+EGRESOS!G619+EGRESOS!G659+EGRESOS!G754+EGRESOS!G1285+EGRESOS!G1370</f>
        <v>63000</v>
      </c>
      <c r="G307" s="97">
        <f>EGRESOS!H542+EGRESOS!H582+EGRESOS!H619+EGRESOS!H659+EGRESOS!H754+EGRESOS!H1285+EGRESOS!H1370</f>
        <v>83000</v>
      </c>
      <c r="H307" s="97" t="e">
        <f>EGRESOS!I1285+EGRESOS!#REF!+EGRESOS!I1370+EGRESOS!#REF!</f>
        <v>#REF!</v>
      </c>
      <c r="I307" s="97" t="e">
        <f>EGRESOS!J1285+EGRESOS!#REF!+EGRESOS!J1370+EGRESOS!#REF!</f>
        <v>#REF!</v>
      </c>
      <c r="J307" s="97" t="e">
        <f>EGRESOS!K1285+EGRESOS!#REF!+EGRESOS!K1370+EGRESOS!#REF!</f>
        <v>#REF!</v>
      </c>
      <c r="K307" s="97" t="e">
        <f>EGRESOS!L1285+EGRESOS!#REF!+EGRESOS!L1370+EGRESOS!#REF!</f>
        <v>#REF!</v>
      </c>
      <c r="L307" s="97" t="e">
        <f>EGRESOS!M1285+EGRESOS!#REF!+EGRESOS!M1370+EGRESOS!#REF!</f>
        <v>#REF!</v>
      </c>
      <c r="M307" s="102"/>
      <c r="N307" s="2"/>
      <c r="O307" s="2"/>
    </row>
    <row r="308" spans="1:15" ht="15" customHeight="1" x14ac:dyDescent="0.2">
      <c r="A308" s="1">
        <v>10</v>
      </c>
      <c r="B308" s="89">
        <f>EGRESOS!C1371</f>
        <v>54203</v>
      </c>
      <c r="C308" s="90" t="str">
        <f>EGRESOS!D1371</f>
        <v>SERVICIOS DE TELECOMUNICACIONES</v>
      </c>
      <c r="D308" s="97">
        <f>EGRESOS!E543+EGRESOS!E583+EGRESOS!E620+EGRESOS!E660+EGRESOS!E755+EGRESOS!E1286+EGRESOS!E1371</f>
        <v>15000</v>
      </c>
      <c r="E308" s="97">
        <f>EGRESOS!F543+EGRESOS!F583+EGRESOS!F620+EGRESOS!F660+EGRESOS!F755+EGRESOS!F1286+EGRESOS!F1371</f>
        <v>0</v>
      </c>
      <c r="F308" s="97">
        <f>EGRESOS!G543+EGRESOS!G583+EGRESOS!G620+EGRESOS!G660+EGRESOS!G755+EGRESOS!G1286+EGRESOS!G1371</f>
        <v>23000</v>
      </c>
      <c r="G308" s="97">
        <f>EGRESOS!H543+EGRESOS!H583+EGRESOS!H620+EGRESOS!H660+EGRESOS!H755+EGRESOS!H1286+EGRESOS!H1371</f>
        <v>38000</v>
      </c>
      <c r="H308" s="91"/>
      <c r="N308" s="2"/>
      <c r="O308" s="2"/>
    </row>
    <row r="309" spans="1:15" ht="15" customHeight="1" x14ac:dyDescent="0.2">
      <c r="A309" s="1">
        <v>10</v>
      </c>
      <c r="B309" s="89">
        <f>EGRESOS!C1372</f>
        <v>54205</v>
      </c>
      <c r="C309" s="90" t="str">
        <f>EGRESOS!D1372</f>
        <v>ALUMBRADO PUBLICO</v>
      </c>
      <c r="D309" s="97">
        <f>EGRESOS!E756+EGRESOS!E1372</f>
        <v>300000</v>
      </c>
      <c r="E309" s="97">
        <f>EGRESOS!F756+EGRESOS!F1372</f>
        <v>0</v>
      </c>
      <c r="F309" s="97">
        <f>EGRESOS!G756+EGRESOS!G1372</f>
        <v>50000</v>
      </c>
      <c r="G309" s="97">
        <f>EGRESOS!H756+EGRESOS!H1372</f>
        <v>350000</v>
      </c>
      <c r="H309" s="91"/>
      <c r="N309" s="2"/>
      <c r="O309" s="2"/>
    </row>
    <row r="310" spans="1:15" ht="15" customHeight="1" x14ac:dyDescent="0.2">
      <c r="A310" s="1">
        <v>10</v>
      </c>
      <c r="B310" s="89">
        <f>EGRESOS!C1373</f>
        <v>54301</v>
      </c>
      <c r="C310" s="90" t="str">
        <f>EGRESOS!D1373</f>
        <v>MANTENIMIENTO Y REPARACIÓN DE BIENES MUEBLES</v>
      </c>
      <c r="D310" s="97">
        <f>EGRESOS!E544+EGRESOS!E584+EGRESOS!E621+EGRESOS!E661+EGRESOS!E757+EGRESOS!E1373+EGRESOS!E1421+EGRESOS!E1705</f>
        <v>0</v>
      </c>
      <c r="E310" s="97">
        <f>EGRESOS!F544+EGRESOS!F584+EGRESOS!F621+EGRESOS!F661+EGRESOS!F757+EGRESOS!F1373+EGRESOS!F1421+EGRESOS!F1705</f>
        <v>0</v>
      </c>
      <c r="F310" s="97">
        <f>EGRESOS!G544+EGRESOS!G584+EGRESOS!G621+EGRESOS!G661+EGRESOS!G757+EGRESOS!G1373+EGRESOS!G1421+EGRESOS!G1705</f>
        <v>12100</v>
      </c>
      <c r="G310" s="97">
        <f>EGRESOS!H544+EGRESOS!H584+EGRESOS!H621+EGRESOS!H661+EGRESOS!H757+EGRESOS!H1373+EGRESOS!H1421+EGRESOS!H1705</f>
        <v>12100</v>
      </c>
      <c r="H310" s="97">
        <f>EGRESOS!I544+EGRESOS!I584+EGRESOS!I621+EGRESOS!I661+EGRESOS!I757+EGRESOS!I1327+EGRESOS!I1373+EGRESOS!I1421+EGRESOS!I1705</f>
        <v>4000</v>
      </c>
      <c r="I310" s="97">
        <f>EGRESOS!J544+EGRESOS!J584+EGRESOS!J621+EGRESOS!J661+EGRESOS!J757+EGRESOS!J1327+EGRESOS!J1373+EGRESOS!J1421+EGRESOS!J1705</f>
        <v>0</v>
      </c>
      <c r="J310" s="97">
        <f>EGRESOS!K544+EGRESOS!K584+EGRESOS!K621+EGRESOS!K661+EGRESOS!K757+EGRESOS!K1327+EGRESOS!K1373+EGRESOS!K1421+EGRESOS!K1705</f>
        <v>0</v>
      </c>
      <c r="K310" s="97">
        <f>EGRESOS!L544+EGRESOS!L584+EGRESOS!L621+EGRESOS!L661+EGRESOS!L757+EGRESOS!L1327+EGRESOS!L1373+EGRESOS!L1421+EGRESOS!L1705</f>
        <v>0</v>
      </c>
      <c r="L310" s="97">
        <f>EGRESOS!M544+EGRESOS!M584+EGRESOS!M621+EGRESOS!M661+EGRESOS!M757+EGRESOS!M1327+EGRESOS!M1373+EGRESOS!M1421+EGRESOS!M1705</f>
        <v>0</v>
      </c>
      <c r="M310" s="102"/>
      <c r="N310" s="2"/>
      <c r="O310" s="2"/>
    </row>
    <row r="311" spans="1:15" ht="15" customHeight="1" x14ac:dyDescent="0.2">
      <c r="A311" s="1">
        <v>10</v>
      </c>
      <c r="B311" s="89">
        <f>EGRESOS!C1374</f>
        <v>54302</v>
      </c>
      <c r="C311" s="90" t="str">
        <f>EGRESOS!D1374</f>
        <v>MANTENIMIENTO Y REPARACIÓN DE VEHÍCULOS</v>
      </c>
      <c r="D311" s="97">
        <f>EGRESOS!E546+EGRESOS!E585+EGRESOS!E622+EGRESOS!E662+EGRESOS!E758+EGRESOS!E1374+EGRESOS!E1422</f>
        <v>0</v>
      </c>
      <c r="E311" s="97">
        <f>EGRESOS!F546+EGRESOS!F585+EGRESOS!F622+EGRESOS!F662+EGRESOS!F758+EGRESOS!F1374+EGRESOS!F1422</f>
        <v>0</v>
      </c>
      <c r="F311" s="97">
        <f>EGRESOS!G546+EGRESOS!G585+EGRESOS!G622+EGRESOS!G662+EGRESOS!G758+EGRESOS!G1374+EGRESOS!G1422</f>
        <v>25300</v>
      </c>
      <c r="G311" s="97">
        <f>EGRESOS!H546+EGRESOS!H585+EGRESOS!H622+EGRESOS!H662+EGRESOS!H758+EGRESOS!H1374+EGRESOS!H1422</f>
        <v>25300</v>
      </c>
      <c r="H311" s="91"/>
      <c r="N311" s="85"/>
      <c r="O311" s="2"/>
    </row>
    <row r="312" spans="1:15" ht="15" customHeight="1" x14ac:dyDescent="0.2">
      <c r="A312" s="1">
        <v>10</v>
      </c>
      <c r="B312" s="89">
        <f>EGRESOS!C1375</f>
        <v>54303</v>
      </c>
      <c r="C312" s="90" t="str">
        <f>EGRESOS!D1375</f>
        <v>MANTENIMIENTO Y REPARACION DE BIENES INMUEBLES</v>
      </c>
      <c r="D312" s="97">
        <f>EGRESOS!E545+EGRESOS!E759+EGRESOS!E1287+EGRESOS!E1375+EGRESOS!E1706</f>
        <v>0</v>
      </c>
      <c r="E312" s="97">
        <f>EGRESOS!F545+EGRESOS!F759+EGRESOS!F1287+EGRESOS!F1375+EGRESOS!F1706</f>
        <v>0</v>
      </c>
      <c r="F312" s="97">
        <f>EGRESOS!G545+EGRESOS!G759+EGRESOS!G1287+EGRESOS!G1375+EGRESOS!G1706</f>
        <v>20600</v>
      </c>
      <c r="G312" s="97">
        <f>EGRESOS!H545+EGRESOS!H759+EGRESOS!H1287+EGRESOS!H1375+EGRESOS!H1706</f>
        <v>20600</v>
      </c>
      <c r="H312" s="91"/>
      <c r="N312" s="2"/>
      <c r="O312" s="2"/>
    </row>
    <row r="313" spans="1:15" ht="15" customHeight="1" x14ac:dyDescent="0.2">
      <c r="A313" s="1">
        <v>10</v>
      </c>
      <c r="B313" s="89">
        <f>EGRESOS!C1376</f>
        <v>54304</v>
      </c>
      <c r="C313" s="90" t="str">
        <f>EGRESOS!D1376</f>
        <v>TRANSPORTE, FLETES Y ALMACENAMIENTO</v>
      </c>
      <c r="D313" s="97">
        <f>EGRESOS!E760+EGRESOS!E1376+EGRESOS!E1423</f>
        <v>0</v>
      </c>
      <c r="E313" s="97">
        <f>EGRESOS!F760+EGRESOS!F1376+EGRESOS!F1423</f>
        <v>0</v>
      </c>
      <c r="F313" s="97">
        <f>EGRESOS!G760+EGRESOS!G1376+EGRESOS!G1423</f>
        <v>31300</v>
      </c>
      <c r="G313" s="97">
        <f>EGRESOS!H760+EGRESOS!H1376+EGRESOS!H1423</f>
        <v>31300</v>
      </c>
      <c r="H313" s="91"/>
      <c r="N313" s="2"/>
      <c r="O313" s="2"/>
    </row>
    <row r="314" spans="1:15" ht="15" customHeight="1" x14ac:dyDescent="0.2">
      <c r="A314" s="1">
        <v>10</v>
      </c>
      <c r="B314" s="89">
        <f>EGRESOS!C1377</f>
        <v>54305</v>
      </c>
      <c r="C314" s="90" t="str">
        <f>EGRESOS!D1377</f>
        <v>SERVICIO DE PUBLICIDAD</v>
      </c>
      <c r="D314" s="97">
        <f>EGRESOS!E761+EGRESOS!E1288+EGRESOS!E1377</f>
        <v>0</v>
      </c>
      <c r="E314" s="97">
        <f>EGRESOS!F761+EGRESOS!F1288+EGRESOS!F1377</f>
        <v>0</v>
      </c>
      <c r="F314" s="97">
        <f>EGRESOS!G761+EGRESOS!G1288+EGRESOS!G1377</f>
        <v>6500</v>
      </c>
      <c r="G314" s="97">
        <f>EGRESOS!H761+EGRESOS!H1288+EGRESOS!H1377</f>
        <v>6500</v>
      </c>
      <c r="H314" s="91">
        <f>+D314+F314+G314</f>
        <v>13000</v>
      </c>
      <c r="N314" s="2"/>
      <c r="O314" s="2"/>
    </row>
    <row r="315" spans="1:15" ht="15" customHeight="1" x14ac:dyDescent="0.2">
      <c r="A315" s="1">
        <v>10</v>
      </c>
      <c r="B315" s="89">
        <f>EGRESOS!C1378</f>
        <v>54307</v>
      </c>
      <c r="C315" s="90" t="str">
        <f>EGRESOS!D1378</f>
        <v>SERVICIOS DE LIMPIEZA Y FUMIGACIONES</v>
      </c>
      <c r="D315" s="97">
        <f>EGRESOS!E547+EGRESOS!E586+EGRESOS!E623+EGRESOS!E663+EGRESOS!E762+EGRESOS!E1289+EGRESOS!E1378</f>
        <v>0</v>
      </c>
      <c r="E315" s="97">
        <f>EGRESOS!F547+EGRESOS!F586+EGRESOS!F623+EGRESOS!F663+EGRESOS!F762+EGRESOS!F1289+EGRESOS!F1378</f>
        <v>0</v>
      </c>
      <c r="F315" s="97">
        <f>EGRESOS!G547+EGRESOS!G586+EGRESOS!G623+EGRESOS!G663+EGRESOS!G762+EGRESOS!G1289+EGRESOS!G1378</f>
        <v>10500</v>
      </c>
      <c r="G315" s="97">
        <f>EGRESOS!H547+EGRESOS!H586+EGRESOS!H623+EGRESOS!H663+EGRESOS!H762+EGRESOS!H1289+EGRESOS!H1378</f>
        <v>10500</v>
      </c>
      <c r="H315" s="91"/>
      <c r="N315" s="2"/>
      <c r="O315" s="2"/>
    </row>
    <row r="316" spans="1:15" ht="15" customHeight="1" x14ac:dyDescent="0.2">
      <c r="A316" s="1">
        <v>10</v>
      </c>
      <c r="B316" s="89">
        <f>EGRESOS!C1379</f>
        <v>54313</v>
      </c>
      <c r="C316" s="90" t="str">
        <f>EGRESOS!D1379</f>
        <v>IMPRESIONES, PUBLICACIONES Y REPRODUCCIONES</v>
      </c>
      <c r="D316" s="97">
        <f>EGRESOS!E763+EGRESOS!E1290+EGRESOS!E1379+EGRESOS!E1424+EGRESOS!E1707</f>
        <v>0</v>
      </c>
      <c r="E316" s="97">
        <f>EGRESOS!F763+EGRESOS!F1290+EGRESOS!F1379+EGRESOS!F1424+EGRESOS!F1707</f>
        <v>0</v>
      </c>
      <c r="F316" s="97">
        <f>EGRESOS!G763+EGRESOS!G1290+EGRESOS!G1379+EGRESOS!G1424+EGRESOS!G1707+EGRESOS!G1424</f>
        <v>9400</v>
      </c>
      <c r="G316" s="97">
        <f>EGRESOS!H763+EGRESOS!H1290+EGRESOS!H1379+EGRESOS!H1424+EGRESOS!H1707+EGRESOS!G1424</f>
        <v>9400</v>
      </c>
      <c r="H316" s="91">
        <f>+D316+F316+G316</f>
        <v>18800</v>
      </c>
      <c r="N316" s="2"/>
      <c r="O316" s="2"/>
    </row>
    <row r="317" spans="1:15" ht="15" customHeight="1" x14ac:dyDescent="0.2">
      <c r="A317" s="1">
        <v>10</v>
      </c>
      <c r="B317" s="89">
        <v>54314</v>
      </c>
      <c r="C317" s="62" t="s">
        <v>12</v>
      </c>
      <c r="D317" s="97">
        <f>EGRESOS!E1291</f>
        <v>0</v>
      </c>
      <c r="E317" s="97">
        <f>EGRESOS!F1291</f>
        <v>0</v>
      </c>
      <c r="F317" s="97">
        <f>EGRESOS!G1291</f>
        <v>1000</v>
      </c>
      <c r="G317" s="97">
        <f>EGRESOS!H1291</f>
        <v>1000</v>
      </c>
      <c r="H317" s="91"/>
      <c r="N317" s="2"/>
      <c r="O317" s="2"/>
    </row>
    <row r="318" spans="1:15" ht="15" customHeight="1" x14ac:dyDescent="0.2">
      <c r="A318" s="1">
        <v>10</v>
      </c>
      <c r="B318" s="89">
        <f>EGRESOS!C1380</f>
        <v>54316</v>
      </c>
      <c r="C318" s="90" t="str">
        <f>EGRESOS!D1380</f>
        <v>ARRENDAMIENTO DE BIENES MUEBLES</v>
      </c>
      <c r="D318" s="97">
        <f>EGRESOS!E764+EGRESOS!E1380</f>
        <v>0</v>
      </c>
      <c r="E318" s="97">
        <f>EGRESOS!F764+EGRESOS!F1380</f>
        <v>0</v>
      </c>
      <c r="F318" s="97">
        <f>EGRESOS!G764+EGRESOS!G1380</f>
        <v>501000</v>
      </c>
      <c r="G318" s="97">
        <f>EGRESOS!H764+EGRESOS!H1380</f>
        <v>501000</v>
      </c>
      <c r="H318" s="91"/>
      <c r="N318" s="2"/>
      <c r="O318" s="2"/>
    </row>
    <row r="319" spans="1:15" ht="15" customHeight="1" x14ac:dyDescent="0.2">
      <c r="A319" s="1">
        <v>10</v>
      </c>
      <c r="B319" s="89">
        <f>EGRESOS!C1381</f>
        <v>54399</v>
      </c>
      <c r="C319" s="90" t="str">
        <f>EGRESOS!D1381</f>
        <v>SERVICIOS GENERALES Y ARRENDAMIENTOS DIVERSOS</v>
      </c>
      <c r="D319" s="97">
        <f>EGRESOS!E765+EGRESOS!E1381+EGRESOS!E1425+EGRESOS!E1708</f>
        <v>0</v>
      </c>
      <c r="E319" s="97">
        <f>EGRESOS!F765+EGRESOS!F1381+EGRESOS!F1425+EGRESOS!F1708</f>
        <v>0</v>
      </c>
      <c r="F319" s="97">
        <f>EGRESOS!G765+EGRESOS!G1381+EGRESOS!G1425+EGRESOS!G1708</f>
        <v>218000</v>
      </c>
      <c r="G319" s="97">
        <f>EGRESOS!H765+EGRESOS!H1381+EGRESOS!H1425+EGRESOS!H1708</f>
        <v>218000</v>
      </c>
      <c r="H319" s="91"/>
      <c r="N319" s="2"/>
      <c r="O319" s="2"/>
    </row>
    <row r="320" spans="1:15" ht="15" customHeight="1" x14ac:dyDescent="0.2">
      <c r="A320" s="1">
        <v>10</v>
      </c>
      <c r="B320" s="89">
        <v>54401</v>
      </c>
      <c r="C320" s="90" t="s">
        <v>143</v>
      </c>
      <c r="D320" s="97">
        <f>EGRESOS!E550+EGRESOS!E587+EGRESOS!E624+EGRESOS!E664+EGRESOS!E1426</f>
        <v>0</v>
      </c>
      <c r="E320" s="97">
        <f>EGRESOS!F550+EGRESOS!F587+EGRESOS!F624+EGRESOS!F664+EGRESOS!F1426</f>
        <v>0</v>
      </c>
      <c r="F320" s="97">
        <f>EGRESOS!G550+EGRESOS!G587+EGRESOS!G624+EGRESOS!G664+EGRESOS!G1426</f>
        <v>1500</v>
      </c>
      <c r="G320" s="97">
        <f>EGRESOS!H550+EGRESOS!H587+EGRESOS!H624+EGRESOS!H664+EGRESOS!H1426</f>
        <v>1500</v>
      </c>
      <c r="H320" s="97">
        <f>EGRESOS!I550+EGRESOS!I587+EGRESOS!I624+EGRESOS!I664+EGRESOS!I1426</f>
        <v>0</v>
      </c>
      <c r="I320" s="97">
        <f>EGRESOS!J550+EGRESOS!J587+EGRESOS!J624+EGRESOS!J664+EGRESOS!J1426</f>
        <v>0</v>
      </c>
      <c r="J320" s="97">
        <f>EGRESOS!K550+EGRESOS!K587+EGRESOS!K624+EGRESOS!K664+EGRESOS!K1426</f>
        <v>0</v>
      </c>
      <c r="K320" s="97">
        <f>EGRESOS!L550+EGRESOS!L587+EGRESOS!L624+EGRESOS!L664+EGRESOS!L1426</f>
        <v>0</v>
      </c>
      <c r="L320" s="97">
        <f>EGRESOS!M550+EGRESOS!M587+EGRESOS!M624+EGRESOS!M664+EGRESOS!M1426</f>
        <v>0</v>
      </c>
      <c r="M320" s="102"/>
      <c r="N320" s="2"/>
      <c r="O320" s="2"/>
    </row>
    <row r="321" spans="1:15" ht="15" customHeight="1" x14ac:dyDescent="0.2">
      <c r="A321" s="1">
        <v>10</v>
      </c>
      <c r="B321" s="89">
        <v>54501</v>
      </c>
      <c r="C321" s="62" t="s">
        <v>633</v>
      </c>
      <c r="D321" s="97">
        <f>EGRESOS!E1709</f>
        <v>0</v>
      </c>
      <c r="E321" s="97">
        <f>EGRESOS!F1709</f>
        <v>0</v>
      </c>
      <c r="F321" s="97">
        <f>EGRESOS!G1709</f>
        <v>100</v>
      </c>
      <c r="G321" s="97">
        <f>EGRESOS!H1709</f>
        <v>100</v>
      </c>
      <c r="H321" s="91"/>
      <c r="N321" s="2"/>
      <c r="O321" s="2"/>
    </row>
    <row r="322" spans="1:15" ht="15" customHeight="1" x14ac:dyDescent="0.2">
      <c r="A322" s="1">
        <v>10</v>
      </c>
      <c r="B322" s="89">
        <f>EGRESOS!C1382</f>
        <v>54602</v>
      </c>
      <c r="C322" s="90" t="str">
        <f>EGRESOS!D1382</f>
        <v>TRATAMIENTO DE DESECHOS SOLIDOS</v>
      </c>
      <c r="D322" s="97">
        <f>EGRESOS!E766+EGRESOS!E1382</f>
        <v>0</v>
      </c>
      <c r="E322" s="97">
        <f>EGRESOS!F766+EGRESOS!F1382</f>
        <v>0</v>
      </c>
      <c r="F322" s="97">
        <f>EGRESOS!G766+EGRESOS!G1382</f>
        <v>500000</v>
      </c>
      <c r="G322" s="97">
        <f>EGRESOS!H766+EGRESOS!H1382</f>
        <v>500000</v>
      </c>
      <c r="H322" s="91"/>
      <c r="N322" s="2"/>
      <c r="O322" s="2"/>
    </row>
    <row r="323" spans="1:15" ht="15" customHeight="1" x14ac:dyDescent="0.2">
      <c r="A323" s="1">
        <v>10</v>
      </c>
      <c r="B323" s="89">
        <f>EGRESOS!C1383</f>
        <v>55602</v>
      </c>
      <c r="C323" s="90" t="str">
        <f>EGRESOS!D1383</f>
        <v>PRIMAS Y GASTOS DE SEGUROS DE BIENES</v>
      </c>
      <c r="D323" s="97">
        <f>EGRESOS!E1383</f>
        <v>0</v>
      </c>
      <c r="E323" s="97">
        <f>EGRESOS!F1383</f>
        <v>0</v>
      </c>
      <c r="F323" s="97">
        <f>EGRESOS!G1383</f>
        <v>60000</v>
      </c>
      <c r="G323" s="97">
        <f>EGRESOS!H1383</f>
        <v>60000</v>
      </c>
      <c r="H323" s="91"/>
      <c r="N323" s="2"/>
      <c r="O323" s="2"/>
    </row>
    <row r="324" spans="1:15" ht="15" customHeight="1" x14ac:dyDescent="0.2">
      <c r="A324" s="1">
        <v>10</v>
      </c>
      <c r="B324" s="89">
        <v>55703</v>
      </c>
      <c r="C324" s="90" t="s">
        <v>456</v>
      </c>
      <c r="D324" s="97">
        <f>EGRESOS!E1384</f>
        <v>0</v>
      </c>
      <c r="E324" s="97">
        <f>EGRESOS!F1384</f>
        <v>0</v>
      </c>
      <c r="F324" s="97">
        <f>EGRESOS!G1384</f>
        <v>2000</v>
      </c>
      <c r="G324" s="97">
        <f>EGRESOS!H1384</f>
        <v>2000</v>
      </c>
      <c r="H324" s="97">
        <f>EGRESOS!I1384</f>
        <v>0</v>
      </c>
      <c r="I324" s="97">
        <f>EGRESOS!J1384</f>
        <v>0</v>
      </c>
      <c r="J324" s="97">
        <f>EGRESOS!K1384</f>
        <v>0</v>
      </c>
      <c r="K324" s="97">
        <f>EGRESOS!L1384</f>
        <v>0</v>
      </c>
      <c r="L324" s="97">
        <f>EGRESOS!M1384</f>
        <v>0</v>
      </c>
      <c r="M324" s="102"/>
      <c r="N324" s="2"/>
      <c r="O324" s="2"/>
    </row>
    <row r="325" spans="1:15" ht="15" customHeight="1" x14ac:dyDescent="0.2">
      <c r="A325" s="1">
        <v>10</v>
      </c>
      <c r="B325" s="89">
        <f>EGRESOS!C1385</f>
        <v>61101</v>
      </c>
      <c r="C325" s="90" t="str">
        <f>EGRESOS!D1385</f>
        <v>MOBILIARIO</v>
      </c>
      <c r="D325" s="97">
        <f>EGRESOS!E551+EGRESOS!E588+EGRESOS!E625+EGRESOS!E665+EGRESOS!E767+EGRESOS!E1292+EGRESOS!E1385+EGRESOS!E1427+EGRESOS!E1710</f>
        <v>0</v>
      </c>
      <c r="E325" s="97">
        <f>EGRESOS!F551+EGRESOS!F588+EGRESOS!F625+EGRESOS!F665+EGRESOS!F767+EGRESOS!F1292+EGRESOS!F1385+EGRESOS!F1427+EGRESOS!F1710</f>
        <v>0</v>
      </c>
      <c r="F325" s="97">
        <f>EGRESOS!G551+EGRESOS!G588+EGRESOS!G625+EGRESOS!G665+EGRESOS!G767+EGRESOS!G1292+EGRESOS!G1385+EGRESOS!G1427+EGRESOS!G1710+EGRESOS!G1421</f>
        <v>16900</v>
      </c>
      <c r="G325" s="97">
        <f>EGRESOS!G551+EGRESOS!G588+EGRESOS!G625+EGRESOS!G665+EGRESOS!G767+EGRESOS!G1292+EGRESOS!G1385+EGRESOS!G1427+EGRESOS!G1710+EGRESOS!G1421</f>
        <v>16900</v>
      </c>
      <c r="H325" s="91"/>
      <c r="N325" s="2"/>
      <c r="O325" s="2"/>
    </row>
    <row r="326" spans="1:15" ht="15" customHeight="1" x14ac:dyDescent="0.2">
      <c r="A326" s="1">
        <v>10</v>
      </c>
      <c r="B326" s="89">
        <f>EGRESOS!C1386</f>
        <v>61102</v>
      </c>
      <c r="C326" s="90" t="str">
        <f>EGRESOS!D1386</f>
        <v>MAQUINARIA Y EQUIPO</v>
      </c>
      <c r="D326" s="97">
        <f>EGRESOS!E552+EGRESOS!E589+EGRESOS!E626+EGRESOS!E666+EGRESOS!E768+EGRESOS!E1293+EGRESOS!E1386+EGRESOS!E1428+EGRESOS!E1711</f>
        <v>0</v>
      </c>
      <c r="E326" s="97">
        <f>EGRESOS!F552+EGRESOS!F589+EGRESOS!F626+EGRESOS!F666+EGRESOS!F768+EGRESOS!F1293+EGRESOS!F1386+EGRESOS!F1428+EGRESOS!F1711</f>
        <v>0</v>
      </c>
      <c r="F326" s="97">
        <f>EGRESOS!G552+EGRESOS!G589+EGRESOS!G626+EGRESOS!G666+EGRESOS!G768+EGRESOS!G1293+EGRESOS!G1386+EGRESOS!G1428+EGRESOS!G1711</f>
        <v>42570</v>
      </c>
      <c r="G326" s="97">
        <f>EGRESOS!G552+EGRESOS!G589+EGRESOS!G626+EGRESOS!G666+EGRESOS!G768+EGRESOS!G1293+EGRESOS!G1386+EGRESOS!G1428+EGRESOS!G1711</f>
        <v>42570</v>
      </c>
      <c r="H326" s="91"/>
      <c r="N326" s="2"/>
      <c r="O326" s="2"/>
    </row>
    <row r="327" spans="1:15" ht="15" customHeight="1" x14ac:dyDescent="0.2">
      <c r="A327" s="1">
        <v>10</v>
      </c>
      <c r="B327" s="89">
        <f>EGRESOS!C1387</f>
        <v>61104</v>
      </c>
      <c r="C327" s="90" t="str">
        <f>EGRESOS!D1387</f>
        <v>EQUIPOS INFORMATICOS</v>
      </c>
      <c r="D327" s="97">
        <f>EGRESOS!E553+EGRESOS!E590+EGRESOS!E627+EGRESOS!E667+EGRESOS!E769+EGRESOS!E1294+EGRESOS!E1387+EGRESOS!E1429+EGRESOS!E1712</f>
        <v>0</v>
      </c>
      <c r="E327" s="97">
        <f>EGRESOS!F553+EGRESOS!F590+EGRESOS!F627+EGRESOS!F667+EGRESOS!F769+EGRESOS!F1294+EGRESOS!F1387+EGRESOS!F1429+EGRESOS!F1712</f>
        <v>0</v>
      </c>
      <c r="F327" s="97">
        <f>EGRESOS!G553+EGRESOS!G590+EGRESOS!G627+EGRESOS!G667+EGRESOS!G769+EGRESOS!G1294+EGRESOS!G1387+EGRESOS!G1429+EGRESOS!G1712</f>
        <v>15300</v>
      </c>
      <c r="G327" s="97">
        <f>EGRESOS!H553+EGRESOS!H590+EGRESOS!H627+EGRESOS!H667+EGRESOS!H769+EGRESOS!H1294+EGRESOS!H1387+EGRESOS!H1429+EGRESOS!H1712</f>
        <v>15300</v>
      </c>
      <c r="H327" s="97">
        <f>+EGRESOS!I1294+EGRESOS!I1334+EGRESOS!I1387+EGRESOS!I1430+EGRESOS!I1712+EGRESOS!I769</f>
        <v>0</v>
      </c>
      <c r="I327" s="97">
        <f>+EGRESOS!J1294+EGRESOS!J1334+EGRESOS!J1387+EGRESOS!J1430+EGRESOS!J1712+EGRESOS!J769</f>
        <v>0</v>
      </c>
      <c r="J327" s="97">
        <f>+EGRESOS!K1294+EGRESOS!K1334+EGRESOS!K1387+EGRESOS!K1430+EGRESOS!K1712+EGRESOS!K769</f>
        <v>0</v>
      </c>
      <c r="K327" s="97">
        <f>+EGRESOS!L1294+EGRESOS!L1334+EGRESOS!L1387+EGRESOS!L1430+EGRESOS!L1712+EGRESOS!L769</f>
        <v>0</v>
      </c>
      <c r="L327" s="97">
        <f>+EGRESOS!M1294+EGRESOS!M1334+EGRESOS!M1387+EGRESOS!M1430+EGRESOS!M1712+EGRESOS!M769</f>
        <v>0</v>
      </c>
      <c r="M327" s="102"/>
      <c r="N327" s="2"/>
      <c r="O327" s="2"/>
    </row>
    <row r="328" spans="1:15" ht="15" customHeight="1" x14ac:dyDescent="0.2">
      <c r="A328" s="1">
        <v>10</v>
      </c>
      <c r="B328" s="89">
        <f>EGRESOS!C1388</f>
        <v>61105</v>
      </c>
      <c r="C328" s="90" t="str">
        <f>EGRESOS!D1388</f>
        <v>VEHICULOS DE TRANSPORTES</v>
      </c>
      <c r="D328" s="97">
        <f>EGRESOS!E770+EGRESOS!E1388+EGRESOS!E1430+EGRESOS!E1713</f>
        <v>0</v>
      </c>
      <c r="E328" s="97">
        <f>EGRESOS!F770+EGRESOS!F1388+EGRESOS!F1430+EGRESOS!F1713</f>
        <v>0</v>
      </c>
      <c r="F328" s="97">
        <f>EGRESOS!G770+EGRESOS!G1388+EGRESOS!G1430+EGRESOS!G1713</f>
        <v>25000</v>
      </c>
      <c r="G328" s="97">
        <f>EGRESOS!H770+EGRESOS!H1388+EGRESOS!H1430+EGRESOS!H1713</f>
        <v>25000</v>
      </c>
      <c r="H328" s="91"/>
      <c r="N328" s="2"/>
      <c r="O328" s="2"/>
    </row>
    <row r="329" spans="1:15" ht="15" customHeight="1" x14ac:dyDescent="0.2">
      <c r="A329" s="1">
        <v>10</v>
      </c>
      <c r="B329" s="89">
        <f>EGRESOS!C1389</f>
        <v>61108</v>
      </c>
      <c r="C329" s="90" t="str">
        <f>EGRESOS!D1389</f>
        <v>HERRAMIENTAS, REPUESTOS PRINCIPALES</v>
      </c>
      <c r="D329" s="97">
        <f>EGRESOS!E629+EGRESOS!E771+EGRESOS!E1389</f>
        <v>0</v>
      </c>
      <c r="E329" s="97">
        <f>EGRESOS!F629+EGRESOS!F771+EGRESOS!F1389</f>
        <v>0</v>
      </c>
      <c r="F329" s="97">
        <f>EGRESOS!G629+EGRESOS!G771+EGRESOS!G1389</f>
        <v>42500</v>
      </c>
      <c r="G329" s="97">
        <f>EGRESOS!H629+EGRESOS!H771+EGRESOS!H1389</f>
        <v>42500</v>
      </c>
      <c r="H329" s="91"/>
      <c r="N329" s="2"/>
      <c r="O329" s="2"/>
    </row>
    <row r="330" spans="1:15" ht="15" customHeight="1" x14ac:dyDescent="0.2">
      <c r="A330" s="1">
        <v>10</v>
      </c>
      <c r="B330" s="61">
        <v>61199</v>
      </c>
      <c r="C330" s="62" t="s">
        <v>135</v>
      </c>
      <c r="D330" s="97">
        <f>EGRESOS!E554+EGRESOS!E591+EGRESOS!E628+EGRESOS!E668</f>
        <v>0</v>
      </c>
      <c r="E330" s="97">
        <f>EGRESOS!F554+EGRESOS!F591+EGRESOS!F628+EGRESOS!F668</f>
        <v>0</v>
      </c>
      <c r="F330" s="97">
        <f>EGRESOS!G554+EGRESOS!G591+EGRESOS!G628+EGRESOS!G668</f>
        <v>1500</v>
      </c>
      <c r="G330" s="97">
        <f>EGRESOS!H554+EGRESOS!H591+EGRESOS!H628+EGRESOS!H668</f>
        <v>1500</v>
      </c>
      <c r="H330" s="91"/>
      <c r="N330" s="85"/>
      <c r="O330" s="2"/>
    </row>
    <row r="331" spans="1:15" ht="15" customHeight="1" x14ac:dyDescent="0.2">
      <c r="A331" s="1">
        <v>10</v>
      </c>
      <c r="B331" s="61">
        <v>61601</v>
      </c>
      <c r="C331" s="62" t="s">
        <v>287</v>
      </c>
      <c r="D331" s="97">
        <f>EGRESOS!E669</f>
        <v>0</v>
      </c>
      <c r="E331" s="97">
        <f>EGRESOS!F669</f>
        <v>0</v>
      </c>
      <c r="F331" s="97">
        <f>EGRESOS!G669</f>
        <v>22554.82</v>
      </c>
      <c r="G331" s="97">
        <f>EGRESOS!H669</f>
        <v>22554.82</v>
      </c>
      <c r="H331" s="97">
        <f>EGRESOS!I669</f>
        <v>0</v>
      </c>
      <c r="I331" s="97">
        <f>EGRESOS!J669</f>
        <v>0</v>
      </c>
      <c r="J331" s="97">
        <f>EGRESOS!K669</f>
        <v>0</v>
      </c>
      <c r="K331" s="97">
        <f>EGRESOS!L669</f>
        <v>0</v>
      </c>
      <c r="L331" s="97">
        <f>EGRESOS!M669</f>
        <v>0</v>
      </c>
      <c r="M331" s="102"/>
      <c r="N331" s="85"/>
      <c r="O331" s="2"/>
    </row>
    <row r="332" spans="1:15" ht="15" customHeight="1" x14ac:dyDescent="0.2">
      <c r="A332" s="1">
        <v>10</v>
      </c>
      <c r="B332" s="61">
        <v>61602</v>
      </c>
      <c r="C332" s="62" t="s">
        <v>289</v>
      </c>
      <c r="D332" s="97">
        <f>EGRESOS!E1390</f>
        <v>0</v>
      </c>
      <c r="E332" s="97">
        <f>EGRESOS!F1390</f>
        <v>0</v>
      </c>
      <c r="F332" s="97">
        <f>EGRESOS!G1390</f>
        <v>0</v>
      </c>
      <c r="G332" s="97">
        <f>EGRESOS!H1390</f>
        <v>0</v>
      </c>
      <c r="H332" s="97"/>
      <c r="I332" s="85"/>
      <c r="J332" s="85"/>
      <c r="K332" s="85"/>
      <c r="L332" s="85"/>
      <c r="M332" s="85"/>
      <c r="N332" s="85"/>
      <c r="O332" s="2"/>
    </row>
    <row r="333" spans="1:15" ht="15" customHeight="1" x14ac:dyDescent="0.2">
      <c r="A333" s="1" t="s">
        <v>387</v>
      </c>
      <c r="B333" s="89"/>
      <c r="C333" s="89" t="s">
        <v>14</v>
      </c>
      <c r="D333" s="82">
        <f>SUM(D283:D332)</f>
        <v>385000</v>
      </c>
      <c r="E333" s="82">
        <f>SUM(E283:E332)</f>
        <v>0</v>
      </c>
      <c r="F333" s="82">
        <f>SUM(F283:F332)</f>
        <v>3074521.1199999996</v>
      </c>
      <c r="G333" s="82">
        <f>SUM(G283:G332)</f>
        <v>3459521.1199999996</v>
      </c>
      <c r="H333" s="97" t="e">
        <f>SUM(H283:H329)</f>
        <v>#REF!</v>
      </c>
      <c r="M333" s="1">
        <f>+EGRESOS!H555+EGRESOS!H592+EGRESOS!H630+EGRESOS!H670+EGRESOS!H772+EGRESOS!H1295+EGRESOS!H1391+EGRESOS!H1431+EGRESOS!H1714</f>
        <v>3459521.12</v>
      </c>
      <c r="N333" s="2">
        <f>+M333-G333</f>
        <v>0</v>
      </c>
      <c r="O333" s="2"/>
    </row>
    <row r="334" spans="1:15" ht="15" customHeight="1" x14ac:dyDescent="0.2">
      <c r="A334" s="1" t="s">
        <v>387</v>
      </c>
      <c r="B334" s="7"/>
      <c r="C334" s="7"/>
      <c r="D334" s="85"/>
      <c r="E334" s="85"/>
      <c r="F334" s="86"/>
      <c r="G334" s="86"/>
    </row>
    <row r="335" spans="1:15" ht="15" customHeight="1" x14ac:dyDescent="0.2">
      <c r="A335" s="1" t="s">
        <v>387</v>
      </c>
      <c r="B335" s="7"/>
      <c r="C335" s="7"/>
      <c r="D335" s="85"/>
      <c r="E335" s="85"/>
      <c r="F335" s="86"/>
      <c r="G335" s="86"/>
      <c r="N335" s="1">
        <v>2819434.15</v>
      </c>
      <c r="O335" s="3">
        <f>F333-N335</f>
        <v>255086.96999999974</v>
      </c>
    </row>
    <row r="336" spans="1:15" ht="15" customHeight="1" x14ac:dyDescent="0.2">
      <c r="A336" s="1" t="s">
        <v>387</v>
      </c>
      <c r="B336" s="7"/>
      <c r="C336" s="7"/>
      <c r="D336" s="85"/>
      <c r="E336" s="85"/>
      <c r="F336" s="86"/>
      <c r="G336" s="86"/>
    </row>
    <row r="337" spans="1:13" ht="15" customHeight="1" x14ac:dyDescent="0.2">
      <c r="A337" s="1" t="s">
        <v>387</v>
      </c>
      <c r="B337" s="404" t="s">
        <v>119</v>
      </c>
      <c r="C337" s="404"/>
      <c r="D337" s="404"/>
      <c r="E337" s="404"/>
      <c r="F337" s="404"/>
      <c r="G337" s="404"/>
    </row>
    <row r="338" spans="1:13" ht="15" customHeight="1" x14ac:dyDescent="0.2">
      <c r="A338" s="1" t="s">
        <v>387</v>
      </c>
      <c r="B338" s="414" t="str">
        <f>+B3</f>
        <v>PRESUPUESTO AÑO 2024</v>
      </c>
      <c r="C338" s="414"/>
      <c r="D338" s="414"/>
      <c r="E338" s="414"/>
      <c r="F338" s="414"/>
      <c r="G338" s="414"/>
    </row>
    <row r="339" spans="1:13" ht="15" customHeight="1" x14ac:dyDescent="0.2">
      <c r="A339" s="1" t="s">
        <v>387</v>
      </c>
      <c r="B339" s="414" t="str">
        <f>B2</f>
        <v>PRESUPUESTO EXTRA CONTABLE</v>
      </c>
      <c r="C339" s="414"/>
      <c r="D339" s="414"/>
      <c r="E339" s="414"/>
      <c r="F339" s="414"/>
      <c r="G339" s="414"/>
    </row>
    <row r="340" spans="1:13" ht="15" customHeight="1" x14ac:dyDescent="0.2">
      <c r="A340" s="1" t="s">
        <v>387</v>
      </c>
      <c r="B340" s="404" t="s">
        <v>117</v>
      </c>
      <c r="C340" s="404"/>
      <c r="D340" s="404"/>
      <c r="E340" s="404"/>
      <c r="F340" s="404"/>
      <c r="G340" s="404"/>
    </row>
    <row r="341" spans="1:13" ht="15" customHeight="1" x14ac:dyDescent="0.2">
      <c r="A341" s="1" t="s">
        <v>387</v>
      </c>
      <c r="B341" s="404" t="s">
        <v>375</v>
      </c>
      <c r="C341" s="404"/>
      <c r="D341" s="404"/>
      <c r="E341" s="404"/>
      <c r="F341" s="404"/>
      <c r="G341" s="404"/>
    </row>
    <row r="342" spans="1:13" ht="15" customHeight="1" x14ac:dyDescent="0.2">
      <c r="A342" s="1" t="s">
        <v>387</v>
      </c>
      <c r="B342" s="412" t="s">
        <v>1</v>
      </c>
      <c r="C342" s="87"/>
      <c r="D342" s="71" t="s">
        <v>56</v>
      </c>
      <c r="E342" s="71" t="str">
        <f>E6</f>
        <v>REFORMA</v>
      </c>
      <c r="F342" s="71" t="s">
        <v>56</v>
      </c>
      <c r="G342" s="88" t="str">
        <f>$G$6</f>
        <v>TOTAL 2024</v>
      </c>
      <c r="H342" s="72" t="s">
        <v>285</v>
      </c>
      <c r="I342" s="72"/>
      <c r="J342" s="72"/>
      <c r="K342" s="72"/>
      <c r="L342" s="72"/>
    </row>
    <row r="343" spans="1:13" ht="15" customHeight="1" x14ac:dyDescent="0.2">
      <c r="A343" s="1" t="s">
        <v>387</v>
      </c>
      <c r="B343" s="413"/>
      <c r="C343" s="72" t="s">
        <v>0</v>
      </c>
      <c r="D343" s="71" t="s">
        <v>139</v>
      </c>
      <c r="E343" s="71"/>
      <c r="F343" s="71" t="s">
        <v>140</v>
      </c>
      <c r="G343" s="71"/>
      <c r="H343" s="72" t="s">
        <v>286</v>
      </c>
      <c r="I343" s="72" t="s">
        <v>290</v>
      </c>
      <c r="J343" s="72" t="s">
        <v>291</v>
      </c>
      <c r="K343" s="72" t="s">
        <v>293</v>
      </c>
      <c r="L343" s="72" t="s">
        <v>292</v>
      </c>
      <c r="M343" s="108"/>
    </row>
    <row r="344" spans="1:13" ht="15" customHeight="1" x14ac:dyDescent="0.2">
      <c r="A344" s="1">
        <v>12</v>
      </c>
      <c r="B344" s="89">
        <f>EGRESOS!C784</f>
        <v>51101</v>
      </c>
      <c r="C344" s="90" t="str">
        <f>EGRESOS!D784</f>
        <v>SUELDOS</v>
      </c>
      <c r="D344" s="91">
        <f>EGRESOS!E784</f>
        <v>0</v>
      </c>
      <c r="E344" s="91">
        <f>EGRESOS!F784</f>
        <v>0</v>
      </c>
      <c r="F344" s="91">
        <f>EGRESOS!G784</f>
        <v>24288</v>
      </c>
      <c r="G344" s="91">
        <f>EGRESOS!H784</f>
        <v>24288</v>
      </c>
      <c r="H344" s="81"/>
      <c r="I344" s="81"/>
      <c r="J344" s="30"/>
      <c r="K344" s="30"/>
      <c r="L344" s="30"/>
    </row>
    <row r="345" spans="1:13" ht="15" customHeight="1" x14ac:dyDescent="0.2">
      <c r="A345" s="1">
        <v>12</v>
      </c>
      <c r="B345" s="89">
        <f>EGRESOS!C785</f>
        <v>51103</v>
      </c>
      <c r="C345" s="90" t="str">
        <f>EGRESOS!D785</f>
        <v>AGUINALDO</v>
      </c>
      <c r="D345" s="91">
        <f>EGRESOS!E785</f>
        <v>0</v>
      </c>
      <c r="E345" s="91">
        <f>EGRESOS!F785</f>
        <v>0</v>
      </c>
      <c r="F345" s="91">
        <f>EGRESOS!G785</f>
        <v>2024</v>
      </c>
      <c r="G345" s="91">
        <f>EGRESOS!H785</f>
        <v>2024</v>
      </c>
      <c r="H345" s="81"/>
      <c r="I345" s="81"/>
      <c r="J345" s="30"/>
      <c r="K345" s="30"/>
      <c r="L345" s="30"/>
      <c r="M345" s="2"/>
    </row>
    <row r="346" spans="1:13" ht="15" customHeight="1" x14ac:dyDescent="0.2">
      <c r="A346" s="1">
        <v>12</v>
      </c>
      <c r="B346" s="89">
        <f>EGRESOS!C786</f>
        <v>51107</v>
      </c>
      <c r="C346" s="90" t="str">
        <f>EGRESOS!D786</f>
        <v>BENEFICIOS ADICIONALES</v>
      </c>
      <c r="D346" s="91">
        <f>EGRESOS!E786</f>
        <v>0</v>
      </c>
      <c r="E346" s="91">
        <f>EGRESOS!F786</f>
        <v>0</v>
      </c>
      <c r="F346" s="91">
        <f>EGRESOS!G786</f>
        <v>600</v>
      </c>
      <c r="G346" s="91">
        <f>EGRESOS!H786</f>
        <v>600</v>
      </c>
      <c r="H346" s="81"/>
      <c r="I346" s="81"/>
      <c r="J346" s="30"/>
      <c r="K346" s="30"/>
      <c r="L346" s="30"/>
      <c r="M346" s="2"/>
    </row>
    <row r="347" spans="1:13" ht="15" customHeight="1" x14ac:dyDescent="0.2">
      <c r="A347" s="1">
        <v>12</v>
      </c>
      <c r="B347" s="89">
        <f>EGRESOS!C787</f>
        <v>51201</v>
      </c>
      <c r="C347" s="90" t="str">
        <f>EGRESOS!D787</f>
        <v>SUELDOS POR REMUNERACIONES EVENTUALES</v>
      </c>
      <c r="D347" s="91">
        <f>EGRESOS!E787</f>
        <v>0</v>
      </c>
      <c r="E347" s="91">
        <f>EGRESOS!F787</f>
        <v>0</v>
      </c>
      <c r="F347" s="91">
        <f>EGRESOS!G787</f>
        <v>0</v>
      </c>
      <c r="G347" s="91">
        <f>EGRESOS!H787</f>
        <v>0</v>
      </c>
      <c r="H347" s="81"/>
      <c r="I347" s="81"/>
      <c r="J347" s="30"/>
      <c r="K347" s="30"/>
      <c r="L347" s="30"/>
      <c r="M347" s="2"/>
    </row>
    <row r="348" spans="1:13" ht="15" customHeight="1" x14ac:dyDescent="0.2">
      <c r="A348" s="1">
        <v>12</v>
      </c>
      <c r="B348" s="89">
        <f>EGRESOS!C788</f>
        <v>51401</v>
      </c>
      <c r="C348" s="90" t="str">
        <f>EGRESOS!D788</f>
        <v>POR REMUN. PERM. (INPEP,  ISSS, INSAFORP)</v>
      </c>
      <c r="D348" s="91">
        <f>EGRESOS!E788</f>
        <v>0</v>
      </c>
      <c r="E348" s="91">
        <f>EGRESOS!F788</f>
        <v>0</v>
      </c>
      <c r="F348" s="91">
        <f>EGRESOS!G788</f>
        <v>2064.48</v>
      </c>
      <c r="G348" s="91">
        <f>EGRESOS!H788</f>
        <v>2064.48</v>
      </c>
      <c r="H348" s="81"/>
      <c r="I348" s="81"/>
      <c r="J348" s="30"/>
      <c r="K348" s="30"/>
      <c r="L348" s="30"/>
    </row>
    <row r="349" spans="1:13" ht="15" customHeight="1" x14ac:dyDescent="0.2">
      <c r="A349" s="1">
        <v>12</v>
      </c>
      <c r="B349" s="89">
        <f>EGRESOS!C789</f>
        <v>51501</v>
      </c>
      <c r="C349" s="90" t="str">
        <f>EGRESOS!D789</f>
        <v>POR REMUNERACIONES PERMANENTES (AFP)</v>
      </c>
      <c r="D349" s="91">
        <f>EGRESOS!E789</f>
        <v>0</v>
      </c>
      <c r="E349" s="91">
        <f>EGRESOS!F789</f>
        <v>0</v>
      </c>
      <c r="F349" s="91">
        <f>EGRESOS!G789</f>
        <v>2125.1999999999998</v>
      </c>
      <c r="G349" s="91">
        <f>EGRESOS!H789</f>
        <v>2125.1999999999998</v>
      </c>
      <c r="H349" s="81"/>
      <c r="I349" s="81"/>
      <c r="J349" s="30"/>
      <c r="K349" s="30"/>
      <c r="L349" s="30"/>
    </row>
    <row r="350" spans="1:13" ht="15" customHeight="1" x14ac:dyDescent="0.2">
      <c r="A350" s="1">
        <v>12</v>
      </c>
      <c r="B350" s="89">
        <f>EGRESOS!C790</f>
        <v>54104</v>
      </c>
      <c r="C350" s="90" t="str">
        <f>EGRESOS!D790</f>
        <v>PRODUCTOS TEXTILES Y VESTUARIOS</v>
      </c>
      <c r="D350" s="91">
        <f>EGRESOS!E790</f>
        <v>0</v>
      </c>
      <c r="E350" s="91">
        <f>EGRESOS!F790</f>
        <v>0</v>
      </c>
      <c r="F350" s="91">
        <f>EGRESOS!G790</f>
        <v>300</v>
      </c>
      <c r="G350" s="91">
        <f>EGRESOS!H790</f>
        <v>300</v>
      </c>
      <c r="H350" s="81"/>
      <c r="I350" s="81"/>
      <c r="J350" s="30">
        <f>193+202.71</f>
        <v>395.71000000000004</v>
      </c>
      <c r="K350" s="30"/>
      <c r="L350" s="30"/>
    </row>
    <row r="351" spans="1:13" ht="15" customHeight="1" x14ac:dyDescent="0.2">
      <c r="A351" s="1">
        <v>12</v>
      </c>
      <c r="B351" s="89">
        <f>EGRESOS!C791</f>
        <v>54105</v>
      </c>
      <c r="C351" s="90" t="str">
        <f>EGRESOS!D791</f>
        <v>PRODUCTOS DE PAPEL Y CARTÓN</v>
      </c>
      <c r="D351" s="91">
        <f>EGRESOS!E791</f>
        <v>0</v>
      </c>
      <c r="E351" s="91">
        <f>EGRESOS!F791</f>
        <v>0</v>
      </c>
      <c r="F351" s="91">
        <f>EGRESOS!G791</f>
        <v>0</v>
      </c>
      <c r="G351" s="91">
        <f>EGRESOS!H791</f>
        <v>0</v>
      </c>
      <c r="H351" s="81"/>
      <c r="I351" s="81"/>
      <c r="J351" s="30"/>
      <c r="K351" s="30"/>
      <c r="L351" s="30"/>
    </row>
    <row r="352" spans="1:13" ht="15" customHeight="1" x14ac:dyDescent="0.2">
      <c r="A352" s="1">
        <v>12</v>
      </c>
      <c r="B352" s="89">
        <f>EGRESOS!C792</f>
        <v>54106</v>
      </c>
      <c r="C352" s="90" t="str">
        <f>EGRESOS!D792</f>
        <v>PRODUCTOS DE CUERO Y CAUCHO</v>
      </c>
      <c r="D352" s="91">
        <f>EGRESOS!E792</f>
        <v>0</v>
      </c>
      <c r="E352" s="91">
        <f>EGRESOS!F792</f>
        <v>0</v>
      </c>
      <c r="F352" s="91">
        <f>EGRESOS!G792</f>
        <v>200</v>
      </c>
      <c r="G352" s="91">
        <f>EGRESOS!H792</f>
        <v>200</v>
      </c>
      <c r="H352" s="81"/>
      <c r="I352" s="81"/>
      <c r="J352" s="30"/>
      <c r="K352" s="30"/>
      <c r="L352" s="30"/>
    </row>
    <row r="353" spans="1:12" ht="15" customHeight="1" x14ac:dyDescent="0.2">
      <c r="A353" s="1">
        <v>12</v>
      </c>
      <c r="B353" s="89">
        <f>EGRESOS!C793</f>
        <v>54107</v>
      </c>
      <c r="C353" s="90" t="str">
        <f>EGRESOS!D793</f>
        <v xml:space="preserve">PRODUCTOS QUIMICOS </v>
      </c>
      <c r="D353" s="91">
        <f>EGRESOS!E793</f>
        <v>0</v>
      </c>
      <c r="E353" s="91">
        <f>EGRESOS!F793</f>
        <v>0</v>
      </c>
      <c r="F353" s="91">
        <f>EGRESOS!G793</f>
        <v>300</v>
      </c>
      <c r="G353" s="91">
        <f>EGRESOS!H793</f>
        <v>300</v>
      </c>
      <c r="H353" s="81"/>
      <c r="I353" s="81"/>
      <c r="J353" s="30"/>
      <c r="K353" s="30"/>
      <c r="L353" s="30"/>
    </row>
    <row r="354" spans="1:12" ht="15" customHeight="1" x14ac:dyDescent="0.2">
      <c r="A354" s="1">
        <v>12</v>
      </c>
      <c r="B354" s="89">
        <f>EGRESOS!C794</f>
        <v>54109</v>
      </c>
      <c r="C354" s="90" t="str">
        <f>EGRESOS!D794</f>
        <v xml:space="preserve">LLANTAS Y NEUMATICOS </v>
      </c>
      <c r="D354" s="91">
        <f>EGRESOS!E794</f>
        <v>0</v>
      </c>
      <c r="E354" s="91">
        <f>EGRESOS!F794</f>
        <v>0</v>
      </c>
      <c r="F354" s="91">
        <f>EGRESOS!G794</f>
        <v>0</v>
      </c>
      <c r="G354" s="91">
        <f>EGRESOS!H794</f>
        <v>0</v>
      </c>
      <c r="H354" s="81"/>
      <c r="I354" s="81"/>
      <c r="J354" s="30"/>
      <c r="K354" s="30"/>
      <c r="L354" s="30"/>
    </row>
    <row r="355" spans="1:12" ht="15" customHeight="1" x14ac:dyDescent="0.2">
      <c r="A355" s="1">
        <v>12</v>
      </c>
      <c r="B355" s="89">
        <f>EGRESOS!C795</f>
        <v>54110</v>
      </c>
      <c r="C355" s="90" t="str">
        <f>EGRESOS!D795</f>
        <v xml:space="preserve">COMBUSTIBLE Y LUBRICANTE </v>
      </c>
      <c r="D355" s="91">
        <f>EGRESOS!E795</f>
        <v>0</v>
      </c>
      <c r="E355" s="91">
        <f>EGRESOS!F795</f>
        <v>0</v>
      </c>
      <c r="F355" s="91">
        <f>EGRESOS!G795</f>
        <v>0</v>
      </c>
      <c r="G355" s="91">
        <f>EGRESOS!H795</f>
        <v>0</v>
      </c>
      <c r="H355" s="81"/>
      <c r="I355" s="81"/>
      <c r="J355" s="30"/>
      <c r="K355" s="30"/>
      <c r="L355" s="30"/>
    </row>
    <row r="356" spans="1:12" ht="15" customHeight="1" x14ac:dyDescent="0.2">
      <c r="A356" s="1">
        <v>12</v>
      </c>
      <c r="B356" s="89">
        <f>EGRESOS!C796</f>
        <v>54111</v>
      </c>
      <c r="C356" s="90" t="str">
        <f>EGRESOS!D796</f>
        <v>MINERALES NO METALICOS Y PRODUCTOS DERIVADOS</v>
      </c>
      <c r="D356" s="91">
        <f>EGRESOS!E796</f>
        <v>0</v>
      </c>
      <c r="E356" s="91">
        <f>EGRESOS!F796</f>
        <v>0</v>
      </c>
      <c r="F356" s="91">
        <f>EGRESOS!G796</f>
        <v>300</v>
      </c>
      <c r="G356" s="91">
        <f>EGRESOS!H796</f>
        <v>300</v>
      </c>
      <c r="H356" s="81"/>
      <c r="I356" s="81"/>
      <c r="J356" s="30"/>
      <c r="K356" s="30"/>
      <c r="L356" s="30"/>
    </row>
    <row r="357" spans="1:12" ht="15" customHeight="1" x14ac:dyDescent="0.2">
      <c r="A357" s="1">
        <v>12</v>
      </c>
      <c r="B357" s="89">
        <f>EGRESOS!C797</f>
        <v>54112</v>
      </c>
      <c r="C357" s="90" t="str">
        <f>EGRESOS!D797</f>
        <v>MINERALES METALICOS Y PRODUCTOS DERIVADOS</v>
      </c>
      <c r="D357" s="91">
        <f>EGRESOS!E797</f>
        <v>0</v>
      </c>
      <c r="E357" s="91">
        <f>EGRESOS!F797</f>
        <v>0</v>
      </c>
      <c r="F357" s="91">
        <f>EGRESOS!G797</f>
        <v>200</v>
      </c>
      <c r="G357" s="91">
        <f>EGRESOS!H797</f>
        <v>200</v>
      </c>
      <c r="H357" s="81"/>
      <c r="I357" s="81"/>
      <c r="J357" s="30"/>
      <c r="K357" s="30"/>
      <c r="L357" s="30"/>
    </row>
    <row r="358" spans="1:12" ht="15" customHeight="1" x14ac:dyDescent="0.2">
      <c r="A358" s="1">
        <v>12</v>
      </c>
      <c r="B358" s="89">
        <f>EGRESOS!C798</f>
        <v>54114</v>
      </c>
      <c r="C358" s="90" t="str">
        <f>EGRESOS!D798</f>
        <v>MATERIALES DE OFICINA</v>
      </c>
      <c r="D358" s="91">
        <f>EGRESOS!E798</f>
        <v>0</v>
      </c>
      <c r="E358" s="91">
        <f>EGRESOS!F798</f>
        <v>0</v>
      </c>
      <c r="F358" s="91">
        <f>EGRESOS!G798</f>
        <v>500</v>
      </c>
      <c r="G358" s="91">
        <f>EGRESOS!H798</f>
        <v>500</v>
      </c>
      <c r="H358" s="81"/>
      <c r="I358" s="81"/>
      <c r="J358" s="30"/>
      <c r="K358" s="30"/>
      <c r="L358" s="30"/>
    </row>
    <row r="359" spans="1:12" ht="15" customHeight="1" x14ac:dyDescent="0.2">
      <c r="A359" s="1">
        <v>12</v>
      </c>
      <c r="B359" s="89">
        <f>EGRESOS!C799</f>
        <v>54115</v>
      </c>
      <c r="C359" s="90" t="str">
        <f>EGRESOS!D799</f>
        <v>MATERIALES INFORMATICOS</v>
      </c>
      <c r="D359" s="91">
        <f>EGRESOS!E799</f>
        <v>0</v>
      </c>
      <c r="E359" s="91">
        <f>EGRESOS!F799</f>
        <v>0</v>
      </c>
      <c r="F359" s="91">
        <f>EGRESOS!G799</f>
        <v>450</v>
      </c>
      <c r="G359" s="91">
        <f>EGRESOS!H799</f>
        <v>450</v>
      </c>
      <c r="H359" s="81"/>
      <c r="I359" s="81"/>
      <c r="J359" s="30"/>
      <c r="K359" s="30"/>
      <c r="L359" s="30"/>
    </row>
    <row r="360" spans="1:12" ht="15" customHeight="1" x14ac:dyDescent="0.2">
      <c r="A360" s="1">
        <v>12</v>
      </c>
      <c r="B360" s="89">
        <f>EGRESOS!C800</f>
        <v>54118</v>
      </c>
      <c r="C360" s="90" t="str">
        <f>EGRESOS!D800</f>
        <v xml:space="preserve">HERRAMIENTAS, REPUESTOS Y ACCESORIOS </v>
      </c>
      <c r="D360" s="91">
        <f>EGRESOS!E800</f>
        <v>0</v>
      </c>
      <c r="E360" s="91">
        <f>EGRESOS!F800</f>
        <v>0</v>
      </c>
      <c r="F360" s="91">
        <f>EGRESOS!G800</f>
        <v>500</v>
      </c>
      <c r="G360" s="91">
        <f>EGRESOS!H800</f>
        <v>500</v>
      </c>
      <c r="H360" s="81"/>
      <c r="I360" s="81"/>
      <c r="J360" s="30"/>
      <c r="K360" s="30"/>
      <c r="L360" s="30"/>
    </row>
    <row r="361" spans="1:12" ht="15" customHeight="1" x14ac:dyDescent="0.2">
      <c r="A361" s="1">
        <v>12</v>
      </c>
      <c r="B361" s="89">
        <f>EGRESOS!C801</f>
        <v>54119</v>
      </c>
      <c r="C361" s="90" t="str">
        <f>EGRESOS!D801</f>
        <v>MATERIALES ELECTRICOS</v>
      </c>
      <c r="D361" s="91">
        <f>EGRESOS!E801</f>
        <v>0</v>
      </c>
      <c r="E361" s="91">
        <f>EGRESOS!F801</f>
        <v>0</v>
      </c>
      <c r="F361" s="91">
        <f>EGRESOS!G801</f>
        <v>100</v>
      </c>
      <c r="G361" s="91">
        <f>EGRESOS!H801</f>
        <v>100</v>
      </c>
      <c r="H361" s="81"/>
      <c r="I361" s="81"/>
      <c r="J361" s="30"/>
      <c r="K361" s="30"/>
      <c r="L361" s="30"/>
    </row>
    <row r="362" spans="1:12" ht="15" customHeight="1" x14ac:dyDescent="0.2">
      <c r="A362" s="1">
        <v>12</v>
      </c>
      <c r="B362" s="89">
        <f>EGRESOS!C802</f>
        <v>54301</v>
      </c>
      <c r="C362" s="90" t="str">
        <f>EGRESOS!D802</f>
        <v>MANTENIMIENTO Y REPARACION DE BIENES MUEBLES</v>
      </c>
      <c r="D362" s="91">
        <f>EGRESOS!E802</f>
        <v>0</v>
      </c>
      <c r="E362" s="91">
        <f>EGRESOS!F802</f>
        <v>0</v>
      </c>
      <c r="F362" s="91">
        <f>EGRESOS!G802</f>
        <v>300</v>
      </c>
      <c r="G362" s="91">
        <f>EGRESOS!H802</f>
        <v>300</v>
      </c>
      <c r="H362" s="81"/>
      <c r="I362" s="81"/>
      <c r="J362" s="30"/>
      <c r="K362" s="30"/>
      <c r="L362" s="30"/>
    </row>
    <row r="363" spans="1:12" ht="15" customHeight="1" x14ac:dyDescent="0.2">
      <c r="A363" s="1">
        <v>12</v>
      </c>
      <c r="B363" s="89">
        <f>EGRESOS!C803</f>
        <v>54302</v>
      </c>
      <c r="C363" s="90" t="str">
        <f>EGRESOS!D803</f>
        <v xml:space="preserve">MANTENIMIENTO Y REPARACION DE VEHICULOS </v>
      </c>
      <c r="D363" s="91">
        <f>EGRESOS!E803</f>
        <v>0</v>
      </c>
      <c r="E363" s="91">
        <f>EGRESOS!F803</f>
        <v>0</v>
      </c>
      <c r="F363" s="91">
        <f>EGRESOS!G803</f>
        <v>0</v>
      </c>
      <c r="G363" s="91">
        <f>EGRESOS!H803</f>
        <v>0</v>
      </c>
      <c r="H363" s="81"/>
      <c r="I363" s="81"/>
      <c r="J363" s="30"/>
      <c r="K363" s="30"/>
      <c r="L363" s="30"/>
    </row>
    <row r="364" spans="1:12" ht="15" customHeight="1" x14ac:dyDescent="0.2">
      <c r="A364" s="1">
        <v>12</v>
      </c>
      <c r="B364" s="89">
        <f>EGRESOS!C804</f>
        <v>54307</v>
      </c>
      <c r="C364" s="90" t="str">
        <f>EGRESOS!D804</f>
        <v>SERVICIOS DE LIMPIEZA Y FUMIGACIONES</v>
      </c>
      <c r="D364" s="91">
        <f>EGRESOS!E804</f>
        <v>0</v>
      </c>
      <c r="E364" s="91">
        <f>EGRESOS!F804</f>
        <v>0</v>
      </c>
      <c r="F364" s="91">
        <f>EGRESOS!G804</f>
        <v>0</v>
      </c>
      <c r="G364" s="91">
        <f>EGRESOS!H804</f>
        <v>0</v>
      </c>
      <c r="H364" s="81"/>
      <c r="I364" s="81"/>
      <c r="J364" s="30"/>
      <c r="K364" s="30"/>
      <c r="L364" s="30"/>
    </row>
    <row r="365" spans="1:12" ht="15" customHeight="1" x14ac:dyDescent="0.2">
      <c r="A365" s="1">
        <v>12</v>
      </c>
      <c r="B365" s="89">
        <f>EGRESOS!C805</f>
        <v>54313</v>
      </c>
      <c r="C365" s="90" t="str">
        <f>EGRESOS!D805</f>
        <v>IMPRESIONES, PUBLICACIONES Y REPRODUCCIONES</v>
      </c>
      <c r="D365" s="91">
        <f>EGRESOS!E805</f>
        <v>0</v>
      </c>
      <c r="E365" s="91">
        <f>EGRESOS!F805</f>
        <v>0</v>
      </c>
      <c r="F365" s="91">
        <f>EGRESOS!G805</f>
        <v>1000</v>
      </c>
      <c r="G365" s="91">
        <f>EGRESOS!H805</f>
        <v>1000</v>
      </c>
      <c r="H365" s="81"/>
      <c r="I365" s="81"/>
      <c r="J365" s="30"/>
      <c r="K365" s="30"/>
      <c r="L365" s="30"/>
    </row>
    <row r="366" spans="1:12" ht="15" customHeight="1" x14ac:dyDescent="0.2">
      <c r="A366" s="1">
        <v>12</v>
      </c>
      <c r="B366" s="89">
        <f>EGRESOS!C806</f>
        <v>54401</v>
      </c>
      <c r="C366" s="90" t="str">
        <f>EGRESOS!D806</f>
        <v xml:space="preserve">PASAJES AL INTERIOR </v>
      </c>
      <c r="D366" s="91">
        <f>EGRESOS!E806</f>
        <v>0</v>
      </c>
      <c r="E366" s="91">
        <f>EGRESOS!F806</f>
        <v>0</v>
      </c>
      <c r="F366" s="91">
        <f>EGRESOS!G806</f>
        <v>300</v>
      </c>
      <c r="G366" s="91">
        <f>EGRESOS!H806</f>
        <v>300</v>
      </c>
      <c r="H366" s="81"/>
      <c r="I366" s="81"/>
      <c r="J366" s="30"/>
      <c r="K366" s="30"/>
      <c r="L366" s="30"/>
    </row>
    <row r="367" spans="1:12" ht="15" customHeight="1" x14ac:dyDescent="0.2">
      <c r="A367" s="1">
        <v>12</v>
      </c>
      <c r="B367" s="89">
        <f>EGRESOS!C807</f>
        <v>55703</v>
      </c>
      <c r="C367" s="90" t="str">
        <f>EGRESOS!D807</f>
        <v>derechos y costas judiciales</v>
      </c>
      <c r="D367" s="91">
        <f>EGRESOS!E807</f>
        <v>0</v>
      </c>
      <c r="E367" s="91">
        <f>EGRESOS!F807</f>
        <v>0</v>
      </c>
      <c r="F367" s="91">
        <f>EGRESOS!G807</f>
        <v>2000</v>
      </c>
      <c r="G367" s="91">
        <f>EGRESOS!H807</f>
        <v>2000</v>
      </c>
      <c r="H367" s="81"/>
      <c r="I367" s="81"/>
      <c r="J367" s="30"/>
      <c r="K367" s="30"/>
      <c r="L367" s="30"/>
    </row>
    <row r="368" spans="1:12" ht="15" customHeight="1" x14ac:dyDescent="0.2">
      <c r="A368" s="1">
        <v>12</v>
      </c>
      <c r="B368" s="89">
        <f>EGRESOS!C808</f>
        <v>61101</v>
      </c>
      <c r="C368" s="90" t="str">
        <f>EGRESOS!D808</f>
        <v>MOBILIARIO</v>
      </c>
      <c r="D368" s="91">
        <f>EGRESOS!E808</f>
        <v>0</v>
      </c>
      <c r="E368" s="91">
        <f>EGRESOS!F808</f>
        <v>0</v>
      </c>
      <c r="F368" s="91">
        <f>EGRESOS!G808</f>
        <v>1000</v>
      </c>
      <c r="G368" s="91">
        <f>EGRESOS!H808</f>
        <v>1000</v>
      </c>
      <c r="H368" s="81"/>
      <c r="I368" s="81"/>
      <c r="J368" s="30"/>
      <c r="K368" s="30"/>
      <c r="L368" s="30"/>
    </row>
    <row r="369" spans="1:15" ht="15" customHeight="1" x14ac:dyDescent="0.2">
      <c r="A369" s="1">
        <v>12</v>
      </c>
      <c r="B369" s="89">
        <f>EGRESOS!C809</f>
        <v>61102</v>
      </c>
      <c r="C369" s="90" t="str">
        <f>EGRESOS!D809</f>
        <v>MAQUINARIA Y EQUIPO</v>
      </c>
      <c r="D369" s="91">
        <f>EGRESOS!E809</f>
        <v>0</v>
      </c>
      <c r="E369" s="91">
        <f>EGRESOS!F809</f>
        <v>0</v>
      </c>
      <c r="F369" s="91">
        <f>EGRESOS!G809</f>
        <v>1000</v>
      </c>
      <c r="G369" s="91">
        <f>EGRESOS!H809</f>
        <v>1000</v>
      </c>
      <c r="H369" s="81"/>
      <c r="I369" s="81"/>
      <c r="J369" s="30"/>
      <c r="K369" s="30"/>
      <c r="L369" s="30"/>
    </row>
    <row r="370" spans="1:15" ht="15" customHeight="1" x14ac:dyDescent="0.2">
      <c r="A370" s="1">
        <v>12</v>
      </c>
      <c r="B370" s="61">
        <v>61104</v>
      </c>
      <c r="C370" s="73" t="s">
        <v>46</v>
      </c>
      <c r="D370" s="91">
        <f>EGRESOS!E810</f>
        <v>0</v>
      </c>
      <c r="E370" s="91">
        <f>EGRESOS!F810</f>
        <v>0</v>
      </c>
      <c r="F370" s="91">
        <f>EGRESOS!G810</f>
        <v>700</v>
      </c>
      <c r="G370" s="91">
        <f>EGRESOS!H810</f>
        <v>700</v>
      </c>
      <c r="H370" s="81"/>
      <c r="I370" s="81"/>
      <c r="J370" s="30"/>
      <c r="K370" s="30"/>
      <c r="L370" s="30"/>
    </row>
    <row r="371" spans="1:15" ht="15" customHeight="1" x14ac:dyDescent="0.2">
      <c r="A371" s="1">
        <v>12</v>
      </c>
      <c r="B371" s="61">
        <v>61199</v>
      </c>
      <c r="C371" s="73" t="s">
        <v>512</v>
      </c>
      <c r="D371" s="91">
        <f>EGRESOS!E811</f>
        <v>0</v>
      </c>
      <c r="E371" s="91">
        <f>EGRESOS!F811</f>
        <v>0</v>
      </c>
      <c r="F371" s="91">
        <f>EGRESOS!G811</f>
        <v>0</v>
      </c>
      <c r="G371" s="91">
        <f>EGRESOS!H811</f>
        <v>0</v>
      </c>
      <c r="H371" s="81"/>
      <c r="I371" s="81"/>
      <c r="J371" s="30"/>
      <c r="K371" s="30"/>
      <c r="L371" s="30"/>
    </row>
    <row r="372" spans="1:15" ht="15" customHeight="1" x14ac:dyDescent="0.2">
      <c r="A372" s="1" t="s">
        <v>387</v>
      </c>
      <c r="B372" s="89"/>
      <c r="C372" s="72" t="s">
        <v>14</v>
      </c>
      <c r="D372" s="98">
        <f>SUM(D344:D369)</f>
        <v>0</v>
      </c>
      <c r="E372" s="98">
        <f>SUM(E344:E369)</f>
        <v>0</v>
      </c>
      <c r="F372" s="98">
        <f>SUM(F344:F371)</f>
        <v>40251.68</v>
      </c>
      <c r="G372" s="98">
        <f>SUM(G344:G370)</f>
        <v>40251.68</v>
      </c>
      <c r="H372" s="81"/>
      <c r="I372" s="81"/>
      <c r="J372" s="30"/>
      <c r="K372" s="30"/>
      <c r="L372" s="30"/>
      <c r="M372" s="1">
        <f>+EGRESOS!O220</f>
        <v>65484.43</v>
      </c>
      <c r="N372" s="2">
        <f>+M372-G372</f>
        <v>25232.75</v>
      </c>
      <c r="O372" s="2"/>
    </row>
    <row r="373" spans="1:15" ht="15" customHeight="1" x14ac:dyDescent="0.2">
      <c r="A373" s="1" t="s">
        <v>387</v>
      </c>
      <c r="B373" s="7"/>
      <c r="C373" s="7"/>
      <c r="D373" s="85"/>
      <c r="E373" s="85"/>
      <c r="F373" s="86"/>
      <c r="G373" s="86"/>
    </row>
    <row r="374" spans="1:15" ht="15" customHeight="1" x14ac:dyDescent="0.2">
      <c r="A374" s="1" t="s">
        <v>387</v>
      </c>
      <c r="B374" s="7"/>
      <c r="C374" s="7"/>
      <c r="D374" s="85"/>
      <c r="E374" s="85"/>
      <c r="F374" s="86"/>
      <c r="G374" s="86"/>
    </row>
    <row r="375" spans="1:15" ht="15" customHeight="1" x14ac:dyDescent="0.2">
      <c r="A375" s="1" t="s">
        <v>387</v>
      </c>
      <c r="B375" s="404"/>
      <c r="C375" s="404"/>
      <c r="D375" s="404"/>
      <c r="E375" s="404"/>
      <c r="F375" s="404"/>
      <c r="G375" s="404"/>
    </row>
    <row r="376" spans="1:15" ht="15" customHeight="1" x14ac:dyDescent="0.2">
      <c r="A376" s="1" t="s">
        <v>387</v>
      </c>
      <c r="B376" s="404" t="s">
        <v>119</v>
      </c>
      <c r="C376" s="404"/>
      <c r="D376" s="404"/>
      <c r="E376" s="404"/>
      <c r="F376" s="404"/>
      <c r="G376" s="404"/>
    </row>
    <row r="377" spans="1:15" ht="15" customHeight="1" x14ac:dyDescent="0.2">
      <c r="A377" s="1" t="s">
        <v>387</v>
      </c>
      <c r="B377" s="414" t="str">
        <f>+B3</f>
        <v>PRESUPUESTO AÑO 2024</v>
      </c>
      <c r="C377" s="414"/>
      <c r="D377" s="414"/>
      <c r="E377" s="414"/>
      <c r="F377" s="414"/>
      <c r="G377" s="414"/>
    </row>
    <row r="378" spans="1:15" ht="15" customHeight="1" x14ac:dyDescent="0.2">
      <c r="A378" s="1" t="s">
        <v>387</v>
      </c>
      <c r="B378" s="414" t="str">
        <f>B2</f>
        <v>PRESUPUESTO EXTRA CONTABLE</v>
      </c>
      <c r="C378" s="414"/>
      <c r="D378" s="414"/>
      <c r="E378" s="414"/>
      <c r="F378" s="414"/>
      <c r="G378" s="414"/>
    </row>
    <row r="379" spans="1:15" ht="15" customHeight="1" x14ac:dyDescent="0.2">
      <c r="A379" s="1" t="s">
        <v>387</v>
      </c>
      <c r="B379" s="404" t="s">
        <v>117</v>
      </c>
      <c r="C379" s="404"/>
      <c r="D379" s="404"/>
      <c r="E379" s="404"/>
      <c r="F379" s="404"/>
      <c r="G379" s="404"/>
    </row>
    <row r="380" spans="1:15" ht="15" customHeight="1" x14ac:dyDescent="0.2">
      <c r="A380" s="1" t="s">
        <v>387</v>
      </c>
      <c r="B380" s="404" t="s">
        <v>280</v>
      </c>
      <c r="C380" s="404"/>
      <c r="D380" s="404"/>
      <c r="E380" s="404"/>
      <c r="F380" s="404"/>
      <c r="G380" s="404"/>
    </row>
    <row r="381" spans="1:15" ht="15" customHeight="1" x14ac:dyDescent="0.2">
      <c r="A381" s="1" t="s">
        <v>387</v>
      </c>
      <c r="B381" s="412" t="s">
        <v>1</v>
      </c>
      <c r="C381" s="87"/>
      <c r="D381" s="71" t="s">
        <v>56</v>
      </c>
      <c r="E381" s="71" t="str">
        <f>E6</f>
        <v>REFORMA</v>
      </c>
      <c r="F381" s="71" t="s">
        <v>56</v>
      </c>
      <c r="G381" s="88" t="str">
        <f>$G$6</f>
        <v>TOTAL 2024</v>
      </c>
      <c r="H381" s="72" t="s">
        <v>285</v>
      </c>
      <c r="I381" s="72"/>
      <c r="J381" s="72"/>
      <c r="K381" s="72"/>
      <c r="L381" s="72"/>
    </row>
    <row r="382" spans="1:15" ht="15" customHeight="1" x14ac:dyDescent="0.2">
      <c r="A382" s="1" t="s">
        <v>387</v>
      </c>
      <c r="B382" s="413"/>
      <c r="C382" s="72" t="s">
        <v>0</v>
      </c>
      <c r="D382" s="71" t="s">
        <v>139</v>
      </c>
      <c r="E382" s="71"/>
      <c r="F382" s="71" t="s">
        <v>140</v>
      </c>
      <c r="G382" s="71"/>
      <c r="H382" s="72" t="s">
        <v>286</v>
      </c>
      <c r="I382" s="72" t="s">
        <v>290</v>
      </c>
      <c r="J382" s="72"/>
      <c r="K382" s="72" t="s">
        <v>293</v>
      </c>
      <c r="L382" s="72" t="s">
        <v>292</v>
      </c>
    </row>
    <row r="383" spans="1:15" ht="15" customHeight="1" x14ac:dyDescent="0.2">
      <c r="A383" s="1">
        <v>14</v>
      </c>
      <c r="B383" s="61">
        <v>51101</v>
      </c>
      <c r="C383" s="73" t="s">
        <v>15</v>
      </c>
      <c r="D383" s="91">
        <f>+EGRESOS!E823</f>
        <v>0</v>
      </c>
      <c r="E383" s="91">
        <f>+EGRESOS!F823</f>
        <v>0</v>
      </c>
      <c r="F383" s="91">
        <f>+EGRESOS!G823</f>
        <v>4800</v>
      </c>
      <c r="G383" s="91">
        <f>+EGRESOS!H823</f>
        <v>4800</v>
      </c>
      <c r="H383" s="91">
        <f>EGRESOS!I823</f>
        <v>0</v>
      </c>
      <c r="I383" s="91">
        <f>EGRESOS!J823</f>
        <v>0</v>
      </c>
      <c r="J383" s="91">
        <f>EGRESOS!K823</f>
        <v>0</v>
      </c>
      <c r="K383" s="91">
        <f>EGRESOS!L823</f>
        <v>0</v>
      </c>
      <c r="L383" s="91">
        <f>EGRESOS!M823</f>
        <v>0</v>
      </c>
      <c r="M383" s="93"/>
    </row>
    <row r="384" spans="1:15" ht="15" customHeight="1" x14ac:dyDescent="0.2">
      <c r="A384" s="1">
        <v>14</v>
      </c>
      <c r="B384" s="61">
        <v>51103</v>
      </c>
      <c r="C384" s="73" t="s">
        <v>16</v>
      </c>
      <c r="D384" s="91">
        <f>+EGRESOS!E824</f>
        <v>0</v>
      </c>
      <c r="E384" s="91">
        <f>+EGRESOS!F824</f>
        <v>0</v>
      </c>
      <c r="F384" s="91">
        <f>+EGRESOS!G824</f>
        <v>400</v>
      </c>
      <c r="G384" s="91">
        <f>+EGRESOS!H824</f>
        <v>400</v>
      </c>
      <c r="H384" s="81"/>
      <c r="I384" s="30"/>
      <c r="J384" s="30"/>
      <c r="K384" s="30"/>
      <c r="L384" s="30"/>
    </row>
    <row r="385" spans="1:12" ht="15" customHeight="1" x14ac:dyDescent="0.2">
      <c r="A385" s="1">
        <v>14</v>
      </c>
      <c r="B385" s="61">
        <v>51107</v>
      </c>
      <c r="C385" s="73" t="s">
        <v>34</v>
      </c>
      <c r="D385" s="91">
        <f>EGRESOS!E825</f>
        <v>0</v>
      </c>
      <c r="E385" s="91">
        <f>EGRESOS!F825</f>
        <v>0</v>
      </c>
      <c r="F385" s="91">
        <f>+EGRESOS!G825</f>
        <v>200</v>
      </c>
      <c r="G385" s="91">
        <f>+EGRESOS!H825</f>
        <v>200</v>
      </c>
      <c r="H385" s="81"/>
      <c r="I385" s="30"/>
      <c r="J385" s="30"/>
      <c r="K385" s="30"/>
      <c r="L385" s="30"/>
    </row>
    <row r="386" spans="1:12" ht="15" customHeight="1" x14ac:dyDescent="0.2">
      <c r="A386" s="1">
        <v>14</v>
      </c>
      <c r="B386" s="61">
        <v>51401</v>
      </c>
      <c r="C386" s="62" t="s">
        <v>47</v>
      </c>
      <c r="D386" s="91">
        <f>+EGRESOS!E826</f>
        <v>0</v>
      </c>
      <c r="E386" s="91">
        <f>+EGRESOS!F826</f>
        <v>0</v>
      </c>
      <c r="F386" s="91">
        <f>+EGRESOS!G826</f>
        <v>408</v>
      </c>
      <c r="G386" s="91">
        <f>+EGRESOS!H826</f>
        <v>408</v>
      </c>
      <c r="H386" s="81"/>
      <c r="I386" s="30"/>
      <c r="J386" s="30"/>
      <c r="K386" s="30"/>
      <c r="L386" s="30"/>
    </row>
    <row r="387" spans="1:12" ht="15" customHeight="1" x14ac:dyDescent="0.2">
      <c r="A387" s="1">
        <v>14</v>
      </c>
      <c r="B387" s="61">
        <v>51501</v>
      </c>
      <c r="C387" s="73" t="s">
        <v>29</v>
      </c>
      <c r="D387" s="91">
        <f>+EGRESOS!E827</f>
        <v>0</v>
      </c>
      <c r="E387" s="91">
        <f>+EGRESOS!F827</f>
        <v>0</v>
      </c>
      <c r="F387" s="91">
        <f>+EGRESOS!G827</f>
        <v>420</v>
      </c>
      <c r="G387" s="91">
        <f>+EGRESOS!H827</f>
        <v>420</v>
      </c>
      <c r="H387" s="81"/>
      <c r="I387" s="30"/>
      <c r="J387" s="30"/>
      <c r="K387" s="30"/>
      <c r="L387" s="30"/>
    </row>
    <row r="388" spans="1:12" ht="15" customHeight="1" x14ac:dyDescent="0.2">
      <c r="A388" s="1">
        <v>14</v>
      </c>
      <c r="B388" s="61">
        <v>51601</v>
      </c>
      <c r="C388" s="73" t="s">
        <v>314</v>
      </c>
      <c r="D388" s="91">
        <f>+EGRESOS!E829</f>
        <v>0</v>
      </c>
      <c r="E388" s="91">
        <f>+EGRESOS!F829</f>
        <v>0</v>
      </c>
      <c r="F388" s="91">
        <f>+EGRESOS!G828</f>
        <v>0</v>
      </c>
      <c r="G388" s="91">
        <f>+EGRESOS!H828</f>
        <v>0</v>
      </c>
      <c r="H388" s="81"/>
      <c r="I388" s="30"/>
      <c r="J388" s="30"/>
      <c r="K388" s="30"/>
      <c r="L388" s="30"/>
    </row>
    <row r="389" spans="1:12" ht="15" customHeight="1" x14ac:dyDescent="0.2">
      <c r="A389" s="1">
        <v>14</v>
      </c>
      <c r="B389" s="61">
        <v>51901</v>
      </c>
      <c r="C389" s="73" t="s">
        <v>547</v>
      </c>
      <c r="D389" s="91">
        <f>+EGRESOS!E830</f>
        <v>0</v>
      </c>
      <c r="E389" s="91">
        <f>+EGRESOS!F830</f>
        <v>0</v>
      </c>
      <c r="F389" s="91">
        <f>+EGRESOS!G829</f>
        <v>5000</v>
      </c>
      <c r="G389" s="91">
        <f>+EGRESOS!H829</f>
        <v>5000</v>
      </c>
      <c r="H389" s="81"/>
      <c r="I389" s="30"/>
      <c r="J389" s="30"/>
      <c r="K389" s="30"/>
      <c r="L389" s="30"/>
    </row>
    <row r="390" spans="1:12" ht="15" customHeight="1" x14ac:dyDescent="0.2">
      <c r="A390" s="1">
        <v>14</v>
      </c>
      <c r="B390" s="61">
        <v>54104</v>
      </c>
      <c r="C390" s="62" t="s">
        <v>17</v>
      </c>
      <c r="D390" s="91">
        <f>+EGRESOS!E831</f>
        <v>0</v>
      </c>
      <c r="E390" s="91">
        <f>+EGRESOS!F831</f>
        <v>0</v>
      </c>
      <c r="F390" s="91">
        <f>+EGRESOS!G830</f>
        <v>200</v>
      </c>
      <c r="G390" s="91">
        <f>+EGRESOS!H830</f>
        <v>200</v>
      </c>
      <c r="H390" s="81"/>
      <c r="I390" s="30"/>
      <c r="J390" s="30">
        <v>50.19</v>
      </c>
      <c r="K390" s="30"/>
      <c r="L390" s="30"/>
    </row>
    <row r="391" spans="1:12" ht="15" customHeight="1" x14ac:dyDescent="0.2">
      <c r="A391" s="1">
        <v>14</v>
      </c>
      <c r="B391" s="61">
        <v>54105</v>
      </c>
      <c r="C391" s="73" t="s">
        <v>3</v>
      </c>
      <c r="D391" s="91">
        <f>+EGRESOS!E832</f>
        <v>0</v>
      </c>
      <c r="E391" s="91">
        <f>+EGRESOS!F832</f>
        <v>0</v>
      </c>
      <c r="F391" s="91">
        <f>+EGRESOS!G831</f>
        <v>0</v>
      </c>
      <c r="G391" s="91">
        <f>+EGRESOS!H831</f>
        <v>0</v>
      </c>
      <c r="H391" s="81"/>
      <c r="I391" s="30"/>
      <c r="J391" s="30"/>
      <c r="K391" s="30"/>
      <c r="L391" s="30"/>
    </row>
    <row r="392" spans="1:12" ht="15" customHeight="1" x14ac:dyDescent="0.2">
      <c r="A392" s="1">
        <v>14</v>
      </c>
      <c r="B392" s="61">
        <v>54107</v>
      </c>
      <c r="C392" s="73" t="s">
        <v>43</v>
      </c>
      <c r="D392" s="91">
        <f>+EGRESOS!E833</f>
        <v>0</v>
      </c>
      <c r="E392" s="91">
        <f>+EGRESOS!F833</f>
        <v>0</v>
      </c>
      <c r="F392" s="91">
        <f>+EGRESOS!G832</f>
        <v>200</v>
      </c>
      <c r="G392" s="91">
        <f>+EGRESOS!H832</f>
        <v>200</v>
      </c>
      <c r="H392" s="81"/>
      <c r="I392" s="30"/>
      <c r="J392" s="30"/>
      <c r="K392" s="30"/>
      <c r="L392" s="30"/>
    </row>
    <row r="393" spans="1:12" ht="15" customHeight="1" x14ac:dyDescent="0.2">
      <c r="A393" s="1">
        <v>14</v>
      </c>
      <c r="B393" s="61">
        <v>54111</v>
      </c>
      <c r="C393" s="73" t="s">
        <v>162</v>
      </c>
      <c r="D393" s="91">
        <f>+EGRESOS!E834</f>
        <v>0</v>
      </c>
      <c r="E393" s="91">
        <f>+EGRESOS!F834</f>
        <v>0</v>
      </c>
      <c r="F393" s="91">
        <f>+EGRESOS!G833</f>
        <v>100</v>
      </c>
      <c r="G393" s="91">
        <f>+EGRESOS!H833</f>
        <v>100</v>
      </c>
      <c r="H393" s="81"/>
      <c r="I393" s="30"/>
      <c r="J393" s="30"/>
      <c r="K393" s="30"/>
      <c r="L393" s="30"/>
    </row>
    <row r="394" spans="1:12" ht="15" customHeight="1" x14ac:dyDescent="0.2">
      <c r="A394" s="1">
        <v>14</v>
      </c>
      <c r="B394" s="61">
        <v>54112</v>
      </c>
      <c r="C394" s="73" t="s">
        <v>42</v>
      </c>
      <c r="D394" s="91">
        <f>+EGRESOS!E835</f>
        <v>0</v>
      </c>
      <c r="E394" s="91">
        <f>+EGRESOS!F835</f>
        <v>0</v>
      </c>
      <c r="F394" s="91">
        <f>+EGRESOS!G834</f>
        <v>100</v>
      </c>
      <c r="G394" s="91">
        <f>+EGRESOS!H834</f>
        <v>100</v>
      </c>
      <c r="H394" s="81"/>
      <c r="I394" s="30"/>
      <c r="J394" s="30"/>
      <c r="K394" s="30"/>
      <c r="L394" s="30"/>
    </row>
    <row r="395" spans="1:12" ht="15" customHeight="1" x14ac:dyDescent="0.2">
      <c r="A395" s="1">
        <v>14</v>
      </c>
      <c r="B395" s="61">
        <v>54114</v>
      </c>
      <c r="C395" s="73" t="s">
        <v>5</v>
      </c>
      <c r="D395" s="91">
        <f>+EGRESOS!E836</f>
        <v>0</v>
      </c>
      <c r="E395" s="91">
        <f>+EGRESOS!F836</f>
        <v>0</v>
      </c>
      <c r="F395" s="91">
        <f>+EGRESOS!G835</f>
        <v>300</v>
      </c>
      <c r="G395" s="91">
        <f>+EGRESOS!H835</f>
        <v>300</v>
      </c>
      <c r="H395" s="81"/>
      <c r="I395" s="30"/>
      <c r="J395" s="30"/>
      <c r="K395" s="30"/>
      <c r="L395" s="30"/>
    </row>
    <row r="396" spans="1:12" ht="15" customHeight="1" x14ac:dyDescent="0.2">
      <c r="A396" s="1">
        <v>14</v>
      </c>
      <c r="B396" s="61">
        <v>54115</v>
      </c>
      <c r="C396" s="73" t="s">
        <v>49</v>
      </c>
      <c r="D396" s="91">
        <f>+EGRESOS!E837</f>
        <v>0</v>
      </c>
      <c r="E396" s="91">
        <f>+EGRESOS!F837</f>
        <v>0</v>
      </c>
      <c r="F396" s="91">
        <f>+EGRESOS!G836</f>
        <v>150</v>
      </c>
      <c r="G396" s="91">
        <f>+EGRESOS!H836</f>
        <v>150</v>
      </c>
      <c r="H396" s="81"/>
      <c r="I396" s="30"/>
      <c r="J396" s="30"/>
      <c r="K396" s="30"/>
      <c r="L396" s="30"/>
    </row>
    <row r="397" spans="1:12" ht="15" customHeight="1" x14ac:dyDescent="0.2">
      <c r="A397" s="1">
        <v>14</v>
      </c>
      <c r="B397" s="61">
        <v>54119</v>
      </c>
      <c r="C397" s="73" t="s">
        <v>44</v>
      </c>
      <c r="D397" s="91">
        <f>+EGRESOS!E838</f>
        <v>0</v>
      </c>
      <c r="E397" s="91">
        <f>+EGRESOS!F838</f>
        <v>0</v>
      </c>
      <c r="F397" s="91">
        <f>+EGRESOS!G837</f>
        <v>100</v>
      </c>
      <c r="G397" s="91">
        <f>+EGRESOS!H837</f>
        <v>100</v>
      </c>
      <c r="H397" s="81"/>
      <c r="I397" s="30"/>
      <c r="J397" s="30"/>
      <c r="K397" s="30"/>
      <c r="L397" s="30"/>
    </row>
    <row r="398" spans="1:12" ht="15" customHeight="1" x14ac:dyDescent="0.2">
      <c r="A398" s="1">
        <v>14</v>
      </c>
      <c r="B398" s="61">
        <v>54199</v>
      </c>
      <c r="C398" s="73" t="s">
        <v>26</v>
      </c>
      <c r="D398" s="91">
        <f>+EGRESOS!E839</f>
        <v>0</v>
      </c>
      <c r="E398" s="91">
        <f>+EGRESOS!F839</f>
        <v>0</v>
      </c>
      <c r="F398" s="91">
        <f>+EGRESOS!G838</f>
        <v>100</v>
      </c>
      <c r="G398" s="91">
        <f>+EGRESOS!H838</f>
        <v>100</v>
      </c>
      <c r="H398" s="81"/>
      <c r="I398" s="30"/>
      <c r="J398" s="30"/>
      <c r="K398" s="30"/>
      <c r="L398" s="30"/>
    </row>
    <row r="399" spans="1:12" ht="15" customHeight="1" x14ac:dyDescent="0.2">
      <c r="A399" s="1">
        <v>14</v>
      </c>
      <c r="B399" s="61">
        <v>54301</v>
      </c>
      <c r="C399" s="62" t="s">
        <v>8</v>
      </c>
      <c r="D399" s="91">
        <f>+EGRESOS!E841</f>
        <v>0</v>
      </c>
      <c r="E399" s="91">
        <f>+EGRESOS!F841</f>
        <v>0</v>
      </c>
      <c r="F399" s="91">
        <f>+EGRESOS!G839</f>
        <v>100</v>
      </c>
      <c r="G399" s="91">
        <f>+EGRESOS!H839</f>
        <v>100</v>
      </c>
      <c r="H399" s="81"/>
      <c r="I399" s="30"/>
      <c r="J399" s="30"/>
      <c r="K399" s="30"/>
      <c r="L399" s="30"/>
    </row>
    <row r="400" spans="1:12" ht="15" customHeight="1" x14ac:dyDescent="0.2">
      <c r="A400" s="1">
        <v>14</v>
      </c>
      <c r="B400" s="61">
        <v>54307</v>
      </c>
      <c r="C400" s="62" t="s">
        <v>10</v>
      </c>
      <c r="D400" s="91">
        <f>+EGRESOS!E842</f>
        <v>0</v>
      </c>
      <c r="E400" s="91">
        <f>+EGRESOS!F842</f>
        <v>0</v>
      </c>
      <c r="F400" s="91">
        <f>+EGRESOS!G840</f>
        <v>100</v>
      </c>
      <c r="G400" s="91">
        <f>+EGRESOS!H840</f>
        <v>100</v>
      </c>
      <c r="H400" s="81"/>
      <c r="I400" s="30"/>
      <c r="J400" s="30"/>
      <c r="K400" s="30"/>
      <c r="L400" s="30"/>
    </row>
    <row r="401" spans="1:15" ht="15" customHeight="1" x14ac:dyDescent="0.2">
      <c r="A401" s="1">
        <v>14</v>
      </c>
      <c r="B401" s="61">
        <v>54401</v>
      </c>
      <c r="C401" s="62" t="s">
        <v>30</v>
      </c>
      <c r="D401" s="91">
        <v>0</v>
      </c>
      <c r="E401" s="91"/>
      <c r="F401" s="91">
        <f>+EGRESOS!G841</f>
        <v>100</v>
      </c>
      <c r="G401" s="91">
        <f>+EGRESOS!H841</f>
        <v>100</v>
      </c>
      <c r="H401" s="81"/>
      <c r="I401" s="30"/>
      <c r="J401" s="30"/>
      <c r="K401" s="30"/>
      <c r="L401" s="30"/>
    </row>
    <row r="402" spans="1:15" ht="15" customHeight="1" x14ac:dyDescent="0.2">
      <c r="A402" s="1">
        <v>14</v>
      </c>
      <c r="B402" s="61">
        <v>54503</v>
      </c>
      <c r="C402" s="62" t="s">
        <v>53</v>
      </c>
      <c r="D402" s="91">
        <f>+EGRESOS!E844</f>
        <v>0</v>
      </c>
      <c r="E402" s="91">
        <f>+EGRESOS!F844</f>
        <v>0</v>
      </c>
      <c r="F402" s="91">
        <f>+EGRESOS!G842</f>
        <v>5000</v>
      </c>
      <c r="G402" s="91">
        <f>+EGRESOS!H842</f>
        <v>5000</v>
      </c>
      <c r="H402" s="81"/>
      <c r="I402" s="30"/>
      <c r="J402" s="30"/>
      <c r="K402" s="30"/>
      <c r="L402" s="30"/>
    </row>
    <row r="403" spans="1:15" ht="15" customHeight="1" x14ac:dyDescent="0.2">
      <c r="A403" s="1">
        <v>14</v>
      </c>
      <c r="B403" s="61">
        <v>55508</v>
      </c>
      <c r="C403" s="62" t="s">
        <v>790</v>
      </c>
      <c r="D403" s="91">
        <f>+EGRESOS!E845</f>
        <v>0</v>
      </c>
      <c r="E403" s="91">
        <f>+EGRESOS!F845</f>
        <v>0</v>
      </c>
      <c r="F403" s="91">
        <f>+EGRESOS!G843</f>
        <v>5000</v>
      </c>
      <c r="G403" s="91">
        <f>+EGRESOS!H843</f>
        <v>5000</v>
      </c>
      <c r="H403" s="81"/>
      <c r="I403" s="30"/>
      <c r="J403" s="30"/>
      <c r="K403" s="30"/>
      <c r="L403" s="30"/>
    </row>
    <row r="404" spans="1:15" ht="15" customHeight="1" x14ac:dyDescent="0.2">
      <c r="A404" s="1">
        <v>14</v>
      </c>
      <c r="B404" s="61">
        <v>61102</v>
      </c>
      <c r="C404" s="62" t="s">
        <v>28</v>
      </c>
      <c r="D404" s="91">
        <f>+EGRESOS!E846</f>
        <v>0</v>
      </c>
      <c r="E404" s="91"/>
      <c r="F404" s="91">
        <f>+EGRESOS!G844</f>
        <v>100</v>
      </c>
      <c r="G404" s="91">
        <f>+EGRESOS!H844</f>
        <v>100</v>
      </c>
      <c r="H404" s="81"/>
      <c r="I404" s="30"/>
      <c r="J404" s="30"/>
      <c r="K404" s="30"/>
      <c r="L404" s="30"/>
    </row>
    <row r="405" spans="1:15" ht="15" customHeight="1" x14ac:dyDescent="0.2">
      <c r="A405" s="1">
        <v>14</v>
      </c>
      <c r="B405" s="61">
        <v>61104</v>
      </c>
      <c r="C405" s="62" t="s">
        <v>46</v>
      </c>
      <c r="D405" s="91">
        <f>+EGRESOS!E847</f>
        <v>0</v>
      </c>
      <c r="E405" s="91"/>
      <c r="F405" s="91">
        <f>+EGRESOS!G845</f>
        <v>100</v>
      </c>
      <c r="G405" s="91">
        <f>+EGRESOS!H845</f>
        <v>100</v>
      </c>
      <c r="H405" s="81"/>
      <c r="I405" s="30"/>
      <c r="J405" s="30"/>
      <c r="K405" s="30"/>
      <c r="L405" s="30"/>
    </row>
    <row r="406" spans="1:15" ht="15" customHeight="1" x14ac:dyDescent="0.2">
      <c r="A406" s="1" t="s">
        <v>387</v>
      </c>
      <c r="B406" s="89"/>
      <c r="C406" s="72" t="s">
        <v>14</v>
      </c>
      <c r="D406" s="98">
        <f>SUM(D383:D400)</f>
        <v>0</v>
      </c>
      <c r="E406" s="98">
        <f>SUM(E383:E400)</f>
        <v>0</v>
      </c>
      <c r="F406" s="98">
        <f>SUM(F383:F405)</f>
        <v>22978</v>
      </c>
      <c r="G406" s="98">
        <f>SUM(G383:G405)</f>
        <v>22978</v>
      </c>
      <c r="H406" s="81"/>
      <c r="I406" s="30"/>
      <c r="J406" s="30"/>
      <c r="K406" s="30"/>
      <c r="L406" s="30"/>
      <c r="N406" s="2"/>
      <c r="O406" s="2"/>
    </row>
    <row r="407" spans="1:15" ht="15" customHeight="1" x14ac:dyDescent="0.2">
      <c r="A407" s="1" t="s">
        <v>387</v>
      </c>
      <c r="B407" s="124"/>
      <c r="C407" s="94"/>
      <c r="D407" s="97"/>
      <c r="E407" s="97"/>
      <c r="F407" s="97"/>
      <c r="G407" s="97"/>
      <c r="H407" s="81"/>
      <c r="I407" s="81"/>
      <c r="J407" s="81"/>
      <c r="K407" s="81"/>
      <c r="L407" s="81"/>
    </row>
    <row r="408" spans="1:15" ht="15" customHeight="1" x14ac:dyDescent="0.2">
      <c r="A408" s="1" t="s">
        <v>387</v>
      </c>
      <c r="B408" s="7"/>
      <c r="D408" s="125"/>
      <c r="E408" s="125"/>
      <c r="F408" s="126"/>
      <c r="G408" s="126"/>
    </row>
    <row r="409" spans="1:15" ht="15" customHeight="1" x14ac:dyDescent="0.2">
      <c r="A409" s="1" t="s">
        <v>387</v>
      </c>
      <c r="B409" s="113"/>
      <c r="C409" s="113"/>
      <c r="D409" s="113"/>
      <c r="E409" s="113"/>
      <c r="F409" s="127"/>
      <c r="G409" s="113"/>
    </row>
    <row r="410" spans="1:15" ht="15" customHeight="1" x14ac:dyDescent="0.2">
      <c r="A410" s="1" t="s">
        <v>387</v>
      </c>
      <c r="B410" s="113"/>
      <c r="C410" s="113"/>
      <c r="D410" s="113"/>
      <c r="E410" s="113"/>
      <c r="F410" s="127"/>
      <c r="G410" s="113"/>
    </row>
    <row r="411" spans="1:15" ht="15" customHeight="1" x14ac:dyDescent="0.2">
      <c r="A411" s="1" t="s">
        <v>387</v>
      </c>
      <c r="B411" s="404" t="s">
        <v>119</v>
      </c>
      <c r="C411" s="404"/>
      <c r="D411" s="404"/>
      <c r="E411" s="404"/>
      <c r="F411" s="404"/>
      <c r="G411" s="404"/>
    </row>
    <row r="412" spans="1:15" ht="15" customHeight="1" x14ac:dyDescent="0.2">
      <c r="A412" s="1" t="s">
        <v>387</v>
      </c>
      <c r="B412" s="414" t="str">
        <f>+B3</f>
        <v>PRESUPUESTO AÑO 2024</v>
      </c>
      <c r="C412" s="414"/>
      <c r="D412" s="414"/>
      <c r="E412" s="414"/>
      <c r="F412" s="414"/>
      <c r="G412" s="414"/>
    </row>
    <row r="413" spans="1:15" ht="15" customHeight="1" x14ac:dyDescent="0.2">
      <c r="A413" s="1" t="s">
        <v>387</v>
      </c>
      <c r="B413" s="414" t="str">
        <f>B2</f>
        <v>PRESUPUESTO EXTRA CONTABLE</v>
      </c>
      <c r="C413" s="414"/>
      <c r="D413" s="414"/>
      <c r="E413" s="414"/>
      <c r="F413" s="414"/>
      <c r="G413" s="414"/>
    </row>
    <row r="414" spans="1:15" ht="15" customHeight="1" x14ac:dyDescent="0.2">
      <c r="A414" s="1" t="s">
        <v>387</v>
      </c>
      <c r="B414" s="404" t="s">
        <v>117</v>
      </c>
      <c r="C414" s="404"/>
      <c r="D414" s="404"/>
      <c r="E414" s="404"/>
      <c r="F414" s="404"/>
      <c r="G414" s="404"/>
    </row>
    <row r="415" spans="1:15" ht="15" customHeight="1" x14ac:dyDescent="0.2">
      <c r="A415" s="1" t="s">
        <v>387</v>
      </c>
      <c r="B415" s="404" t="s">
        <v>370</v>
      </c>
      <c r="C415" s="404"/>
      <c r="D415" s="404"/>
      <c r="E415" s="404"/>
      <c r="F415" s="404"/>
      <c r="G415" s="404"/>
    </row>
    <row r="416" spans="1:15" ht="15" customHeight="1" x14ac:dyDescent="0.2">
      <c r="A416" s="1" t="s">
        <v>387</v>
      </c>
      <c r="B416" s="415" t="s">
        <v>1</v>
      </c>
      <c r="C416" s="87"/>
      <c r="D416" s="71" t="s">
        <v>56</v>
      </c>
      <c r="E416" s="71" t="str">
        <f>E6</f>
        <v>REFORMA</v>
      </c>
      <c r="F416" s="71" t="s">
        <v>56</v>
      </c>
      <c r="G416" s="88" t="str">
        <f>$G$6</f>
        <v>TOTAL 2024</v>
      </c>
      <c r="H416" s="72" t="s">
        <v>285</v>
      </c>
      <c r="I416" s="72"/>
      <c r="J416" s="72"/>
      <c r="K416" s="72"/>
      <c r="L416" s="72"/>
      <c r="M416" s="108"/>
    </row>
    <row r="417" spans="1:13" ht="15" customHeight="1" x14ac:dyDescent="0.2">
      <c r="A417" s="1" t="s">
        <v>387</v>
      </c>
      <c r="B417" s="416"/>
      <c r="C417" s="72" t="s">
        <v>0</v>
      </c>
      <c r="D417" s="71" t="s">
        <v>139</v>
      </c>
      <c r="E417" s="71"/>
      <c r="F417" s="71" t="s">
        <v>140</v>
      </c>
      <c r="G417" s="71"/>
      <c r="H417" s="72" t="s">
        <v>286</v>
      </c>
      <c r="I417" s="72" t="s">
        <v>290</v>
      </c>
      <c r="J417" s="72" t="s">
        <v>291</v>
      </c>
      <c r="K417" s="72" t="s">
        <v>293</v>
      </c>
      <c r="L417" s="72" t="s">
        <v>292</v>
      </c>
    </row>
    <row r="418" spans="1:13" ht="15" customHeight="1" x14ac:dyDescent="0.2">
      <c r="A418" s="1">
        <v>22</v>
      </c>
      <c r="B418" s="61">
        <v>51101</v>
      </c>
      <c r="C418" s="73" t="s">
        <v>15</v>
      </c>
      <c r="D418" s="91">
        <f>EGRESOS!E1003</f>
        <v>0</v>
      </c>
      <c r="E418" s="91">
        <f>EGRESOS!F1003</f>
        <v>0</v>
      </c>
      <c r="F418" s="91">
        <f>+EGRESOS!G1003</f>
        <v>17400</v>
      </c>
      <c r="G418" s="91">
        <f>EGRESOS!H1003</f>
        <v>17400</v>
      </c>
      <c r="H418" s="81"/>
      <c r="I418" s="81"/>
      <c r="J418" s="81"/>
      <c r="K418" s="81"/>
      <c r="L418" s="81"/>
    </row>
    <row r="419" spans="1:13" ht="15" customHeight="1" x14ac:dyDescent="0.2">
      <c r="A419" s="1">
        <v>22</v>
      </c>
      <c r="B419" s="61">
        <v>51103</v>
      </c>
      <c r="C419" s="73" t="s">
        <v>16</v>
      </c>
      <c r="D419" s="91">
        <f>EGRESOS!E1004</f>
        <v>0</v>
      </c>
      <c r="E419" s="91">
        <f>EGRESOS!F1004</f>
        <v>0</v>
      </c>
      <c r="F419" s="91">
        <f>+EGRESOS!G1004</f>
        <v>1450</v>
      </c>
      <c r="G419" s="91">
        <f>EGRESOS!H1004</f>
        <v>1450</v>
      </c>
      <c r="H419" s="81"/>
      <c r="I419" s="81"/>
      <c r="J419" s="81"/>
      <c r="K419" s="81"/>
      <c r="L419" s="81"/>
    </row>
    <row r="420" spans="1:13" ht="15" customHeight="1" x14ac:dyDescent="0.2">
      <c r="A420" s="1">
        <v>22</v>
      </c>
      <c r="B420" s="61">
        <v>51107</v>
      </c>
      <c r="C420" s="73" t="s">
        <v>34</v>
      </c>
      <c r="D420" s="91">
        <f>EGRESOS!E1005</f>
        <v>0</v>
      </c>
      <c r="E420" s="91">
        <f>EGRESOS!F1005</f>
        <v>0</v>
      </c>
      <c r="F420" s="91">
        <f>+EGRESOS!G1005</f>
        <v>400</v>
      </c>
      <c r="G420" s="91">
        <f>EGRESOS!H1005</f>
        <v>400</v>
      </c>
      <c r="H420" s="81"/>
      <c r="I420" s="81"/>
      <c r="J420" s="81"/>
      <c r="K420" s="81"/>
      <c r="L420" s="81"/>
    </row>
    <row r="421" spans="1:13" ht="15" customHeight="1" x14ac:dyDescent="0.2">
      <c r="A421" s="1">
        <v>22</v>
      </c>
      <c r="B421" s="61">
        <v>51401</v>
      </c>
      <c r="C421" s="62" t="s">
        <v>47</v>
      </c>
      <c r="D421" s="91">
        <f>EGRESOS!E1006</f>
        <v>0</v>
      </c>
      <c r="E421" s="91">
        <f>EGRESOS!F1006</f>
        <v>0</v>
      </c>
      <c r="F421" s="91">
        <f>+EGRESOS!G1006</f>
        <v>1479</v>
      </c>
      <c r="G421" s="91">
        <f>EGRESOS!H1006</f>
        <v>1479</v>
      </c>
      <c r="H421" s="81"/>
      <c r="I421" s="81"/>
      <c r="J421" s="81"/>
      <c r="K421" s="81"/>
      <c r="L421" s="81"/>
      <c r="M421" s="108"/>
    </row>
    <row r="422" spans="1:13" ht="15" customHeight="1" x14ac:dyDescent="0.2">
      <c r="A422" s="1">
        <v>22</v>
      </c>
      <c r="B422" s="61">
        <v>51501</v>
      </c>
      <c r="C422" s="73" t="s">
        <v>29</v>
      </c>
      <c r="D422" s="91">
        <f>EGRESOS!E1007</f>
        <v>0</v>
      </c>
      <c r="E422" s="91">
        <f>EGRESOS!F1007</f>
        <v>0</v>
      </c>
      <c r="F422" s="91">
        <f>+EGRESOS!G1007</f>
        <v>1522.5</v>
      </c>
      <c r="G422" s="91">
        <f>EGRESOS!H1007</f>
        <v>1522.5</v>
      </c>
      <c r="H422" s="81"/>
      <c r="I422" s="81"/>
      <c r="J422" s="81"/>
      <c r="K422" s="81"/>
      <c r="L422" s="81"/>
    </row>
    <row r="423" spans="1:13" ht="15" customHeight="1" x14ac:dyDescent="0.2">
      <c r="A423" s="1">
        <v>22</v>
      </c>
      <c r="B423" s="61">
        <v>54101</v>
      </c>
      <c r="C423" s="73" t="s">
        <v>516</v>
      </c>
      <c r="D423" s="91">
        <f>EGRESOS!E1008</f>
        <v>0</v>
      </c>
      <c r="E423" s="91"/>
      <c r="F423" s="91">
        <f>+EGRESOS!G1008</f>
        <v>0</v>
      </c>
      <c r="G423" s="91">
        <f>EGRESOS!H1008</f>
        <v>0</v>
      </c>
      <c r="H423" s="81"/>
      <c r="I423" s="81"/>
      <c r="J423" s="81"/>
      <c r="K423" s="81"/>
      <c r="L423" s="81"/>
    </row>
    <row r="424" spans="1:13" ht="15" customHeight="1" x14ac:dyDescent="0.2">
      <c r="A424" s="1">
        <v>22</v>
      </c>
      <c r="B424" s="61">
        <v>54104</v>
      </c>
      <c r="C424" s="62" t="s">
        <v>17</v>
      </c>
      <c r="D424" s="91">
        <f>EGRESOS!E1009</f>
        <v>0</v>
      </c>
      <c r="E424" s="91">
        <f>EGRESOS!F1009</f>
        <v>0</v>
      </c>
      <c r="F424" s="91">
        <f>+EGRESOS!G1009</f>
        <v>600</v>
      </c>
      <c r="G424" s="91">
        <f>EGRESOS!H1009</f>
        <v>600</v>
      </c>
      <c r="H424" s="81"/>
      <c r="I424" s="81"/>
      <c r="J424" s="81"/>
      <c r="K424" s="81"/>
      <c r="L424" s="81"/>
    </row>
    <row r="425" spans="1:13" ht="15" customHeight="1" x14ac:dyDescent="0.2">
      <c r="A425" s="1">
        <v>22</v>
      </c>
      <c r="B425" s="61">
        <v>54105</v>
      </c>
      <c r="C425" s="73" t="s">
        <v>3</v>
      </c>
      <c r="D425" s="91">
        <f>EGRESOS!E1010</f>
        <v>0</v>
      </c>
      <c r="E425" s="91">
        <f>EGRESOS!F1010</f>
        <v>0</v>
      </c>
      <c r="F425" s="91">
        <f>+EGRESOS!G1010</f>
        <v>1150</v>
      </c>
      <c r="G425" s="91">
        <f>+EGRESOS!H1010</f>
        <v>1150</v>
      </c>
      <c r="H425" s="81"/>
      <c r="I425" s="81"/>
      <c r="J425" s="81">
        <v>19.239999999999998</v>
      </c>
      <c r="K425" s="81"/>
      <c r="L425" s="81"/>
    </row>
    <row r="426" spans="1:13" ht="15" customHeight="1" x14ac:dyDescent="0.2">
      <c r="A426" s="1">
        <v>22</v>
      </c>
      <c r="B426" s="61">
        <v>54107</v>
      </c>
      <c r="C426" s="73" t="s">
        <v>43</v>
      </c>
      <c r="D426" s="91">
        <f>EGRESOS!E1011</f>
        <v>0</v>
      </c>
      <c r="E426" s="91"/>
      <c r="F426" s="91">
        <f>+EGRESOS!G1011</f>
        <v>100</v>
      </c>
      <c r="G426" s="91">
        <f>EGRESOS!H1011</f>
        <v>100</v>
      </c>
      <c r="H426" s="81"/>
      <c r="I426" s="81"/>
      <c r="J426" s="81"/>
      <c r="K426" s="81"/>
      <c r="L426" s="81"/>
    </row>
    <row r="427" spans="1:13" ht="15" customHeight="1" x14ac:dyDescent="0.2">
      <c r="A427" s="1">
        <v>22</v>
      </c>
      <c r="B427" s="61">
        <v>54111</v>
      </c>
      <c r="C427" s="73" t="s">
        <v>162</v>
      </c>
      <c r="D427" s="91">
        <f>EGRESOS!E1012</f>
        <v>0</v>
      </c>
      <c r="E427" s="91"/>
      <c r="F427" s="91">
        <f>+EGRESOS!G1012</f>
        <v>100</v>
      </c>
      <c r="G427" s="91">
        <f>EGRESOS!H1012</f>
        <v>100</v>
      </c>
      <c r="H427" s="81"/>
      <c r="I427" s="81"/>
      <c r="J427" s="81"/>
      <c r="K427" s="81"/>
      <c r="L427" s="81"/>
    </row>
    <row r="428" spans="1:13" ht="15" customHeight="1" x14ac:dyDescent="0.2">
      <c r="A428" s="1">
        <v>22</v>
      </c>
      <c r="B428" s="61">
        <v>54112</v>
      </c>
      <c r="C428" s="73" t="s">
        <v>42</v>
      </c>
      <c r="D428" s="91">
        <f>EGRESOS!E1013</f>
        <v>0</v>
      </c>
      <c r="E428" s="91"/>
      <c r="F428" s="91">
        <f>+EGRESOS!G1013</f>
        <v>100</v>
      </c>
      <c r="G428" s="91">
        <f>EGRESOS!H1013</f>
        <v>100</v>
      </c>
      <c r="H428" s="81"/>
      <c r="I428" s="81"/>
      <c r="J428" s="81"/>
      <c r="K428" s="81"/>
      <c r="L428" s="81"/>
    </row>
    <row r="429" spans="1:13" ht="15" customHeight="1" x14ac:dyDescent="0.2">
      <c r="A429" s="1">
        <v>22</v>
      </c>
      <c r="B429" s="61">
        <v>54114</v>
      </c>
      <c r="C429" s="73" t="s">
        <v>5</v>
      </c>
      <c r="D429" s="91">
        <f>EGRESOS!E1014</f>
        <v>0</v>
      </c>
      <c r="E429" s="91">
        <f>EGRESOS!F1013</f>
        <v>0</v>
      </c>
      <c r="F429" s="91">
        <f>+EGRESOS!G1014</f>
        <v>360</v>
      </c>
      <c r="G429" s="91">
        <f>EGRESOS!H1014</f>
        <v>360</v>
      </c>
      <c r="H429" s="81"/>
      <c r="I429" s="81"/>
      <c r="J429" s="81"/>
      <c r="K429" s="81"/>
      <c r="L429" s="81"/>
    </row>
    <row r="430" spans="1:13" ht="15" customHeight="1" x14ac:dyDescent="0.2">
      <c r="A430" s="1">
        <v>22</v>
      </c>
      <c r="B430" s="61">
        <v>54115</v>
      </c>
      <c r="C430" s="73" t="s">
        <v>49</v>
      </c>
      <c r="D430" s="91">
        <f>EGRESOS!E1014</f>
        <v>0</v>
      </c>
      <c r="E430" s="91">
        <f>EGRESOS!F1014</f>
        <v>0</v>
      </c>
      <c r="F430" s="91">
        <f>+EGRESOS!G1015</f>
        <v>605</v>
      </c>
      <c r="G430" s="91">
        <f>EGRESOS!H1015</f>
        <v>605</v>
      </c>
      <c r="H430" s="81"/>
      <c r="I430" s="81"/>
      <c r="J430" s="81"/>
      <c r="K430" s="81"/>
      <c r="L430" s="81"/>
    </row>
    <row r="431" spans="1:13" ht="15" customHeight="1" x14ac:dyDescent="0.2">
      <c r="A431" s="1">
        <v>22</v>
      </c>
      <c r="B431" s="61">
        <v>54118</v>
      </c>
      <c r="C431" s="73" t="s">
        <v>454</v>
      </c>
      <c r="D431" s="91">
        <f>EGRESOS!E1015</f>
        <v>0</v>
      </c>
      <c r="E431" s="91">
        <f>EGRESOS!F1015</f>
        <v>0</v>
      </c>
      <c r="F431" s="91">
        <f>+EGRESOS!G1016</f>
        <v>100</v>
      </c>
      <c r="G431" s="91">
        <f>EGRESOS!H1016</f>
        <v>100</v>
      </c>
      <c r="H431" s="81"/>
      <c r="I431" s="81"/>
      <c r="J431" s="81"/>
      <c r="K431" s="81"/>
      <c r="L431" s="81"/>
    </row>
    <row r="432" spans="1:13" ht="15" customHeight="1" x14ac:dyDescent="0.2">
      <c r="A432" s="1">
        <v>22</v>
      </c>
      <c r="B432" s="128">
        <v>54119</v>
      </c>
      <c r="C432" s="73" t="str">
        <f>+C463</f>
        <v>MATERIALES ELECTRICOS</v>
      </c>
      <c r="D432" s="91">
        <v>0</v>
      </c>
      <c r="E432" s="91"/>
      <c r="F432" s="91">
        <f>+EGRESOS!G1017</f>
        <v>100</v>
      </c>
      <c r="G432" s="91">
        <f>+EGRESOS!H1017</f>
        <v>100</v>
      </c>
      <c r="H432" s="81"/>
      <c r="I432" s="81"/>
      <c r="J432" s="81"/>
      <c r="K432" s="81"/>
      <c r="L432" s="81"/>
    </row>
    <row r="433" spans="1:15" ht="15" customHeight="1" x14ac:dyDescent="0.2">
      <c r="A433" s="1">
        <v>22</v>
      </c>
      <c r="B433" s="128">
        <v>54301</v>
      </c>
      <c r="C433" s="73" t="str">
        <f>+C465</f>
        <v>MANTENIMIENTO Y REPARACION DE BIENES MUEBLES</v>
      </c>
      <c r="D433" s="91">
        <f>EGRESOS!E1020</f>
        <v>0</v>
      </c>
      <c r="E433" s="91">
        <f>EGRESOS!F1020</f>
        <v>0</v>
      </c>
      <c r="F433" s="91">
        <f>+EGRESOS!G1018</f>
        <v>100</v>
      </c>
      <c r="G433" s="91">
        <f>EGRESOS!H1019</f>
        <v>200</v>
      </c>
      <c r="H433" s="81"/>
      <c r="I433" s="81"/>
      <c r="J433" s="81"/>
      <c r="K433" s="81"/>
      <c r="L433" s="81"/>
    </row>
    <row r="434" spans="1:15" ht="15" customHeight="1" x14ac:dyDescent="0.2">
      <c r="A434" s="1">
        <v>22</v>
      </c>
      <c r="B434" s="129">
        <v>54199</v>
      </c>
      <c r="C434" s="73" t="s">
        <v>26</v>
      </c>
      <c r="D434" s="91">
        <v>0</v>
      </c>
      <c r="E434" s="91"/>
      <c r="F434" s="91">
        <f>+EGRESOS!G1019</f>
        <v>200</v>
      </c>
      <c r="G434" s="91">
        <f>+EGRESOS!H1018</f>
        <v>100</v>
      </c>
      <c r="H434" s="81"/>
      <c r="I434" s="81"/>
      <c r="J434" s="81"/>
      <c r="K434" s="81"/>
      <c r="L434" s="81"/>
    </row>
    <row r="435" spans="1:15" ht="15" customHeight="1" x14ac:dyDescent="0.2">
      <c r="A435" s="1">
        <v>22</v>
      </c>
      <c r="B435" s="61">
        <v>61101</v>
      </c>
      <c r="C435" s="73" t="s">
        <v>188</v>
      </c>
      <c r="D435" s="91">
        <f>+EGRESOS!E1020</f>
        <v>0</v>
      </c>
      <c r="E435" s="91">
        <f>+EGRESOS!F1020</f>
        <v>0</v>
      </c>
      <c r="F435" s="91">
        <f>+EGRESOS!G1020</f>
        <v>775</v>
      </c>
      <c r="G435" s="91">
        <f>EGRESOS!H1020</f>
        <v>775</v>
      </c>
      <c r="H435" s="81"/>
      <c r="I435" s="81"/>
      <c r="J435" s="81"/>
      <c r="K435" s="81"/>
      <c r="L435" s="81"/>
    </row>
    <row r="436" spans="1:15" ht="15" customHeight="1" x14ac:dyDescent="0.2">
      <c r="A436" s="1">
        <v>22</v>
      </c>
      <c r="B436" s="61">
        <v>61102</v>
      </c>
      <c r="C436" s="62" t="s">
        <v>28</v>
      </c>
      <c r="D436" s="91">
        <f>EGRESOS!E1020</f>
        <v>0</v>
      </c>
      <c r="E436" s="91">
        <f>EGRESOS!F1020</f>
        <v>0</v>
      </c>
      <c r="F436" s="91">
        <f>+EGRESOS!G1021</f>
        <v>2030</v>
      </c>
      <c r="G436" s="91">
        <f>EGRESOS!H1021</f>
        <v>2030</v>
      </c>
      <c r="H436" s="81"/>
      <c r="I436" s="81"/>
      <c r="J436" s="81"/>
      <c r="K436" s="81"/>
      <c r="L436" s="81"/>
    </row>
    <row r="437" spans="1:15" ht="15" customHeight="1" x14ac:dyDescent="0.2">
      <c r="A437" s="1">
        <v>22</v>
      </c>
      <c r="B437" s="61">
        <v>61104</v>
      </c>
      <c r="C437" s="73" t="s">
        <v>504</v>
      </c>
      <c r="D437" s="91">
        <f>EGRESOS!E1021</f>
        <v>0</v>
      </c>
      <c r="E437" s="91">
        <f>EGRESOS!F1021</f>
        <v>0</v>
      </c>
      <c r="F437" s="91">
        <f>+EGRESOS!G1022</f>
        <v>65</v>
      </c>
      <c r="G437" s="91">
        <f>EGRESOS!H1022</f>
        <v>65</v>
      </c>
      <c r="H437" s="81"/>
      <c r="I437" s="81"/>
      <c r="J437" s="81"/>
      <c r="K437" s="81"/>
      <c r="L437" s="81"/>
    </row>
    <row r="438" spans="1:15" ht="15" customHeight="1" x14ac:dyDescent="0.2">
      <c r="A438" s="1" t="s">
        <v>387</v>
      </c>
      <c r="B438" s="89"/>
      <c r="C438" s="89" t="s">
        <v>14</v>
      </c>
      <c r="D438" s="98">
        <f>SUM(D418:D431)</f>
        <v>0</v>
      </c>
      <c r="E438" s="98">
        <f>SUM(E418:E431)</f>
        <v>0</v>
      </c>
      <c r="F438" s="98">
        <f>SUM(F418:F437)</f>
        <v>28636.5</v>
      </c>
      <c r="G438" s="98">
        <f>SUM(G418:G437)</f>
        <v>28636.5</v>
      </c>
      <c r="H438" s="81"/>
      <c r="I438" s="81"/>
      <c r="J438" s="81"/>
      <c r="K438" s="81"/>
      <c r="L438" s="81"/>
      <c r="N438" s="2"/>
      <c r="O438" s="2"/>
    </row>
    <row r="439" spans="1:15" ht="15" customHeight="1" x14ac:dyDescent="0.2">
      <c r="A439" s="1" t="s">
        <v>387</v>
      </c>
      <c r="B439" s="7"/>
      <c r="C439" s="7"/>
      <c r="D439" s="85"/>
      <c r="E439" s="85"/>
      <c r="F439" s="86"/>
      <c r="G439" s="86"/>
    </row>
    <row r="440" spans="1:15" ht="15" customHeight="1" x14ac:dyDescent="0.2">
      <c r="A440" s="1" t="s">
        <v>387</v>
      </c>
      <c r="B440" s="7"/>
      <c r="C440" s="7"/>
      <c r="D440" s="85"/>
      <c r="E440" s="85"/>
      <c r="F440" s="86"/>
      <c r="G440" s="86"/>
    </row>
    <row r="441" spans="1:15" ht="15" customHeight="1" x14ac:dyDescent="0.2">
      <c r="A441" s="1" t="s">
        <v>387</v>
      </c>
      <c r="B441" s="7"/>
      <c r="D441" s="125"/>
      <c r="E441" s="125"/>
      <c r="F441" s="126"/>
      <c r="G441" s="126"/>
    </row>
    <row r="442" spans="1:15" ht="15" customHeight="1" x14ac:dyDescent="0.2">
      <c r="A442" s="1" t="s">
        <v>387</v>
      </c>
      <c r="B442" s="404" t="s">
        <v>119</v>
      </c>
      <c r="C442" s="404"/>
      <c r="D442" s="404"/>
      <c r="E442" s="404"/>
      <c r="F442" s="404"/>
      <c r="G442" s="404"/>
    </row>
    <row r="443" spans="1:15" ht="15" customHeight="1" x14ac:dyDescent="0.2">
      <c r="A443" s="1" t="s">
        <v>387</v>
      </c>
      <c r="B443" s="414" t="str">
        <f>+B3</f>
        <v>PRESUPUESTO AÑO 2024</v>
      </c>
      <c r="C443" s="414"/>
      <c r="D443" s="414"/>
      <c r="E443" s="414"/>
      <c r="F443" s="414"/>
      <c r="G443" s="414"/>
    </row>
    <row r="444" spans="1:15" ht="15" customHeight="1" x14ac:dyDescent="0.2">
      <c r="A444" s="1" t="s">
        <v>387</v>
      </c>
      <c r="B444" s="414" t="str">
        <f>B2</f>
        <v>PRESUPUESTO EXTRA CONTABLE</v>
      </c>
      <c r="C444" s="414"/>
      <c r="D444" s="414"/>
      <c r="E444" s="414"/>
      <c r="F444" s="414"/>
      <c r="G444" s="414"/>
    </row>
    <row r="445" spans="1:15" ht="15" customHeight="1" x14ac:dyDescent="0.2">
      <c r="A445" s="1" t="s">
        <v>387</v>
      </c>
      <c r="B445" s="404" t="s">
        <v>117</v>
      </c>
      <c r="C445" s="404"/>
      <c r="D445" s="404"/>
      <c r="E445" s="404"/>
      <c r="F445" s="404"/>
      <c r="G445" s="404"/>
    </row>
    <row r="446" spans="1:15" ht="15" customHeight="1" x14ac:dyDescent="0.2">
      <c r="A446" s="1" t="s">
        <v>387</v>
      </c>
      <c r="B446" s="404" t="s">
        <v>281</v>
      </c>
      <c r="C446" s="404"/>
      <c r="D446" s="404"/>
      <c r="E446" s="404"/>
      <c r="F446" s="404"/>
      <c r="G446" s="404"/>
    </row>
    <row r="447" spans="1:15" ht="15" customHeight="1" x14ac:dyDescent="0.2">
      <c r="A447" s="1" t="s">
        <v>387</v>
      </c>
      <c r="B447" s="415" t="s">
        <v>1</v>
      </c>
      <c r="C447" s="87"/>
      <c r="D447" s="71" t="s">
        <v>56</v>
      </c>
      <c r="E447" s="71" t="str">
        <f>E6</f>
        <v>REFORMA</v>
      </c>
      <c r="F447" s="71" t="s">
        <v>56</v>
      </c>
      <c r="G447" s="88" t="str">
        <f>$G$6</f>
        <v>TOTAL 2024</v>
      </c>
      <c r="H447" s="72" t="s">
        <v>285</v>
      </c>
      <c r="I447" s="72"/>
      <c r="J447" s="72"/>
      <c r="K447" s="72"/>
      <c r="L447" s="72"/>
      <c r="M447" s="108"/>
    </row>
    <row r="448" spans="1:15" ht="15" customHeight="1" x14ac:dyDescent="0.2">
      <c r="A448" s="1" t="s">
        <v>387</v>
      </c>
      <c r="B448" s="416"/>
      <c r="C448" s="72" t="s">
        <v>0</v>
      </c>
      <c r="D448" s="71" t="s">
        <v>139</v>
      </c>
      <c r="E448" s="71"/>
      <c r="F448" s="71" t="s">
        <v>140</v>
      </c>
      <c r="G448" s="71"/>
      <c r="H448" s="72" t="s">
        <v>286</v>
      </c>
      <c r="I448" s="72" t="s">
        <v>290</v>
      </c>
      <c r="J448" s="72" t="s">
        <v>291</v>
      </c>
      <c r="K448" s="72" t="s">
        <v>293</v>
      </c>
      <c r="L448" s="72" t="s">
        <v>292</v>
      </c>
    </row>
    <row r="449" spans="1:15" ht="15" customHeight="1" x14ac:dyDescent="0.2">
      <c r="A449" s="1">
        <v>24</v>
      </c>
      <c r="B449" s="61">
        <v>51101</v>
      </c>
      <c r="C449" s="73" t="s">
        <v>15</v>
      </c>
      <c r="D449" s="91">
        <f>EGRESOS!E1034+EGRESOS!E1068</f>
        <v>0</v>
      </c>
      <c r="E449" s="91">
        <f>EGRESOS!F1034+EGRESOS!F1068</f>
        <v>0</v>
      </c>
      <c r="F449" s="91">
        <f>+EGRESOS!G1034+EGRESOS!G1068</f>
        <v>27000</v>
      </c>
      <c r="G449" s="91">
        <f>+EGRESOS!H1034+EGRESOS!H1068</f>
        <v>27000</v>
      </c>
      <c r="H449" s="81"/>
      <c r="I449" s="81"/>
      <c r="J449" s="81"/>
      <c r="K449" s="81"/>
      <c r="L449" s="81"/>
      <c r="O449" s="100"/>
    </row>
    <row r="450" spans="1:15" ht="15" customHeight="1" x14ac:dyDescent="0.2">
      <c r="A450" s="1">
        <v>24</v>
      </c>
      <c r="B450" s="61">
        <v>51103</v>
      </c>
      <c r="C450" s="73" t="s">
        <v>16</v>
      </c>
      <c r="D450" s="91">
        <f>EGRESOS!E1035+EGRESOS!E1069</f>
        <v>0</v>
      </c>
      <c r="E450" s="91">
        <f>EGRESOS!F1035+EGRESOS!F1069</f>
        <v>0</v>
      </c>
      <c r="F450" s="91">
        <f>+EGRESOS!G1035+EGRESOS!G1069</f>
        <v>2250</v>
      </c>
      <c r="G450" s="91">
        <f>+EGRESOS!H1035+EGRESOS!H1069</f>
        <v>2250</v>
      </c>
      <c r="H450" s="81"/>
      <c r="I450" s="81"/>
      <c r="J450" s="81"/>
      <c r="K450" s="81"/>
      <c r="L450" s="81"/>
      <c r="O450" s="100"/>
    </row>
    <row r="451" spans="1:15" ht="15" customHeight="1" x14ac:dyDescent="0.2">
      <c r="A451" s="1">
        <v>24</v>
      </c>
      <c r="B451" s="61">
        <v>51107</v>
      </c>
      <c r="C451" s="73" t="s">
        <v>34</v>
      </c>
      <c r="D451" s="91">
        <f>EGRESOS!E1036+EGRESOS!E1070</f>
        <v>0</v>
      </c>
      <c r="E451" s="91">
        <f>EGRESOS!F1036+EGRESOS!F1070</f>
        <v>0</v>
      </c>
      <c r="F451" s="91">
        <f>+EGRESOS!G1036+EGRESOS!G1070</f>
        <v>600</v>
      </c>
      <c r="G451" s="91">
        <f>+EGRESOS!H1036+EGRESOS!H1070</f>
        <v>600</v>
      </c>
      <c r="H451" s="81"/>
      <c r="I451" s="81"/>
      <c r="J451" s="81"/>
      <c r="K451" s="81"/>
      <c r="L451" s="81"/>
      <c r="O451" s="100"/>
    </row>
    <row r="452" spans="1:15" ht="15" customHeight="1" x14ac:dyDescent="0.2">
      <c r="A452" s="1">
        <v>24</v>
      </c>
      <c r="B452" s="61">
        <v>51401</v>
      </c>
      <c r="C452" s="62" t="s">
        <v>47</v>
      </c>
      <c r="D452" s="91">
        <f>EGRESOS!E1037+EGRESOS!E1071</f>
        <v>0</v>
      </c>
      <c r="E452" s="91">
        <f>EGRESOS!F1037+EGRESOS!F1071</f>
        <v>0</v>
      </c>
      <c r="F452" s="91">
        <f>+EGRESOS!G1037+EGRESOS!G1071</f>
        <v>2295</v>
      </c>
      <c r="G452" s="91">
        <f>+EGRESOS!H1037+EGRESOS!H1071</f>
        <v>2295</v>
      </c>
      <c r="H452" s="81"/>
      <c r="I452" s="81"/>
      <c r="J452" s="81"/>
      <c r="K452" s="81"/>
      <c r="L452" s="81"/>
      <c r="O452" s="100"/>
    </row>
    <row r="453" spans="1:15" ht="15" customHeight="1" x14ac:dyDescent="0.2">
      <c r="A453" s="1">
        <v>24</v>
      </c>
      <c r="B453" s="61">
        <v>51501</v>
      </c>
      <c r="C453" s="73" t="s">
        <v>29</v>
      </c>
      <c r="D453" s="91">
        <f>EGRESOS!E1038+EGRESOS!E1072</f>
        <v>0</v>
      </c>
      <c r="E453" s="91">
        <f>EGRESOS!F1038+EGRESOS!F1072</f>
        <v>0</v>
      </c>
      <c r="F453" s="91">
        <f>+EGRESOS!G1038+EGRESOS!G1072</f>
        <v>2362.5</v>
      </c>
      <c r="G453" s="91">
        <f>+EGRESOS!H1038+EGRESOS!H1072</f>
        <v>2362.5</v>
      </c>
      <c r="H453" s="81"/>
      <c r="I453" s="81"/>
      <c r="J453" s="81"/>
      <c r="K453" s="81"/>
      <c r="L453" s="81"/>
      <c r="O453" s="100"/>
    </row>
    <row r="454" spans="1:15" ht="15" customHeight="1" x14ac:dyDescent="0.2">
      <c r="A454" s="1">
        <v>24</v>
      </c>
      <c r="B454" s="61">
        <v>54104</v>
      </c>
      <c r="C454" s="73" t="s">
        <v>517</v>
      </c>
      <c r="D454" s="91">
        <f>EGRESOS!E1039+EGRESOS!E1073</f>
        <v>0</v>
      </c>
      <c r="E454" s="91">
        <f>EGRESOS!F1039+EGRESOS!F1073</f>
        <v>0</v>
      </c>
      <c r="F454" s="91">
        <f>+EGRESOS!G1039+EGRESOS!G1073</f>
        <v>300</v>
      </c>
      <c r="G454" s="91">
        <f>+EGRESOS!H1039+EGRESOS!H1073</f>
        <v>300</v>
      </c>
      <c r="H454" s="81"/>
      <c r="I454" s="81"/>
      <c r="J454" s="81"/>
      <c r="K454" s="81"/>
      <c r="L454" s="81"/>
      <c r="O454" s="100"/>
    </row>
    <row r="455" spans="1:15" ht="15" customHeight="1" x14ac:dyDescent="0.2">
      <c r="A455" s="1">
        <v>24</v>
      </c>
      <c r="B455" s="61">
        <v>54105</v>
      </c>
      <c r="C455" s="73" t="s">
        <v>3</v>
      </c>
      <c r="D455" s="91">
        <f>EGRESOS!E1040+EGRESOS!E1074</f>
        <v>0</v>
      </c>
      <c r="E455" s="91">
        <f>EGRESOS!F1040+EGRESOS!F1074</f>
        <v>0</v>
      </c>
      <c r="F455" s="91">
        <f>+EGRESOS!G1040+EGRESOS!G1074</f>
        <v>0</v>
      </c>
      <c r="G455" s="91">
        <f>+EGRESOS!H1040+EGRESOS!H1074</f>
        <v>0</v>
      </c>
      <c r="H455" s="91">
        <f>EGRESOS!I1040+EGRESOS!I1074</f>
        <v>0</v>
      </c>
      <c r="I455" s="91">
        <f>EGRESOS!J1040+EGRESOS!J1074</f>
        <v>0</v>
      </c>
      <c r="J455" s="91">
        <f>EGRESOS!K1040+EGRESOS!K1074</f>
        <v>0</v>
      </c>
      <c r="K455" s="91">
        <f>EGRESOS!L1040+EGRESOS!L1074</f>
        <v>0</v>
      </c>
      <c r="L455" s="91">
        <f>EGRESOS!M1040+EGRESOS!M1074</f>
        <v>0</v>
      </c>
      <c r="M455" s="93"/>
      <c r="O455" s="100"/>
    </row>
    <row r="456" spans="1:15" ht="15" customHeight="1" x14ac:dyDescent="0.2">
      <c r="A456" s="1">
        <v>24</v>
      </c>
      <c r="B456" s="61">
        <v>54107</v>
      </c>
      <c r="C456" s="73" t="s">
        <v>43</v>
      </c>
      <c r="D456" s="91">
        <f>EGRESOS!E1041+EGRESOS!E1075</f>
        <v>0</v>
      </c>
      <c r="E456" s="91">
        <f>EGRESOS!F1041+EGRESOS!F1075</f>
        <v>0</v>
      </c>
      <c r="F456" s="91">
        <f>+EGRESOS!G1041+EGRESOS!G1075</f>
        <v>300</v>
      </c>
      <c r="G456" s="91">
        <f>+EGRESOS!H1041+EGRESOS!H1075</f>
        <v>300</v>
      </c>
      <c r="H456" s="81"/>
      <c r="I456" s="81"/>
      <c r="J456" s="81"/>
      <c r="K456" s="81"/>
      <c r="L456" s="81"/>
      <c r="O456" s="100"/>
    </row>
    <row r="457" spans="1:15" ht="15" customHeight="1" x14ac:dyDescent="0.2">
      <c r="A457" s="1">
        <v>24</v>
      </c>
      <c r="B457" s="61">
        <v>54111</v>
      </c>
      <c r="C457" s="73" t="s">
        <v>162</v>
      </c>
      <c r="D457" s="91">
        <f>EGRESOS!E1042+EGRESOS!E1076</f>
        <v>0</v>
      </c>
      <c r="E457" s="77">
        <f>EGRESOS!F1076</f>
        <v>0</v>
      </c>
      <c r="F457" s="91">
        <f>+EGRESOS!G1042+EGRESOS!G1076</f>
        <v>200</v>
      </c>
      <c r="G457" s="91">
        <f>+EGRESOS!H1042+EGRESOS!H1076</f>
        <v>200</v>
      </c>
      <c r="H457" s="81"/>
      <c r="I457" s="81"/>
      <c r="J457" s="81"/>
      <c r="K457" s="81"/>
      <c r="L457" s="81"/>
      <c r="O457" s="100"/>
    </row>
    <row r="458" spans="1:15" ht="15" customHeight="1" x14ac:dyDescent="0.2">
      <c r="A458" s="1">
        <v>24</v>
      </c>
      <c r="B458" s="61">
        <v>54112</v>
      </c>
      <c r="C458" s="73" t="s">
        <v>42</v>
      </c>
      <c r="D458" s="91">
        <f>EGRESOS!E1043+EGRESOS!E1077</f>
        <v>0</v>
      </c>
      <c r="E458" s="77"/>
      <c r="F458" s="91">
        <f>+EGRESOS!G1043+EGRESOS!G1077</f>
        <v>200</v>
      </c>
      <c r="G458" s="91">
        <f>+EGRESOS!H1043+EGRESOS!H1077</f>
        <v>200</v>
      </c>
      <c r="H458" s="81"/>
      <c r="I458" s="81"/>
      <c r="J458" s="81"/>
      <c r="K458" s="81"/>
      <c r="L458" s="81"/>
      <c r="O458" s="100"/>
    </row>
    <row r="459" spans="1:15" ht="15" customHeight="1" x14ac:dyDescent="0.2">
      <c r="A459" s="1">
        <v>24</v>
      </c>
      <c r="B459" s="61">
        <v>54114</v>
      </c>
      <c r="C459" s="73" t="s">
        <v>5</v>
      </c>
      <c r="D459" s="91">
        <f>EGRESOS!E1044+EGRESOS!E1078</f>
        <v>0</v>
      </c>
      <c r="E459" s="91">
        <f>EGRESOS!F1044+EGRESOS!F1078</f>
        <v>0</v>
      </c>
      <c r="F459" s="91">
        <f>+EGRESOS!G1044+EGRESOS!G1078</f>
        <v>450</v>
      </c>
      <c r="G459" s="91">
        <f>+EGRESOS!H1044+EGRESOS!H1078</f>
        <v>450</v>
      </c>
      <c r="H459" s="81"/>
      <c r="I459" s="81"/>
      <c r="J459" s="81"/>
      <c r="K459" s="81"/>
      <c r="L459" s="81"/>
      <c r="O459" s="100"/>
    </row>
    <row r="460" spans="1:15" ht="15" customHeight="1" x14ac:dyDescent="0.2">
      <c r="A460" s="1">
        <v>24</v>
      </c>
      <c r="B460" s="61">
        <v>54115</v>
      </c>
      <c r="C460" s="73" t="s">
        <v>49</v>
      </c>
      <c r="D460" s="91">
        <f>EGRESOS!E1045+EGRESOS!E1079</f>
        <v>0</v>
      </c>
      <c r="E460" s="91">
        <f>EGRESOS!F1045+EGRESOS!F1079</f>
        <v>0</v>
      </c>
      <c r="F460" s="91">
        <f>+EGRESOS!G1045+EGRESOS!G1079</f>
        <v>350</v>
      </c>
      <c r="G460" s="91">
        <f>+EGRESOS!H1045+EGRESOS!H1079</f>
        <v>350</v>
      </c>
      <c r="H460" s="81"/>
      <c r="I460" s="81"/>
      <c r="J460" s="81"/>
      <c r="K460" s="81"/>
      <c r="L460" s="81"/>
      <c r="O460" s="100"/>
    </row>
    <row r="461" spans="1:15" ht="15" customHeight="1" x14ac:dyDescent="0.2">
      <c r="A461" s="1">
        <v>24</v>
      </c>
      <c r="B461" s="61">
        <v>54116</v>
      </c>
      <c r="C461" s="62" t="s">
        <v>167</v>
      </c>
      <c r="D461" s="91"/>
      <c r="E461" s="91"/>
      <c r="F461" s="91">
        <f>+EGRESOS!G1046+EGRESOS!G1080</f>
        <v>300</v>
      </c>
      <c r="G461" s="91">
        <f>+EGRESOS!H1046+EGRESOS!H1080</f>
        <v>300</v>
      </c>
      <c r="H461" s="81"/>
      <c r="I461" s="81"/>
      <c r="J461" s="81"/>
      <c r="K461" s="81"/>
      <c r="L461" s="81"/>
      <c r="O461" s="100"/>
    </row>
    <row r="462" spans="1:15" ht="15" customHeight="1" x14ac:dyDescent="0.2">
      <c r="A462" s="1">
        <v>24</v>
      </c>
      <c r="B462" s="61">
        <v>54118</v>
      </c>
      <c r="C462" s="73" t="s">
        <v>35</v>
      </c>
      <c r="D462" s="91">
        <f>EGRESOS!E1046+EGRESOS!E1080</f>
        <v>0</v>
      </c>
      <c r="E462" s="91">
        <f>EGRESOS!F1047+EGRESOS!F1081</f>
        <v>0</v>
      </c>
      <c r="F462" s="91">
        <f>+EGRESOS!G1047+EGRESOS!G1081</f>
        <v>200</v>
      </c>
      <c r="G462" s="91">
        <f>+EGRESOS!H1047+EGRESOS!H1081</f>
        <v>200</v>
      </c>
      <c r="H462" s="81"/>
      <c r="I462" s="81"/>
      <c r="J462" s="81"/>
      <c r="K462" s="81"/>
      <c r="L462" s="81"/>
      <c r="O462" s="100"/>
    </row>
    <row r="463" spans="1:15" ht="15" customHeight="1" x14ac:dyDescent="0.2">
      <c r="A463" s="1">
        <v>24</v>
      </c>
      <c r="B463" s="61">
        <v>54119</v>
      </c>
      <c r="C463" s="73" t="s">
        <v>44</v>
      </c>
      <c r="D463" s="91">
        <f>EGRESOS!E1047+EGRESOS!E1081</f>
        <v>0</v>
      </c>
      <c r="E463" s="91"/>
      <c r="F463" s="91">
        <f>+EGRESOS!G1048+EGRESOS!G1082</f>
        <v>200</v>
      </c>
      <c r="G463" s="91">
        <f>+EGRESOS!H1048+EGRESOS!H1082</f>
        <v>200</v>
      </c>
      <c r="H463" s="81"/>
      <c r="I463" s="81"/>
      <c r="J463" s="81"/>
      <c r="K463" s="81"/>
      <c r="L463" s="81"/>
      <c r="O463" s="100"/>
    </row>
    <row r="464" spans="1:15" ht="15" customHeight="1" x14ac:dyDescent="0.2">
      <c r="A464" s="1">
        <v>24</v>
      </c>
      <c r="B464" s="61">
        <v>54199</v>
      </c>
      <c r="C464" s="73" t="s">
        <v>26</v>
      </c>
      <c r="D464" s="91"/>
      <c r="E464" s="91"/>
      <c r="F464" s="91">
        <f>+EGRESOS!G1049+EGRESOS!G1083</f>
        <v>600</v>
      </c>
      <c r="G464" s="91">
        <f>+EGRESOS!H1049+EGRESOS!H1083</f>
        <v>600</v>
      </c>
      <c r="H464" s="81"/>
      <c r="I464" s="81"/>
      <c r="J464" s="81"/>
      <c r="K464" s="81"/>
      <c r="L464" s="81"/>
      <c r="O464" s="100"/>
    </row>
    <row r="465" spans="1:15" ht="15" customHeight="1" x14ac:dyDescent="0.2">
      <c r="A465" s="1">
        <v>24</v>
      </c>
      <c r="B465" s="61">
        <v>54301</v>
      </c>
      <c r="C465" s="73" t="s">
        <v>158</v>
      </c>
      <c r="D465" s="91">
        <f>EGRESOS!E1048+EGRESOS!E1082</f>
        <v>0</v>
      </c>
      <c r="E465" s="91">
        <f>EGRESOS!F1050+EGRESOS!F1084</f>
        <v>0</v>
      </c>
      <c r="F465" s="91">
        <f>+EGRESOS!G1050+EGRESOS!G1084</f>
        <v>200</v>
      </c>
      <c r="G465" s="91">
        <f>+EGRESOS!H1050+EGRESOS!H1084</f>
        <v>200</v>
      </c>
      <c r="H465" s="81"/>
      <c r="I465" s="81"/>
      <c r="J465" s="81"/>
      <c r="K465" s="81"/>
      <c r="L465" s="81"/>
      <c r="O465" s="100"/>
    </row>
    <row r="466" spans="1:15" ht="15" customHeight="1" x14ac:dyDescent="0.2">
      <c r="A466" s="1">
        <v>24</v>
      </c>
      <c r="B466" s="61">
        <v>54307</v>
      </c>
      <c r="C466" s="62" t="s">
        <v>10</v>
      </c>
      <c r="D466" s="91">
        <f>EGRESOS!E1050+EGRESOS!E1084</f>
        <v>0</v>
      </c>
      <c r="E466" s="91">
        <f>EGRESOS!F1052+EGRESOS!F1086</f>
        <v>0</v>
      </c>
      <c r="F466" s="91">
        <f>+EGRESOS!G1051</f>
        <v>0</v>
      </c>
      <c r="G466" s="91">
        <f>+EGRESOS!H1051</f>
        <v>0</v>
      </c>
      <c r="H466" s="81"/>
      <c r="I466" s="81"/>
      <c r="J466" s="81"/>
      <c r="K466" s="81"/>
      <c r="L466" s="81"/>
      <c r="O466" s="100"/>
    </row>
    <row r="467" spans="1:15" ht="15" customHeight="1" x14ac:dyDescent="0.2">
      <c r="A467" s="1">
        <v>24</v>
      </c>
      <c r="B467" s="61">
        <v>54313</v>
      </c>
      <c r="C467" s="62" t="s">
        <v>11</v>
      </c>
      <c r="D467" s="91"/>
      <c r="E467" s="91"/>
      <c r="F467" s="91">
        <f>+EGRESOS!G1052+EGRESOS!G1086</f>
        <v>400</v>
      </c>
      <c r="G467" s="91">
        <f>+EGRESOS!H1052+EGRESOS!H1086</f>
        <v>400</v>
      </c>
      <c r="H467" s="81"/>
      <c r="I467" s="81"/>
      <c r="J467" s="81"/>
      <c r="K467" s="81"/>
      <c r="L467" s="81"/>
      <c r="O467" s="100"/>
    </row>
    <row r="468" spans="1:15" ht="15" customHeight="1" x14ac:dyDescent="0.2">
      <c r="A468" s="1">
        <v>24</v>
      </c>
      <c r="B468" s="61">
        <v>54401</v>
      </c>
      <c r="C468" s="62" t="s">
        <v>143</v>
      </c>
      <c r="D468" s="91">
        <f>EGRESOS!E1051+EGRESOS!E1085</f>
        <v>0</v>
      </c>
      <c r="E468" s="91">
        <f>EGRESOS!F1054+EGRESOS!F1088</f>
        <v>0</v>
      </c>
      <c r="F468" s="91">
        <f>+EGRESOS!G1053+EGRESOS!G1087</f>
        <v>250</v>
      </c>
      <c r="G468" s="91">
        <f>+EGRESOS!H1053+EGRESOS!H1087</f>
        <v>250</v>
      </c>
      <c r="H468" s="81"/>
      <c r="I468" s="81"/>
      <c r="J468" s="81"/>
      <c r="K468" s="81"/>
      <c r="L468" s="81"/>
      <c r="O468" s="100"/>
    </row>
    <row r="469" spans="1:15" ht="15" customHeight="1" x14ac:dyDescent="0.2">
      <c r="A469" s="1">
        <v>24</v>
      </c>
      <c r="B469" s="61">
        <v>54505</v>
      </c>
      <c r="C469" s="62" t="s">
        <v>513</v>
      </c>
      <c r="D469" s="91">
        <f>EGRESOS!E1055+EGRESOS!E1089</f>
        <v>0</v>
      </c>
      <c r="E469" s="91">
        <f>EGRESOS!F1055+EGRESOS!F1089</f>
        <v>0</v>
      </c>
      <c r="F469" s="91">
        <f>+EGRESOS!G1054+EGRESOS!G1088</f>
        <v>500</v>
      </c>
      <c r="G469" s="91">
        <f>+EGRESOS!H1054+EGRESOS!H1088</f>
        <v>500</v>
      </c>
      <c r="H469" s="81"/>
      <c r="I469" s="81"/>
      <c r="J469" s="81"/>
      <c r="K469" s="81"/>
      <c r="L469" s="81"/>
      <c r="O469" s="100"/>
    </row>
    <row r="470" spans="1:15" ht="15" customHeight="1" x14ac:dyDescent="0.2">
      <c r="A470" s="1">
        <v>24</v>
      </c>
      <c r="B470" s="61">
        <v>61101</v>
      </c>
      <c r="C470" s="62" t="s">
        <v>144</v>
      </c>
      <c r="D470" s="91">
        <f>EGRESOS!E1056+EGRESOS!E1090</f>
        <v>0</v>
      </c>
      <c r="E470" s="91">
        <f>EGRESOS!F1056+EGRESOS!F1090</f>
        <v>0</v>
      </c>
      <c r="F470" s="91">
        <f>+EGRESOS!G1055+EGRESOS!G1089</f>
        <v>600</v>
      </c>
      <c r="G470" s="91">
        <f>+EGRESOS!H1055+EGRESOS!H1089</f>
        <v>600</v>
      </c>
      <c r="H470" s="91">
        <f>EGRESOS!I1056+EGRESOS!I1090</f>
        <v>0</v>
      </c>
      <c r="I470" s="91">
        <f>EGRESOS!J1056+EGRESOS!J1090</f>
        <v>0</v>
      </c>
      <c r="J470" s="91">
        <f>EGRESOS!K1056+EGRESOS!K1090</f>
        <v>0</v>
      </c>
      <c r="K470" s="91">
        <f>EGRESOS!L1056+EGRESOS!L1090</f>
        <v>0</v>
      </c>
      <c r="L470" s="91">
        <f>EGRESOS!M1056+EGRESOS!M1090</f>
        <v>0</v>
      </c>
      <c r="M470" s="93"/>
      <c r="O470" s="100"/>
    </row>
    <row r="471" spans="1:15" ht="15" customHeight="1" x14ac:dyDescent="0.2">
      <c r="A471" s="1">
        <v>24</v>
      </c>
      <c r="B471" s="61">
        <v>61102</v>
      </c>
      <c r="C471" s="62" t="s">
        <v>28</v>
      </c>
      <c r="D471" s="91"/>
      <c r="E471" s="91"/>
      <c r="F471" s="91">
        <f>+EGRESOS!G1056+EGRESOS!G1090</f>
        <v>600</v>
      </c>
      <c r="G471" s="91">
        <f>+EGRESOS!H1056+EGRESOS!H1090</f>
        <v>600</v>
      </c>
      <c r="H471" s="91"/>
      <c r="I471" s="91"/>
      <c r="J471" s="91"/>
      <c r="K471" s="91"/>
      <c r="L471" s="91"/>
      <c r="M471" s="86"/>
      <c r="O471" s="100"/>
    </row>
    <row r="472" spans="1:15" ht="15" customHeight="1" x14ac:dyDescent="0.2">
      <c r="A472" s="1">
        <v>24</v>
      </c>
      <c r="B472" s="61">
        <v>61104</v>
      </c>
      <c r="C472" s="73" t="s">
        <v>31</v>
      </c>
      <c r="D472" s="91">
        <f>EGRESOS!E1057+EGRESOS!E1091</f>
        <v>0</v>
      </c>
      <c r="E472" s="91">
        <f>EGRESOS!F1057+EGRESOS!F1091</f>
        <v>0</v>
      </c>
      <c r="F472" s="91">
        <f>+EGRESOS!G1057+EGRESOS!G1091</f>
        <v>1100</v>
      </c>
      <c r="G472" s="91">
        <f>+EGRESOS!H1057+EGRESOS!H1091</f>
        <v>1100</v>
      </c>
      <c r="H472" s="81"/>
      <c r="I472" s="81"/>
      <c r="J472" s="81"/>
      <c r="K472" s="81"/>
      <c r="L472" s="81"/>
      <c r="O472" s="100"/>
    </row>
    <row r="473" spans="1:15" ht="15" customHeight="1" x14ac:dyDescent="0.2">
      <c r="A473" s="1" t="s">
        <v>387</v>
      </c>
      <c r="B473" s="89"/>
      <c r="C473" s="89" t="s">
        <v>14</v>
      </c>
      <c r="D473" s="98">
        <f>SUM(D449:D472)</f>
        <v>0</v>
      </c>
      <c r="E473" s="98">
        <f>SUM(E449:E472)</f>
        <v>0</v>
      </c>
      <c r="F473" s="98">
        <f>SUM(F449:F472)</f>
        <v>41257.5</v>
      </c>
      <c r="G473" s="98">
        <f>SUM(G449:G472)</f>
        <v>41257.5</v>
      </c>
      <c r="H473" s="81"/>
      <c r="I473" s="81"/>
      <c r="J473" s="81"/>
      <c r="K473" s="81"/>
      <c r="L473" s="81"/>
      <c r="M473" s="1">
        <f>+EGRESOS!O1092</f>
        <v>41257.5</v>
      </c>
      <c r="N473" s="2">
        <f>+M473-G473</f>
        <v>0</v>
      </c>
      <c r="O473" s="2"/>
    </row>
    <row r="474" spans="1:15" ht="15" customHeight="1" x14ac:dyDescent="0.2">
      <c r="A474" s="1" t="s">
        <v>387</v>
      </c>
      <c r="B474" s="7"/>
      <c r="C474" s="7"/>
      <c r="D474" s="85"/>
      <c r="E474" s="85"/>
      <c r="F474" s="86"/>
      <c r="G474" s="86"/>
    </row>
    <row r="475" spans="1:15" ht="15" customHeight="1" x14ac:dyDescent="0.2">
      <c r="A475" s="1" t="s">
        <v>387</v>
      </c>
      <c r="B475" s="7"/>
      <c r="C475" s="7"/>
      <c r="D475" s="85"/>
      <c r="E475" s="85"/>
      <c r="F475" s="86"/>
      <c r="G475" s="86"/>
    </row>
    <row r="476" spans="1:15" ht="15" customHeight="1" x14ac:dyDescent="0.2">
      <c r="A476" s="1" t="s">
        <v>387</v>
      </c>
      <c r="B476" s="404"/>
      <c r="C476" s="404"/>
      <c r="D476" s="404"/>
      <c r="E476" s="404"/>
      <c r="F476" s="404"/>
      <c r="G476" s="404"/>
    </row>
    <row r="477" spans="1:15" ht="15" customHeight="1" x14ac:dyDescent="0.2">
      <c r="A477" s="1" t="s">
        <v>387</v>
      </c>
      <c r="B477" s="404" t="s">
        <v>119</v>
      </c>
      <c r="C477" s="404"/>
      <c r="D477" s="404"/>
      <c r="E477" s="404"/>
      <c r="F477" s="404"/>
      <c r="G477" s="404"/>
    </row>
    <row r="478" spans="1:15" ht="15" customHeight="1" x14ac:dyDescent="0.2">
      <c r="A478" s="1" t="s">
        <v>387</v>
      </c>
      <c r="B478" s="414" t="str">
        <f>+B3</f>
        <v>PRESUPUESTO AÑO 2024</v>
      </c>
      <c r="C478" s="414"/>
      <c r="D478" s="414"/>
      <c r="E478" s="414"/>
      <c r="F478" s="414"/>
      <c r="G478" s="414"/>
    </row>
    <row r="479" spans="1:15" ht="15" customHeight="1" x14ac:dyDescent="0.2">
      <c r="A479" s="1" t="s">
        <v>387</v>
      </c>
      <c r="B479" s="414" t="str">
        <f>B2</f>
        <v>PRESUPUESTO EXTRA CONTABLE</v>
      </c>
      <c r="C479" s="414"/>
      <c r="D479" s="414"/>
      <c r="E479" s="414"/>
      <c r="F479" s="414"/>
      <c r="G479" s="414"/>
    </row>
    <row r="480" spans="1:15" ht="15" customHeight="1" x14ac:dyDescent="0.2">
      <c r="A480" s="1" t="s">
        <v>387</v>
      </c>
      <c r="B480" s="404" t="s">
        <v>117</v>
      </c>
      <c r="C480" s="404"/>
      <c r="D480" s="404"/>
      <c r="E480" s="404"/>
      <c r="F480" s="404"/>
      <c r="G480" s="404"/>
    </row>
    <row r="481" spans="1:12" ht="15" customHeight="1" x14ac:dyDescent="0.2">
      <c r="A481" s="1" t="s">
        <v>387</v>
      </c>
      <c r="B481" s="404" t="s">
        <v>858</v>
      </c>
      <c r="C481" s="404"/>
      <c r="D481" s="404"/>
      <c r="E481" s="404"/>
      <c r="F481" s="404"/>
      <c r="G481" s="404"/>
    </row>
    <row r="482" spans="1:12" ht="15" customHeight="1" x14ac:dyDescent="0.2">
      <c r="A482" s="1" t="s">
        <v>387</v>
      </c>
      <c r="B482" s="415" t="s">
        <v>1</v>
      </c>
      <c r="C482" s="87"/>
      <c r="D482" s="71" t="s">
        <v>56</v>
      </c>
      <c r="E482" s="71" t="str">
        <f>E6</f>
        <v>REFORMA</v>
      </c>
      <c r="F482" s="71" t="s">
        <v>56</v>
      </c>
      <c r="G482" s="88" t="str">
        <f>$G$6</f>
        <v>TOTAL 2024</v>
      </c>
      <c r="H482" s="72" t="s">
        <v>285</v>
      </c>
      <c r="I482" s="72"/>
      <c r="J482" s="72"/>
      <c r="K482" s="72"/>
      <c r="L482" s="72"/>
    </row>
    <row r="483" spans="1:12" ht="15" customHeight="1" x14ac:dyDescent="0.2">
      <c r="A483" s="1" t="s">
        <v>387</v>
      </c>
      <c r="B483" s="416"/>
      <c r="C483" s="72" t="s">
        <v>0</v>
      </c>
      <c r="D483" s="71" t="s">
        <v>139</v>
      </c>
      <c r="E483" s="71"/>
      <c r="F483" s="71" t="s">
        <v>140</v>
      </c>
      <c r="G483" s="71"/>
      <c r="H483" s="72" t="s">
        <v>286</v>
      </c>
      <c r="I483" s="72" t="s">
        <v>290</v>
      </c>
      <c r="J483" s="72" t="s">
        <v>291</v>
      </c>
      <c r="K483" s="72" t="s">
        <v>293</v>
      </c>
      <c r="L483" s="72" t="s">
        <v>292</v>
      </c>
    </row>
    <row r="484" spans="1:12" ht="15" customHeight="1" x14ac:dyDescent="0.2">
      <c r="A484" s="1">
        <v>26</v>
      </c>
      <c r="B484" s="130">
        <v>51101</v>
      </c>
      <c r="C484" s="131" t="s">
        <v>15</v>
      </c>
      <c r="D484" s="132"/>
      <c r="E484" s="132"/>
      <c r="F484" s="133">
        <f>+EGRESOS!G1105</f>
        <v>33000</v>
      </c>
      <c r="G484" s="133">
        <f>+EGRESOS!H1105</f>
        <v>33000</v>
      </c>
      <c r="H484" s="81"/>
      <c r="I484" s="30"/>
      <c r="J484" s="30"/>
      <c r="K484" s="30"/>
      <c r="L484" s="30"/>
    </row>
    <row r="485" spans="1:12" ht="15" customHeight="1" x14ac:dyDescent="0.2">
      <c r="A485" s="1">
        <v>26</v>
      </c>
      <c r="B485" s="61">
        <v>51103</v>
      </c>
      <c r="C485" s="73" t="s">
        <v>16</v>
      </c>
      <c r="D485" s="76"/>
      <c r="E485" s="76"/>
      <c r="F485" s="133">
        <f>+EGRESOS!G1106</f>
        <v>2750</v>
      </c>
      <c r="G485" s="133">
        <f>+EGRESOS!H1106</f>
        <v>2750</v>
      </c>
      <c r="H485" s="81"/>
      <c r="I485" s="30"/>
      <c r="J485" s="30"/>
      <c r="K485" s="30"/>
      <c r="L485" s="30"/>
    </row>
    <row r="486" spans="1:12" ht="15" customHeight="1" x14ac:dyDescent="0.2">
      <c r="A486" s="1">
        <v>26</v>
      </c>
      <c r="B486" s="61">
        <v>51107</v>
      </c>
      <c r="C486" s="73" t="s">
        <v>34</v>
      </c>
      <c r="D486" s="76"/>
      <c r="E486" s="76"/>
      <c r="F486" s="133">
        <f>+EGRESOS!G1107</f>
        <v>800</v>
      </c>
      <c r="G486" s="133">
        <f>+EGRESOS!H1107</f>
        <v>800</v>
      </c>
      <c r="H486" s="81"/>
      <c r="I486" s="30"/>
      <c r="J486" s="30"/>
      <c r="K486" s="30"/>
      <c r="L486" s="30"/>
    </row>
    <row r="487" spans="1:12" ht="15" customHeight="1" x14ac:dyDescent="0.2">
      <c r="A487" s="1">
        <v>26</v>
      </c>
      <c r="B487" s="61">
        <v>51401</v>
      </c>
      <c r="C487" s="62" t="s">
        <v>47</v>
      </c>
      <c r="D487" s="74"/>
      <c r="E487" s="74"/>
      <c r="F487" s="133">
        <f>+EGRESOS!G1108</f>
        <v>2805</v>
      </c>
      <c r="G487" s="133">
        <f>+EGRESOS!H1108</f>
        <v>2805</v>
      </c>
      <c r="H487" s="81"/>
      <c r="I487" s="30"/>
      <c r="J487" s="30"/>
      <c r="K487" s="30"/>
      <c r="L487" s="30"/>
    </row>
    <row r="488" spans="1:12" ht="15" customHeight="1" x14ac:dyDescent="0.2">
      <c r="A488" s="1">
        <v>26</v>
      </c>
      <c r="B488" s="61">
        <v>51501</v>
      </c>
      <c r="C488" s="73" t="s">
        <v>29</v>
      </c>
      <c r="D488" s="74"/>
      <c r="E488" s="74"/>
      <c r="F488" s="133">
        <f>+EGRESOS!G1109</f>
        <v>2362.5</v>
      </c>
      <c r="G488" s="133">
        <f>+EGRESOS!H1109</f>
        <v>2362.5</v>
      </c>
      <c r="H488" s="81"/>
      <c r="I488" s="30"/>
      <c r="J488" s="30"/>
      <c r="K488" s="30"/>
      <c r="L488" s="30"/>
    </row>
    <row r="489" spans="1:12" ht="15" customHeight="1" x14ac:dyDescent="0.2">
      <c r="A489" s="1">
        <v>26</v>
      </c>
      <c r="B489" s="134">
        <v>51901</v>
      </c>
      <c r="C489" s="135" t="s">
        <v>330</v>
      </c>
      <c r="D489" s="136"/>
      <c r="E489" s="136"/>
      <c r="F489" s="137">
        <f>+EGRESOS!G1110</f>
        <v>7350</v>
      </c>
      <c r="G489" s="137">
        <f>+EGRESOS!H1110</f>
        <v>7350</v>
      </c>
      <c r="H489" s="81"/>
      <c r="I489" s="30"/>
      <c r="J489" s="30"/>
      <c r="K489" s="30"/>
      <c r="L489" s="30"/>
    </row>
    <row r="490" spans="1:12" ht="15" customHeight="1" x14ac:dyDescent="0.2">
      <c r="A490" s="1">
        <v>26</v>
      </c>
      <c r="B490" s="61">
        <v>54101</v>
      </c>
      <c r="C490" s="73" t="s">
        <v>38</v>
      </c>
      <c r="D490" s="74"/>
      <c r="E490" s="74"/>
      <c r="F490" s="133">
        <f>+EGRESOS!G1111</f>
        <v>200</v>
      </c>
      <c r="G490" s="133">
        <f>+EGRESOS!H1111</f>
        <v>200</v>
      </c>
      <c r="H490" s="81"/>
      <c r="I490" s="30"/>
      <c r="J490" s="30"/>
      <c r="K490" s="30"/>
      <c r="L490" s="30"/>
    </row>
    <row r="491" spans="1:12" ht="15" customHeight="1" x14ac:dyDescent="0.2">
      <c r="A491" s="1">
        <v>26</v>
      </c>
      <c r="B491" s="61">
        <v>54104</v>
      </c>
      <c r="C491" s="62" t="s">
        <v>17</v>
      </c>
      <c r="D491" s="74"/>
      <c r="E491" s="74"/>
      <c r="F491" s="133">
        <f>+EGRESOS!G1112</f>
        <v>500</v>
      </c>
      <c r="G491" s="133">
        <f>+EGRESOS!H1112</f>
        <v>500</v>
      </c>
      <c r="H491" s="81"/>
      <c r="I491" s="30"/>
      <c r="J491" s="30"/>
      <c r="K491" s="30"/>
      <c r="L491" s="30"/>
    </row>
    <row r="492" spans="1:12" ht="15" customHeight="1" x14ac:dyDescent="0.2">
      <c r="A492" s="1">
        <v>26</v>
      </c>
      <c r="B492" s="61">
        <v>54105</v>
      </c>
      <c r="C492" s="73" t="s">
        <v>3</v>
      </c>
      <c r="D492" s="74"/>
      <c r="E492" s="74"/>
      <c r="F492" s="133">
        <f>+EGRESOS!G1113</f>
        <v>800</v>
      </c>
      <c r="G492" s="133">
        <f>+EGRESOS!H1113</f>
        <v>800</v>
      </c>
      <c r="H492" s="81"/>
      <c r="I492" s="30"/>
      <c r="J492" s="30"/>
      <c r="K492" s="30"/>
      <c r="L492" s="30"/>
    </row>
    <row r="493" spans="1:12" ht="15" customHeight="1" x14ac:dyDescent="0.2">
      <c r="A493" s="1">
        <v>26</v>
      </c>
      <c r="B493" s="61">
        <v>54107</v>
      </c>
      <c r="C493" s="73" t="s">
        <v>43</v>
      </c>
      <c r="D493" s="74"/>
      <c r="E493" s="74"/>
      <c r="F493" s="133">
        <f>+EGRESOS!G1114</f>
        <v>600</v>
      </c>
      <c r="G493" s="133">
        <f>+EGRESOS!H1114</f>
        <v>600</v>
      </c>
      <c r="H493" s="81"/>
      <c r="I493" s="30"/>
      <c r="J493" s="30"/>
      <c r="K493" s="30"/>
      <c r="L493" s="30"/>
    </row>
    <row r="494" spans="1:12" ht="15" customHeight="1" x14ac:dyDescent="0.2">
      <c r="A494" s="1">
        <v>26</v>
      </c>
      <c r="B494" s="61">
        <v>54111</v>
      </c>
      <c r="C494" s="73" t="s">
        <v>162</v>
      </c>
      <c r="D494" s="74"/>
      <c r="E494" s="74"/>
      <c r="F494" s="133">
        <f>+EGRESOS!G1115</f>
        <v>400</v>
      </c>
      <c r="G494" s="133">
        <f>+EGRESOS!H1115</f>
        <v>400</v>
      </c>
      <c r="H494" s="81"/>
      <c r="I494" s="30"/>
      <c r="J494" s="30"/>
      <c r="K494" s="30"/>
      <c r="L494" s="30"/>
    </row>
    <row r="495" spans="1:12" ht="15" customHeight="1" x14ac:dyDescent="0.2">
      <c r="A495" s="1">
        <v>26</v>
      </c>
      <c r="B495" s="61">
        <v>54112</v>
      </c>
      <c r="C495" s="73" t="s">
        <v>42</v>
      </c>
      <c r="D495" s="74"/>
      <c r="E495" s="74"/>
      <c r="F495" s="133">
        <f>+EGRESOS!G1116</f>
        <v>200</v>
      </c>
      <c r="G495" s="133">
        <f>+EGRESOS!H1116</f>
        <v>200</v>
      </c>
      <c r="H495" s="81"/>
      <c r="I495" s="30"/>
      <c r="J495" s="30"/>
      <c r="K495" s="30"/>
      <c r="L495" s="30"/>
    </row>
    <row r="496" spans="1:12" ht="15" customHeight="1" x14ac:dyDescent="0.2">
      <c r="A496" s="1">
        <v>26</v>
      </c>
      <c r="B496" s="61">
        <v>54114</v>
      </c>
      <c r="C496" s="73" t="s">
        <v>5</v>
      </c>
      <c r="D496" s="74"/>
      <c r="E496" s="74"/>
      <c r="F496" s="133">
        <f>+EGRESOS!G1117</f>
        <v>700</v>
      </c>
      <c r="G496" s="133">
        <f>+EGRESOS!H1117</f>
        <v>700</v>
      </c>
      <c r="H496" s="81"/>
      <c r="I496" s="30"/>
      <c r="J496" s="30"/>
      <c r="K496" s="30"/>
      <c r="L496" s="30"/>
    </row>
    <row r="497" spans="1:13" ht="15" customHeight="1" x14ac:dyDescent="0.2">
      <c r="A497" s="1">
        <v>26</v>
      </c>
      <c r="B497" s="61">
        <v>54115</v>
      </c>
      <c r="C497" s="73" t="s">
        <v>49</v>
      </c>
      <c r="D497" s="74"/>
      <c r="E497" s="74"/>
      <c r="F497" s="133">
        <f>+EGRESOS!G1118</f>
        <v>1000</v>
      </c>
      <c r="G497" s="133">
        <f>+EGRESOS!H1118</f>
        <v>1000</v>
      </c>
      <c r="H497" s="81"/>
      <c r="I497" s="30"/>
      <c r="J497" s="30"/>
      <c r="K497" s="30"/>
      <c r="L497" s="30"/>
    </row>
    <row r="498" spans="1:13" ht="15" customHeight="1" x14ac:dyDescent="0.2">
      <c r="A498" s="1">
        <v>26</v>
      </c>
      <c r="B498" s="61">
        <v>54116</v>
      </c>
      <c r="C498" s="62" t="s">
        <v>167</v>
      </c>
      <c r="D498" s="74"/>
      <c r="E498" s="74"/>
      <c r="F498" s="133">
        <f>+EGRESOS!G1119</f>
        <v>700</v>
      </c>
      <c r="G498" s="133">
        <f>+EGRESOS!H1119</f>
        <v>700</v>
      </c>
      <c r="H498" s="81"/>
      <c r="I498" s="30"/>
      <c r="J498" s="30"/>
      <c r="K498" s="30"/>
      <c r="L498" s="30"/>
    </row>
    <row r="499" spans="1:13" ht="15" customHeight="1" x14ac:dyDescent="0.2">
      <c r="A499" s="1">
        <v>26</v>
      </c>
      <c r="B499" s="61">
        <v>54118</v>
      </c>
      <c r="C499" s="62" t="s">
        <v>35</v>
      </c>
      <c r="D499" s="74"/>
      <c r="E499" s="74"/>
      <c r="F499" s="133">
        <f>+EGRESOS!G1120</f>
        <v>200</v>
      </c>
      <c r="G499" s="133">
        <f>+EGRESOS!H1120</f>
        <v>200</v>
      </c>
      <c r="H499" s="81"/>
      <c r="I499" s="30"/>
      <c r="J499" s="30"/>
      <c r="K499" s="30"/>
      <c r="L499" s="30"/>
    </row>
    <row r="500" spans="1:13" ht="15" customHeight="1" x14ac:dyDescent="0.2">
      <c r="A500" s="1">
        <v>26</v>
      </c>
      <c r="B500" s="61">
        <v>54119</v>
      </c>
      <c r="C500" s="62" t="s">
        <v>44</v>
      </c>
      <c r="D500" s="74"/>
      <c r="E500" s="74"/>
      <c r="F500" s="133">
        <f>+EGRESOS!G1121</f>
        <v>250</v>
      </c>
      <c r="G500" s="133">
        <f>+EGRESOS!H1121</f>
        <v>250</v>
      </c>
      <c r="H500" s="81"/>
      <c r="I500" s="30"/>
      <c r="J500" s="30"/>
      <c r="K500" s="30"/>
      <c r="L500" s="30"/>
    </row>
    <row r="501" spans="1:13" ht="15" customHeight="1" x14ac:dyDescent="0.2">
      <c r="A501" s="1">
        <v>26</v>
      </c>
      <c r="B501" s="61">
        <v>54199</v>
      </c>
      <c r="C501" s="73" t="s">
        <v>26</v>
      </c>
      <c r="D501" s="74"/>
      <c r="E501" s="74"/>
      <c r="F501" s="133">
        <f>+EGRESOS!G1122</f>
        <v>300</v>
      </c>
      <c r="G501" s="133">
        <f>+EGRESOS!H1122</f>
        <v>300</v>
      </c>
      <c r="H501" s="81"/>
      <c r="I501" s="30"/>
      <c r="J501" s="30"/>
      <c r="K501" s="30"/>
      <c r="L501" s="30"/>
    </row>
    <row r="502" spans="1:13" ht="15" customHeight="1" x14ac:dyDescent="0.2">
      <c r="A502" s="1">
        <v>26</v>
      </c>
      <c r="B502" s="61">
        <v>54301</v>
      </c>
      <c r="C502" s="62" t="s">
        <v>8</v>
      </c>
      <c r="D502" s="74"/>
      <c r="E502" s="74"/>
      <c r="F502" s="133">
        <f>+EGRESOS!G1123</f>
        <v>400</v>
      </c>
      <c r="G502" s="133">
        <f>+EGRESOS!H1123</f>
        <v>400</v>
      </c>
      <c r="H502" s="81"/>
      <c r="I502" s="30"/>
      <c r="J502" s="30"/>
      <c r="K502" s="30"/>
      <c r="L502" s="30"/>
    </row>
    <row r="503" spans="1:13" ht="15" customHeight="1" x14ac:dyDescent="0.2">
      <c r="A503" s="1">
        <v>26</v>
      </c>
      <c r="B503" s="130">
        <v>54305</v>
      </c>
      <c r="C503" s="62" t="s">
        <v>33</v>
      </c>
      <c r="D503" s="74"/>
      <c r="E503" s="74"/>
      <c r="F503" s="133">
        <f>+EGRESOS!G1124</f>
        <v>1500</v>
      </c>
      <c r="G503" s="133">
        <f>+EGRESOS!H1124</f>
        <v>1500</v>
      </c>
      <c r="H503" s="81"/>
      <c r="I503" s="30"/>
      <c r="J503" s="30"/>
      <c r="K503" s="30"/>
      <c r="L503" s="30"/>
    </row>
    <row r="504" spans="1:13" ht="15" customHeight="1" x14ac:dyDescent="0.2">
      <c r="A504" s="1">
        <v>26</v>
      </c>
      <c r="B504" s="130">
        <v>54307</v>
      </c>
      <c r="C504" s="62" t="s">
        <v>10</v>
      </c>
      <c r="D504" s="74"/>
      <c r="E504" s="74"/>
      <c r="F504" s="133">
        <f>+EGRESOS!G1125</f>
        <v>300</v>
      </c>
      <c r="G504" s="133">
        <f>+EGRESOS!H1125</f>
        <v>300</v>
      </c>
      <c r="H504" s="81"/>
      <c r="I504" s="30"/>
      <c r="J504" s="30"/>
      <c r="K504" s="30"/>
      <c r="L504" s="30"/>
    </row>
    <row r="505" spans="1:13" ht="15" customHeight="1" x14ac:dyDescent="0.2">
      <c r="A505" s="1">
        <v>26</v>
      </c>
      <c r="B505" s="130">
        <v>54313</v>
      </c>
      <c r="C505" s="62" t="s">
        <v>11</v>
      </c>
      <c r="D505" s="74"/>
      <c r="E505" s="74"/>
      <c r="F505" s="133">
        <f>+EGRESOS!G1126</f>
        <v>1400</v>
      </c>
      <c r="G505" s="133">
        <f>+EGRESOS!H1126</f>
        <v>1400</v>
      </c>
      <c r="H505" s="81"/>
      <c r="I505" s="30"/>
      <c r="J505" s="30"/>
      <c r="K505" s="30"/>
      <c r="L505" s="30"/>
    </row>
    <row r="506" spans="1:13" ht="15" customHeight="1" x14ac:dyDescent="0.2">
      <c r="A506" s="1">
        <v>26</v>
      </c>
      <c r="B506" s="130">
        <v>54399</v>
      </c>
      <c r="C506" s="62" t="s">
        <v>153</v>
      </c>
      <c r="D506" s="74"/>
      <c r="E506" s="74"/>
      <c r="F506" s="133">
        <f>+EGRESOS!G1127</f>
        <v>500</v>
      </c>
      <c r="G506" s="133">
        <f>+EGRESOS!H1127</f>
        <v>500</v>
      </c>
      <c r="H506" s="81"/>
      <c r="I506" s="30"/>
      <c r="J506" s="30"/>
      <c r="K506" s="30"/>
      <c r="L506" s="30"/>
    </row>
    <row r="507" spans="1:13" ht="15" customHeight="1" x14ac:dyDescent="0.2">
      <c r="A507" s="1">
        <v>26</v>
      </c>
      <c r="B507" s="130">
        <v>54401</v>
      </c>
      <c r="C507" s="62" t="s">
        <v>30</v>
      </c>
      <c r="D507" s="74"/>
      <c r="E507" s="74"/>
      <c r="F507" s="133">
        <f>+EGRESOS!G1128</f>
        <v>0</v>
      </c>
      <c r="G507" s="133">
        <f>+EGRESOS!H1128</f>
        <v>0</v>
      </c>
      <c r="H507" s="81"/>
      <c r="I507" s="30"/>
      <c r="J507" s="30"/>
      <c r="K507" s="30"/>
      <c r="L507" s="30"/>
    </row>
    <row r="508" spans="1:13" ht="15" customHeight="1" x14ac:dyDescent="0.2">
      <c r="A508" s="1">
        <v>26</v>
      </c>
      <c r="B508" s="130">
        <v>54505</v>
      </c>
      <c r="C508" s="62" t="s">
        <v>40</v>
      </c>
      <c r="D508" s="74"/>
      <c r="E508" s="74"/>
      <c r="F508" s="133">
        <f>+EGRESOS!G1129</f>
        <v>600</v>
      </c>
      <c r="G508" s="133">
        <f>+EGRESOS!H1129</f>
        <v>600</v>
      </c>
      <c r="H508" s="81"/>
      <c r="I508" s="30"/>
      <c r="J508" s="30"/>
      <c r="K508" s="30"/>
      <c r="L508" s="30"/>
    </row>
    <row r="509" spans="1:13" ht="15" customHeight="1" x14ac:dyDescent="0.2">
      <c r="A509" s="1">
        <v>26</v>
      </c>
      <c r="B509" s="130">
        <v>61101</v>
      </c>
      <c r="C509" s="73" t="s">
        <v>144</v>
      </c>
      <c r="D509" s="74"/>
      <c r="E509" s="74"/>
      <c r="F509" s="133">
        <f>+EGRESOS!G1130</f>
        <v>1300</v>
      </c>
      <c r="G509" s="133">
        <f>+EGRESOS!H1130</f>
        <v>1300</v>
      </c>
      <c r="H509" s="81"/>
      <c r="I509" s="30"/>
      <c r="J509" s="30"/>
      <c r="K509" s="30"/>
      <c r="L509" s="30"/>
    </row>
    <row r="510" spans="1:13" ht="15" customHeight="1" x14ac:dyDescent="0.2">
      <c r="A510" s="1">
        <v>26</v>
      </c>
      <c r="B510" s="130">
        <v>61102</v>
      </c>
      <c r="C510" s="73" t="s">
        <v>28</v>
      </c>
      <c r="D510" s="74"/>
      <c r="E510" s="74"/>
      <c r="F510" s="133">
        <f>+EGRESOS!G1131</f>
        <v>1500</v>
      </c>
      <c r="G510" s="133">
        <f>+EGRESOS!H1131</f>
        <v>1500</v>
      </c>
      <c r="H510" s="81"/>
      <c r="I510" s="30"/>
      <c r="J510" s="30"/>
      <c r="K510" s="30"/>
      <c r="L510" s="30"/>
    </row>
    <row r="511" spans="1:13" ht="15" customHeight="1" x14ac:dyDescent="0.2">
      <c r="A511" s="1">
        <v>26</v>
      </c>
      <c r="B511" s="130">
        <v>61104</v>
      </c>
      <c r="C511" s="73" t="s">
        <v>46</v>
      </c>
      <c r="D511" s="74"/>
      <c r="E511" s="74"/>
      <c r="F511" s="133">
        <f>+EGRESOS!G1132</f>
        <v>1500</v>
      </c>
      <c r="G511" s="133">
        <f>+EGRESOS!H1132</f>
        <v>1500</v>
      </c>
      <c r="H511" s="81"/>
      <c r="I511" s="30"/>
      <c r="J511" s="30"/>
      <c r="K511" s="30"/>
      <c r="L511" s="30"/>
    </row>
    <row r="512" spans="1:13" ht="15" customHeight="1" x14ac:dyDescent="0.2">
      <c r="A512" s="1" t="s">
        <v>387</v>
      </c>
      <c r="B512" s="61"/>
      <c r="C512" s="61" t="s">
        <v>14</v>
      </c>
      <c r="D512" s="138">
        <f>SUM(D484:D507)</f>
        <v>0</v>
      </c>
      <c r="E512" s="138">
        <f>SUM(E484:E507)</f>
        <v>0</v>
      </c>
      <c r="F512" s="138">
        <f>SUM(F484:F511)</f>
        <v>63917.5</v>
      </c>
      <c r="G512" s="139">
        <f t="shared" ref="G512" si="2">D512+E512+F512</f>
        <v>63917.5</v>
      </c>
      <c r="H512" s="81"/>
      <c r="I512" s="30"/>
      <c r="J512" s="30"/>
      <c r="K512" s="30"/>
      <c r="L512" s="30"/>
      <c r="M512" s="2">
        <f>+G512-EGRESOS!H1133</f>
        <v>0</v>
      </c>
    </row>
    <row r="513" spans="1:7" ht="15" customHeight="1" x14ac:dyDescent="0.2">
      <c r="A513" s="1" t="s">
        <v>387</v>
      </c>
      <c r="B513" s="7"/>
      <c r="C513" s="7"/>
      <c r="D513" s="85"/>
      <c r="E513" s="85"/>
      <c r="F513" s="86"/>
      <c r="G513" s="86"/>
    </row>
    <row r="514" spans="1:7" ht="15" customHeight="1" x14ac:dyDescent="0.2">
      <c r="A514" s="1" t="s">
        <v>387</v>
      </c>
      <c r="B514" s="7"/>
      <c r="C514" s="113"/>
      <c r="D514" s="114"/>
      <c r="E514" s="114"/>
      <c r="F514" s="114"/>
      <c r="G514" s="114"/>
    </row>
    <row r="515" spans="1:7" ht="15" customHeight="1" x14ac:dyDescent="0.2">
      <c r="A515" s="1" t="s">
        <v>387</v>
      </c>
      <c r="B515" s="7"/>
      <c r="C515" s="113"/>
      <c r="D515" s="114"/>
      <c r="E515" s="114"/>
      <c r="F515" s="114"/>
      <c r="G515" s="114"/>
    </row>
    <row r="516" spans="1:7" ht="15" customHeight="1" x14ac:dyDescent="0.2">
      <c r="A516" s="1" t="s">
        <v>387</v>
      </c>
      <c r="B516" s="404" t="s">
        <v>119</v>
      </c>
      <c r="C516" s="404"/>
      <c r="D516" s="404"/>
      <c r="E516" s="404"/>
      <c r="F516" s="404"/>
      <c r="G516" s="404"/>
    </row>
    <row r="517" spans="1:7" ht="15" customHeight="1" x14ac:dyDescent="0.2">
      <c r="A517" s="1" t="s">
        <v>387</v>
      </c>
      <c r="B517" s="414" t="str">
        <f>+B3</f>
        <v>PRESUPUESTO AÑO 2024</v>
      </c>
      <c r="C517" s="414"/>
      <c r="D517" s="414"/>
      <c r="E517" s="414"/>
      <c r="F517" s="414"/>
      <c r="G517" s="414"/>
    </row>
    <row r="518" spans="1:7" ht="15" customHeight="1" x14ac:dyDescent="0.2">
      <c r="A518" s="1" t="s">
        <v>387</v>
      </c>
      <c r="B518" s="414" t="str">
        <f>B2</f>
        <v>PRESUPUESTO EXTRA CONTABLE</v>
      </c>
      <c r="C518" s="414"/>
      <c r="D518" s="414"/>
      <c r="E518" s="414"/>
      <c r="F518" s="414"/>
      <c r="G518" s="414"/>
    </row>
    <row r="519" spans="1:7" ht="15" customHeight="1" x14ac:dyDescent="0.2">
      <c r="A519" s="1" t="s">
        <v>387</v>
      </c>
      <c r="B519" s="404" t="s">
        <v>117</v>
      </c>
      <c r="C519" s="404"/>
      <c r="D519" s="404"/>
      <c r="E519" s="404"/>
      <c r="F519" s="404"/>
      <c r="G519" s="404"/>
    </row>
    <row r="520" spans="1:7" ht="15" customHeight="1" x14ac:dyDescent="0.2">
      <c r="A520" s="1" t="s">
        <v>387</v>
      </c>
      <c r="B520" s="404" t="s">
        <v>705</v>
      </c>
      <c r="C520" s="404"/>
      <c r="D520" s="404"/>
      <c r="E520" s="404"/>
      <c r="F520" s="404"/>
      <c r="G520" s="404"/>
    </row>
    <row r="521" spans="1:7" ht="15" customHeight="1" x14ac:dyDescent="0.2">
      <c r="A521" s="1" t="s">
        <v>387</v>
      </c>
      <c r="B521" s="415" t="s">
        <v>1</v>
      </c>
      <c r="C521" s="87"/>
      <c r="D521" s="71" t="s">
        <v>56</v>
      </c>
      <c r="E521" s="71" t="str">
        <f>E6</f>
        <v>REFORMA</v>
      </c>
      <c r="F521" s="71" t="s">
        <v>56</v>
      </c>
      <c r="G521" s="88" t="str">
        <f>$G$6</f>
        <v>TOTAL 2024</v>
      </c>
    </row>
    <row r="522" spans="1:7" ht="15" customHeight="1" x14ac:dyDescent="0.2">
      <c r="A522" s="1" t="s">
        <v>387</v>
      </c>
      <c r="B522" s="416"/>
      <c r="C522" s="72" t="s">
        <v>0</v>
      </c>
      <c r="D522" s="71" t="s">
        <v>139</v>
      </c>
      <c r="E522" s="71"/>
      <c r="F522" s="71" t="s">
        <v>140</v>
      </c>
      <c r="G522" s="71"/>
    </row>
    <row r="523" spans="1:7" ht="15" customHeight="1" x14ac:dyDescent="0.2">
      <c r="A523" s="1">
        <v>28</v>
      </c>
      <c r="B523" s="61">
        <v>51101</v>
      </c>
      <c r="C523" s="73" t="s">
        <v>15</v>
      </c>
      <c r="D523" s="74">
        <f>+G864</f>
        <v>0</v>
      </c>
      <c r="E523" s="74"/>
      <c r="F523" s="140">
        <f>+EGRESOS!G1144</f>
        <v>13800</v>
      </c>
      <c r="G523" s="140">
        <f>+EGRESOS!H1144</f>
        <v>13800</v>
      </c>
    </row>
    <row r="524" spans="1:7" ht="15" customHeight="1" x14ac:dyDescent="0.2">
      <c r="A524" s="1">
        <v>28</v>
      </c>
      <c r="B524" s="61">
        <v>51103</v>
      </c>
      <c r="C524" s="73" t="s">
        <v>16</v>
      </c>
      <c r="D524" s="76"/>
      <c r="E524" s="76"/>
      <c r="F524" s="140">
        <f>+EGRESOS!G1145</f>
        <v>1150</v>
      </c>
      <c r="G524" s="140">
        <f>+EGRESOS!H1145</f>
        <v>1150</v>
      </c>
    </row>
    <row r="525" spans="1:7" ht="15" customHeight="1" x14ac:dyDescent="0.2">
      <c r="A525" s="1">
        <v>28</v>
      </c>
      <c r="B525" s="61">
        <v>51107</v>
      </c>
      <c r="C525" s="73" t="s">
        <v>34</v>
      </c>
      <c r="D525" s="76"/>
      <c r="E525" s="76"/>
      <c r="F525" s="140">
        <f>+EGRESOS!G1146</f>
        <v>400</v>
      </c>
      <c r="G525" s="140">
        <f>+EGRESOS!H1146</f>
        <v>400</v>
      </c>
    </row>
    <row r="526" spans="1:7" ht="15" customHeight="1" x14ac:dyDescent="0.2">
      <c r="A526" s="1">
        <v>28</v>
      </c>
      <c r="B526" s="61">
        <v>51401</v>
      </c>
      <c r="C526" s="62" t="s">
        <v>47</v>
      </c>
      <c r="D526" s="74"/>
      <c r="E526" s="74"/>
      <c r="F526" s="140">
        <f>+EGRESOS!G1147</f>
        <v>1173</v>
      </c>
      <c r="G526" s="140">
        <f>+EGRESOS!H1147</f>
        <v>1173</v>
      </c>
    </row>
    <row r="527" spans="1:7" ht="15" customHeight="1" x14ac:dyDescent="0.2">
      <c r="A527" s="1">
        <v>28</v>
      </c>
      <c r="B527" s="61">
        <v>51501</v>
      </c>
      <c r="C527" s="73" t="s">
        <v>29</v>
      </c>
      <c r="D527" s="74"/>
      <c r="E527" s="74"/>
      <c r="F527" s="140">
        <f>+EGRESOS!G1148</f>
        <v>1207.5</v>
      </c>
      <c r="G527" s="140">
        <f>+EGRESOS!H1148</f>
        <v>1207.5</v>
      </c>
    </row>
    <row r="528" spans="1:7" ht="15" customHeight="1" x14ac:dyDescent="0.2">
      <c r="A528" s="1">
        <v>28</v>
      </c>
      <c r="B528" s="61">
        <v>54101</v>
      </c>
      <c r="C528" s="73" t="s">
        <v>38</v>
      </c>
      <c r="D528" s="74"/>
      <c r="E528" s="74"/>
      <c r="F528" s="140">
        <f>+EGRESOS!G1149</f>
        <v>1000</v>
      </c>
      <c r="G528" s="140">
        <f>+EGRESOS!H1149</f>
        <v>1000</v>
      </c>
    </row>
    <row r="529" spans="1:7" ht="15" customHeight="1" x14ac:dyDescent="0.2">
      <c r="A529" s="1">
        <v>28</v>
      </c>
      <c r="B529" s="61">
        <v>54104</v>
      </c>
      <c r="C529" s="73" t="s">
        <v>17</v>
      </c>
      <c r="D529" s="74"/>
      <c r="E529" s="74"/>
      <c r="F529" s="140">
        <f>+EGRESOS!G1150</f>
        <v>300</v>
      </c>
      <c r="G529" s="140">
        <f>+EGRESOS!H1150</f>
        <v>300</v>
      </c>
    </row>
    <row r="530" spans="1:7" ht="15" customHeight="1" x14ac:dyDescent="0.2">
      <c r="A530" s="1">
        <v>28</v>
      </c>
      <c r="B530" s="61">
        <v>54105</v>
      </c>
      <c r="C530" s="73" t="s">
        <v>131</v>
      </c>
      <c r="D530" s="74"/>
      <c r="E530" s="74"/>
      <c r="F530" s="140">
        <f>+EGRESOS!G1151</f>
        <v>425</v>
      </c>
      <c r="G530" s="140">
        <f>+EGRESOS!H1151</f>
        <v>425</v>
      </c>
    </row>
    <row r="531" spans="1:7" ht="15" customHeight="1" x14ac:dyDescent="0.2">
      <c r="A531" s="1">
        <v>28</v>
      </c>
      <c r="B531" s="61">
        <v>54106</v>
      </c>
      <c r="C531" s="73" t="s">
        <v>18</v>
      </c>
      <c r="D531" s="74"/>
      <c r="E531" s="74"/>
      <c r="F531" s="140">
        <f>+EGRESOS!G1152</f>
        <v>100</v>
      </c>
      <c r="G531" s="140">
        <f>+EGRESOS!H1152</f>
        <v>100</v>
      </c>
    </row>
    <row r="532" spans="1:7" ht="15" customHeight="1" x14ac:dyDescent="0.2">
      <c r="A532" s="1">
        <v>28</v>
      </c>
      <c r="B532" s="61">
        <v>54107</v>
      </c>
      <c r="C532" s="73" t="s">
        <v>43</v>
      </c>
      <c r="D532" s="74"/>
      <c r="E532" s="74"/>
      <c r="F532" s="140">
        <f>+EGRESOS!G1153</f>
        <v>300</v>
      </c>
      <c r="G532" s="140">
        <f>+EGRESOS!H1153</f>
        <v>300</v>
      </c>
    </row>
    <row r="533" spans="1:7" ht="15" customHeight="1" x14ac:dyDescent="0.2">
      <c r="A533" s="1">
        <v>28</v>
      </c>
      <c r="B533" s="61">
        <v>54110</v>
      </c>
      <c r="C533" s="73" t="s">
        <v>519</v>
      </c>
      <c r="D533" s="74"/>
      <c r="E533" s="74"/>
      <c r="F533" s="140">
        <f>+EGRESOS!G1154</f>
        <v>0</v>
      </c>
      <c r="G533" s="140">
        <f>+EGRESOS!H1154</f>
        <v>0</v>
      </c>
    </row>
    <row r="534" spans="1:7" ht="15" customHeight="1" x14ac:dyDescent="0.2">
      <c r="A534" s="1">
        <v>28</v>
      </c>
      <c r="B534" s="61">
        <v>54111</v>
      </c>
      <c r="C534" s="73" t="s">
        <v>162</v>
      </c>
      <c r="D534" s="74"/>
      <c r="E534" s="74"/>
      <c r="F534" s="140">
        <f>+EGRESOS!G1155</f>
        <v>100</v>
      </c>
      <c r="G534" s="140">
        <f>+EGRESOS!H1155</f>
        <v>100</v>
      </c>
    </row>
    <row r="535" spans="1:7" ht="15" customHeight="1" x14ac:dyDescent="0.2">
      <c r="A535" s="1">
        <v>28</v>
      </c>
      <c r="B535" s="61">
        <v>54112</v>
      </c>
      <c r="C535" s="73" t="s">
        <v>42</v>
      </c>
      <c r="D535" s="74"/>
      <c r="E535" s="74"/>
      <c r="F535" s="140">
        <f>+EGRESOS!G1156</f>
        <v>100</v>
      </c>
      <c r="G535" s="140">
        <f>+EGRESOS!H1156</f>
        <v>100</v>
      </c>
    </row>
    <row r="536" spans="1:7" ht="15" customHeight="1" x14ac:dyDescent="0.2">
      <c r="A536" s="1">
        <v>28</v>
      </c>
      <c r="B536" s="61">
        <v>54113</v>
      </c>
      <c r="C536" s="62" t="s">
        <v>148</v>
      </c>
      <c r="D536" s="74"/>
      <c r="E536" s="74"/>
      <c r="F536" s="140">
        <f>+EGRESOS!G1157</f>
        <v>400</v>
      </c>
      <c r="G536" s="140">
        <f>+EGRESOS!H1157</f>
        <v>400</v>
      </c>
    </row>
    <row r="537" spans="1:7" ht="15" customHeight="1" x14ac:dyDescent="0.2">
      <c r="A537" s="1">
        <v>28</v>
      </c>
      <c r="B537" s="61">
        <v>54114</v>
      </c>
      <c r="C537" s="73" t="s">
        <v>5</v>
      </c>
      <c r="D537" s="74"/>
      <c r="E537" s="74"/>
      <c r="F537" s="140">
        <f>+EGRESOS!G1158</f>
        <v>300</v>
      </c>
      <c r="G537" s="140">
        <f>+EGRESOS!H1158</f>
        <v>300</v>
      </c>
    </row>
    <row r="538" spans="1:7" ht="15" customHeight="1" x14ac:dyDescent="0.2">
      <c r="A538" s="1">
        <v>28</v>
      </c>
      <c r="B538" s="61">
        <v>54115</v>
      </c>
      <c r="C538" s="73" t="s">
        <v>49</v>
      </c>
      <c r="D538" s="74"/>
      <c r="E538" s="74"/>
      <c r="F538" s="140">
        <f>+EGRESOS!G1159</f>
        <v>500</v>
      </c>
      <c r="G538" s="140">
        <f>+EGRESOS!H1159</f>
        <v>500</v>
      </c>
    </row>
    <row r="539" spans="1:7" ht="15" customHeight="1" x14ac:dyDescent="0.2">
      <c r="A539" s="1">
        <v>28</v>
      </c>
      <c r="B539" s="61">
        <v>54116</v>
      </c>
      <c r="C539" s="62" t="s">
        <v>155</v>
      </c>
      <c r="D539" s="74"/>
      <c r="E539" s="74"/>
      <c r="F539" s="140">
        <f>+EGRESOS!G1160</f>
        <v>100</v>
      </c>
      <c r="G539" s="140">
        <f>+EGRESOS!H1160</f>
        <v>100</v>
      </c>
    </row>
    <row r="540" spans="1:7" ht="15" customHeight="1" x14ac:dyDescent="0.2">
      <c r="A540" s="1">
        <v>28</v>
      </c>
      <c r="B540" s="61">
        <v>54118</v>
      </c>
      <c r="C540" s="62" t="s">
        <v>35</v>
      </c>
      <c r="D540" s="74"/>
      <c r="E540" s="74"/>
      <c r="F540" s="140">
        <f>+EGRESOS!G1161</f>
        <v>500</v>
      </c>
      <c r="G540" s="140">
        <f>+EGRESOS!H1161</f>
        <v>500</v>
      </c>
    </row>
    <row r="541" spans="1:7" ht="15" customHeight="1" x14ac:dyDescent="0.2">
      <c r="A541" s="1">
        <v>28</v>
      </c>
      <c r="B541" s="61">
        <v>54119</v>
      </c>
      <c r="C541" s="62" t="s">
        <v>44</v>
      </c>
      <c r="D541" s="74"/>
      <c r="E541" s="74"/>
      <c r="F541" s="140">
        <f>+EGRESOS!G1162</f>
        <v>100</v>
      </c>
      <c r="G541" s="140">
        <f>+EGRESOS!H1162</f>
        <v>100</v>
      </c>
    </row>
    <row r="542" spans="1:7" ht="15" customHeight="1" x14ac:dyDescent="0.2">
      <c r="A542" s="1">
        <v>28</v>
      </c>
      <c r="B542" s="61">
        <v>54199</v>
      </c>
      <c r="C542" s="62" t="s">
        <v>318</v>
      </c>
      <c r="D542" s="74"/>
      <c r="E542" s="74"/>
      <c r="F542" s="140">
        <f>+EGRESOS!G1163</f>
        <v>400</v>
      </c>
      <c r="G542" s="140">
        <f>+EGRESOS!H1163</f>
        <v>400</v>
      </c>
    </row>
    <row r="543" spans="1:7" ht="15" customHeight="1" x14ac:dyDescent="0.2">
      <c r="A543" s="1">
        <v>28</v>
      </c>
      <c r="B543" s="61">
        <v>54301</v>
      </c>
      <c r="C543" s="62" t="s">
        <v>8</v>
      </c>
      <c r="D543" s="74"/>
      <c r="E543" s="74"/>
      <c r="F543" s="140">
        <f>+EGRESOS!G1164</f>
        <v>300</v>
      </c>
      <c r="G543" s="140">
        <f>+EGRESOS!H1164</f>
        <v>300</v>
      </c>
    </row>
    <row r="544" spans="1:7" ht="15" customHeight="1" x14ac:dyDescent="0.2">
      <c r="A544" s="1">
        <v>28</v>
      </c>
      <c r="B544" s="61">
        <v>54303</v>
      </c>
      <c r="C544" s="62" t="s">
        <v>183</v>
      </c>
      <c r="D544" s="74"/>
      <c r="E544" s="74"/>
      <c r="F544" s="140">
        <f>+EGRESOS!G1165</f>
        <v>100</v>
      </c>
      <c r="G544" s="140">
        <f>+EGRESOS!H1165</f>
        <v>100</v>
      </c>
    </row>
    <row r="545" spans="1:15" ht="15" customHeight="1" x14ac:dyDescent="0.2">
      <c r="A545" s="1">
        <v>28</v>
      </c>
      <c r="B545" s="61">
        <v>54310</v>
      </c>
      <c r="C545" s="62" t="s">
        <v>390</v>
      </c>
      <c r="D545" s="74"/>
      <c r="E545" s="74"/>
      <c r="F545" s="140">
        <f>+EGRESOS!G1166</f>
        <v>0</v>
      </c>
      <c r="G545" s="140">
        <f>+EGRESOS!H1166</f>
        <v>0</v>
      </c>
    </row>
    <row r="546" spans="1:15" ht="15" customHeight="1" x14ac:dyDescent="0.2">
      <c r="A546" s="1">
        <v>28</v>
      </c>
      <c r="B546" s="61">
        <v>54313</v>
      </c>
      <c r="C546" s="62" t="s">
        <v>11</v>
      </c>
      <c r="D546" s="74"/>
      <c r="E546" s="74"/>
      <c r="F546" s="140">
        <f>+EGRESOS!G1167</f>
        <v>100</v>
      </c>
      <c r="G546" s="140">
        <f>+EGRESOS!H1167</f>
        <v>100</v>
      </c>
    </row>
    <row r="547" spans="1:15" ht="15" customHeight="1" x14ac:dyDescent="0.2">
      <c r="A547" s="1">
        <v>28</v>
      </c>
      <c r="B547" s="61">
        <v>54314</v>
      </c>
      <c r="C547" s="62" t="s">
        <v>505</v>
      </c>
      <c r="D547" s="74"/>
      <c r="E547" s="74"/>
      <c r="F547" s="140">
        <f>+EGRESOS!G1168</f>
        <v>500</v>
      </c>
      <c r="G547" s="140">
        <f>+EGRESOS!H1168</f>
        <v>500</v>
      </c>
    </row>
    <row r="548" spans="1:15" ht="15" customHeight="1" x14ac:dyDescent="0.2">
      <c r="A548" s="1">
        <v>28</v>
      </c>
      <c r="B548" s="61">
        <v>54316</v>
      </c>
      <c r="C548" s="62" t="s">
        <v>228</v>
      </c>
      <c r="D548" s="74"/>
      <c r="E548" s="74"/>
      <c r="F548" s="140">
        <f>+EGRESOS!G1169</f>
        <v>400</v>
      </c>
      <c r="G548" s="140">
        <f>+EGRESOS!H1169</f>
        <v>400</v>
      </c>
    </row>
    <row r="549" spans="1:15" ht="15" customHeight="1" x14ac:dyDescent="0.2">
      <c r="A549" s="1">
        <v>28</v>
      </c>
      <c r="B549" s="61" t="s">
        <v>542</v>
      </c>
      <c r="C549" s="62" t="s">
        <v>153</v>
      </c>
      <c r="D549" s="74"/>
      <c r="E549" s="74"/>
      <c r="F549" s="140">
        <f>+EGRESOS!G1170</f>
        <v>400</v>
      </c>
      <c r="G549" s="140">
        <f>+EGRESOS!H1170</f>
        <v>400</v>
      </c>
    </row>
    <row r="550" spans="1:15" ht="15" customHeight="1" x14ac:dyDescent="0.2">
      <c r="A550" s="1">
        <v>28</v>
      </c>
      <c r="B550" s="61">
        <v>54401</v>
      </c>
      <c r="C550" s="62" t="s">
        <v>30</v>
      </c>
      <c r="D550" s="74"/>
      <c r="E550" s="74"/>
      <c r="F550" s="140">
        <f>+EGRESOS!G1171</f>
        <v>500</v>
      </c>
      <c r="G550" s="140">
        <f>+EGRESOS!H1171</f>
        <v>500</v>
      </c>
    </row>
    <row r="551" spans="1:15" ht="15" customHeight="1" x14ac:dyDescent="0.2">
      <c r="A551" s="1">
        <v>28</v>
      </c>
      <c r="B551" s="61">
        <v>54402</v>
      </c>
      <c r="C551" s="62" t="s">
        <v>520</v>
      </c>
      <c r="D551" s="74"/>
      <c r="E551" s="74"/>
      <c r="F551" s="140">
        <f>+EGRESOS!G1172</f>
        <v>0</v>
      </c>
      <c r="G551" s="140">
        <f>+EGRESOS!H1172</f>
        <v>0</v>
      </c>
    </row>
    <row r="552" spans="1:15" ht="15" customHeight="1" x14ac:dyDescent="0.2">
      <c r="A552" s="1">
        <v>28</v>
      </c>
      <c r="B552" s="106">
        <v>54599</v>
      </c>
      <c r="C552" s="107" t="s">
        <v>154</v>
      </c>
      <c r="D552" s="74"/>
      <c r="E552" s="74"/>
      <c r="F552" s="140">
        <f>+EGRESOS!G1173</f>
        <v>40000</v>
      </c>
      <c r="G552" s="140">
        <f>+EGRESOS!H1173</f>
        <v>40000</v>
      </c>
    </row>
    <row r="553" spans="1:15" ht="15" customHeight="1" x14ac:dyDescent="0.2">
      <c r="A553" s="1">
        <v>28</v>
      </c>
      <c r="B553" s="134">
        <v>56305</v>
      </c>
      <c r="C553" s="135" t="s">
        <v>193</v>
      </c>
      <c r="D553" s="136"/>
      <c r="E553" s="136"/>
      <c r="F553" s="141">
        <f>+EGRESOS!G1174</f>
        <v>15000</v>
      </c>
      <c r="G553" s="141">
        <f>+EGRESOS!H1174</f>
        <v>15000</v>
      </c>
    </row>
    <row r="554" spans="1:15" ht="15" customHeight="1" x14ac:dyDescent="0.2">
      <c r="A554" s="1">
        <v>28</v>
      </c>
      <c r="B554" s="61">
        <v>61101</v>
      </c>
      <c r="C554" s="73" t="s">
        <v>144</v>
      </c>
      <c r="D554" s="74"/>
      <c r="E554" s="74"/>
      <c r="F554" s="140">
        <f>+EGRESOS!G1175</f>
        <v>500</v>
      </c>
      <c r="G554" s="140">
        <f>+EGRESOS!H1175</f>
        <v>500</v>
      </c>
    </row>
    <row r="555" spans="1:15" ht="15" customHeight="1" x14ac:dyDescent="0.2">
      <c r="A555" s="1">
        <v>28</v>
      </c>
      <c r="B555" s="61">
        <v>61102</v>
      </c>
      <c r="C555" s="73" t="s">
        <v>28</v>
      </c>
      <c r="D555" s="74"/>
      <c r="E555" s="74"/>
      <c r="F555" s="140">
        <f>+EGRESOS!G1176</f>
        <v>400</v>
      </c>
      <c r="G555" s="140">
        <f>+EGRESOS!H1176</f>
        <v>400</v>
      </c>
    </row>
    <row r="556" spans="1:15" ht="15" customHeight="1" x14ac:dyDescent="0.2">
      <c r="A556" s="1">
        <v>28</v>
      </c>
      <c r="B556" s="61">
        <v>61104</v>
      </c>
      <c r="C556" s="73" t="s">
        <v>46</v>
      </c>
      <c r="D556" s="74">
        <f>EGRESOS!E1178</f>
        <v>0</v>
      </c>
      <c r="E556" s="74">
        <f>EGRESOS!F1178</f>
        <v>0</v>
      </c>
      <c r="F556" s="140">
        <f>+EGRESOS!G1177</f>
        <v>500</v>
      </c>
      <c r="G556" s="140">
        <f>+EGRESOS!H1177</f>
        <v>500</v>
      </c>
    </row>
    <row r="557" spans="1:15" ht="15" customHeight="1" x14ac:dyDescent="0.2">
      <c r="A557" s="1">
        <v>28</v>
      </c>
      <c r="B557" s="61">
        <v>61603</v>
      </c>
      <c r="C557" s="73" t="s">
        <v>703</v>
      </c>
      <c r="D557" s="74"/>
      <c r="E557" s="74"/>
      <c r="F557" s="140">
        <f>+EGRESOS!G1178</f>
        <v>20000</v>
      </c>
      <c r="G557" s="140">
        <f>+EGRESOS!H1178</f>
        <v>20000</v>
      </c>
    </row>
    <row r="558" spans="1:15" ht="15" customHeight="1" x14ac:dyDescent="0.2">
      <c r="A558" s="1" t="s">
        <v>387</v>
      </c>
      <c r="B558" s="61"/>
      <c r="C558" s="61" t="s">
        <v>14</v>
      </c>
      <c r="D558" s="82">
        <f>SUM(D523:D557)</f>
        <v>0</v>
      </c>
      <c r="E558" s="82">
        <f>SUM(E523:E556)</f>
        <v>0</v>
      </c>
      <c r="F558" s="82">
        <f>SUM(F523:F557)</f>
        <v>101055.5</v>
      </c>
      <c r="G558" s="82">
        <f>SUM(G523:G557)</f>
        <v>101055.5</v>
      </c>
      <c r="N558" s="2"/>
      <c r="O558" s="2"/>
    </row>
    <row r="559" spans="1:15" ht="15" customHeight="1" x14ac:dyDescent="0.2">
      <c r="A559" s="1" t="s">
        <v>387</v>
      </c>
      <c r="B559" s="7"/>
      <c r="C559" s="113"/>
      <c r="D559" s="114"/>
      <c r="E559" s="114"/>
      <c r="F559" s="114"/>
      <c r="G559" s="114"/>
    </row>
    <row r="560" spans="1:15" ht="15" customHeight="1" x14ac:dyDescent="0.2">
      <c r="A560" s="1" t="s">
        <v>387</v>
      </c>
      <c r="B560" s="7"/>
      <c r="C560" s="113"/>
      <c r="D560" s="114"/>
      <c r="E560" s="114"/>
      <c r="F560" s="114"/>
      <c r="G560" s="114"/>
    </row>
    <row r="561" spans="1:12" ht="15" customHeight="1" x14ac:dyDescent="0.2">
      <c r="A561" s="1" t="s">
        <v>387</v>
      </c>
      <c r="B561" s="404" t="s">
        <v>119</v>
      </c>
      <c r="C561" s="404"/>
      <c r="D561" s="404"/>
      <c r="E561" s="404"/>
      <c r="F561" s="404"/>
      <c r="G561" s="404"/>
    </row>
    <row r="562" spans="1:12" ht="15" customHeight="1" x14ac:dyDescent="0.2">
      <c r="A562" s="1" t="s">
        <v>387</v>
      </c>
      <c r="B562" s="414" t="str">
        <f>+B3</f>
        <v>PRESUPUESTO AÑO 2024</v>
      </c>
      <c r="C562" s="414"/>
      <c r="D562" s="414"/>
      <c r="E562" s="414"/>
      <c r="F562" s="414"/>
      <c r="G562" s="414"/>
    </row>
    <row r="563" spans="1:12" ht="15" customHeight="1" x14ac:dyDescent="0.2">
      <c r="A563" s="1" t="s">
        <v>387</v>
      </c>
      <c r="B563" s="414" t="str">
        <f>B2</f>
        <v>PRESUPUESTO EXTRA CONTABLE</v>
      </c>
      <c r="C563" s="414"/>
      <c r="D563" s="414"/>
      <c r="E563" s="414"/>
      <c r="F563" s="414"/>
      <c r="G563" s="414"/>
    </row>
    <row r="564" spans="1:12" ht="15" customHeight="1" x14ac:dyDescent="0.2">
      <c r="A564" s="1" t="s">
        <v>387</v>
      </c>
      <c r="B564" s="404" t="s">
        <v>117</v>
      </c>
      <c r="C564" s="404"/>
      <c r="D564" s="404"/>
      <c r="E564" s="404"/>
      <c r="F564" s="404"/>
      <c r="G564" s="404"/>
    </row>
    <row r="565" spans="1:12" ht="15" customHeight="1" x14ac:dyDescent="0.2">
      <c r="A565" s="1" t="s">
        <v>387</v>
      </c>
      <c r="B565" s="404" t="s">
        <v>372</v>
      </c>
      <c r="C565" s="404"/>
      <c r="D565" s="404"/>
      <c r="E565" s="404"/>
      <c r="F565" s="404"/>
      <c r="G565" s="404"/>
    </row>
    <row r="566" spans="1:12" ht="15" customHeight="1" x14ac:dyDescent="0.2">
      <c r="A566" s="1" t="s">
        <v>387</v>
      </c>
      <c r="B566" s="415" t="s">
        <v>1</v>
      </c>
      <c r="C566" s="87"/>
      <c r="D566" s="71" t="s">
        <v>56</v>
      </c>
      <c r="E566" s="71" t="str">
        <f>E6</f>
        <v>REFORMA</v>
      </c>
      <c r="F566" s="71" t="s">
        <v>56</v>
      </c>
      <c r="G566" s="88" t="str">
        <f>$G$6</f>
        <v>TOTAL 2024</v>
      </c>
      <c r="H566" s="72" t="s">
        <v>285</v>
      </c>
      <c r="I566" s="72"/>
      <c r="J566" s="72"/>
      <c r="K566" s="72"/>
      <c r="L566" s="72"/>
    </row>
    <row r="567" spans="1:12" ht="15" customHeight="1" x14ac:dyDescent="0.2">
      <c r="A567" s="1" t="s">
        <v>387</v>
      </c>
      <c r="B567" s="416"/>
      <c r="C567" s="72" t="s">
        <v>0</v>
      </c>
      <c r="D567" s="71" t="s">
        <v>139</v>
      </c>
      <c r="E567" s="71"/>
      <c r="F567" s="71" t="s">
        <v>140</v>
      </c>
      <c r="G567" s="71"/>
      <c r="H567" s="72" t="s">
        <v>286</v>
      </c>
      <c r="I567" s="72" t="s">
        <v>290</v>
      </c>
      <c r="J567" s="72" t="s">
        <v>291</v>
      </c>
      <c r="K567" s="72" t="s">
        <v>293</v>
      </c>
      <c r="L567" s="72" t="s">
        <v>292</v>
      </c>
    </row>
    <row r="568" spans="1:12" ht="15" customHeight="1" x14ac:dyDescent="0.2">
      <c r="A568" s="1">
        <v>42</v>
      </c>
      <c r="B568" s="61">
        <v>51101</v>
      </c>
      <c r="C568" s="62" t="s">
        <v>15</v>
      </c>
      <c r="D568" s="74"/>
      <c r="E568" s="74"/>
      <c r="F568" s="76">
        <f>+EGRESOS!G1442</f>
        <v>293880</v>
      </c>
      <c r="G568" s="76">
        <f t="shared" ref="G568:G597" si="3">D568+E568+F568</f>
        <v>293880</v>
      </c>
      <c r="H568" s="30"/>
      <c r="I568" s="30"/>
      <c r="J568" s="30"/>
      <c r="K568" s="30"/>
      <c r="L568" s="30"/>
    </row>
    <row r="569" spans="1:12" ht="15" customHeight="1" x14ac:dyDescent="0.2">
      <c r="A569" s="1">
        <v>42</v>
      </c>
      <c r="B569" s="61">
        <v>51103</v>
      </c>
      <c r="C569" s="62" t="s">
        <v>16</v>
      </c>
      <c r="D569" s="74"/>
      <c r="E569" s="74"/>
      <c r="F569" s="76">
        <f>+EGRESOS!G1443</f>
        <v>24490</v>
      </c>
      <c r="G569" s="76">
        <f t="shared" si="3"/>
        <v>24490</v>
      </c>
      <c r="H569" s="30"/>
      <c r="I569" s="30"/>
      <c r="J569" s="30"/>
      <c r="K569" s="30"/>
      <c r="L569" s="30"/>
    </row>
    <row r="570" spans="1:12" ht="15" customHeight="1" x14ac:dyDescent="0.2">
      <c r="A570" s="1">
        <v>42</v>
      </c>
      <c r="B570" s="61">
        <v>51107</v>
      </c>
      <c r="C570" s="62" t="s">
        <v>34</v>
      </c>
      <c r="D570" s="74"/>
      <c r="E570" s="74"/>
      <c r="F570" s="76">
        <f>+EGRESOS!G1444</f>
        <v>12800</v>
      </c>
      <c r="G570" s="76">
        <f t="shared" si="3"/>
        <v>12800</v>
      </c>
      <c r="H570" s="30"/>
      <c r="I570" s="30">
        <f>95.1+61.65+46.5</f>
        <v>203.25</v>
      </c>
      <c r="J570" s="30">
        <f>48.6+46.5+46.5+48.75+46.5+48.75</f>
        <v>285.60000000000002</v>
      </c>
      <c r="K570" s="30"/>
      <c r="L570" s="30"/>
    </row>
    <row r="571" spans="1:12" ht="15" customHeight="1" x14ac:dyDescent="0.2">
      <c r="A571" s="1">
        <v>42</v>
      </c>
      <c r="B571" s="61">
        <v>51201</v>
      </c>
      <c r="C571" s="62" t="s">
        <v>458</v>
      </c>
      <c r="D571" s="74"/>
      <c r="E571" s="74"/>
      <c r="F571" s="76">
        <f>+EGRESOS!G1445</f>
        <v>0</v>
      </c>
      <c r="G571" s="76">
        <f t="shared" si="3"/>
        <v>0</v>
      </c>
      <c r="H571" s="30"/>
      <c r="I571" s="30"/>
      <c r="J571" s="30"/>
      <c r="K571" s="30"/>
      <c r="L571" s="30"/>
    </row>
    <row r="572" spans="1:12" ht="15" customHeight="1" x14ac:dyDescent="0.2">
      <c r="A572" s="1">
        <v>42</v>
      </c>
      <c r="B572" s="61">
        <v>51401</v>
      </c>
      <c r="C572" s="62" t="s">
        <v>47</v>
      </c>
      <c r="D572" s="74"/>
      <c r="E572" s="74"/>
      <c r="F572" s="76">
        <f>+EGRESOS!G1446</f>
        <v>24072.300000000003</v>
      </c>
      <c r="G572" s="76">
        <f t="shared" si="3"/>
        <v>24072.300000000003</v>
      </c>
      <c r="H572" s="30"/>
      <c r="I572" s="30"/>
      <c r="J572" s="30"/>
      <c r="K572" s="30"/>
      <c r="L572" s="30"/>
    </row>
    <row r="573" spans="1:12" ht="15" customHeight="1" x14ac:dyDescent="0.2">
      <c r="A573" s="1">
        <v>42</v>
      </c>
      <c r="B573" s="61">
        <v>51501</v>
      </c>
      <c r="C573" s="62" t="s">
        <v>29</v>
      </c>
      <c r="D573" s="74"/>
      <c r="E573" s="74"/>
      <c r="F573" s="76">
        <f>+EGRESOS!G1447</f>
        <v>18453.75</v>
      </c>
      <c r="G573" s="76">
        <f t="shared" si="3"/>
        <v>18453.75</v>
      </c>
      <c r="H573" s="30"/>
      <c r="I573" s="30"/>
      <c r="J573" s="30">
        <v>10</v>
      </c>
      <c r="K573" s="30"/>
      <c r="L573" s="30"/>
    </row>
    <row r="574" spans="1:12" ht="15" customHeight="1" x14ac:dyDescent="0.2">
      <c r="A574" s="1">
        <v>42</v>
      </c>
      <c r="B574" s="61">
        <v>54101</v>
      </c>
      <c r="C574" s="62" t="s">
        <v>38</v>
      </c>
      <c r="D574" s="74"/>
      <c r="E574" s="74"/>
      <c r="F574" s="76">
        <f>+EGRESOS!G1448</f>
        <v>0</v>
      </c>
      <c r="G574" s="76">
        <f t="shared" si="3"/>
        <v>0</v>
      </c>
      <c r="H574" s="30"/>
      <c r="I574" s="30"/>
      <c r="J574" s="30"/>
      <c r="K574" s="30"/>
      <c r="L574" s="30"/>
    </row>
    <row r="575" spans="1:12" ht="15" customHeight="1" x14ac:dyDescent="0.2">
      <c r="A575" s="1">
        <v>42</v>
      </c>
      <c r="B575" s="61">
        <v>54104</v>
      </c>
      <c r="C575" s="62" t="s">
        <v>17</v>
      </c>
      <c r="D575" s="74"/>
      <c r="E575" s="74"/>
      <c r="F575" s="76">
        <f>+EGRESOS!G1449</f>
        <v>5000</v>
      </c>
      <c r="G575" s="76">
        <f t="shared" si="3"/>
        <v>5000</v>
      </c>
      <c r="H575" s="30"/>
      <c r="I575" s="30"/>
      <c r="J575" s="30">
        <v>85.1</v>
      </c>
      <c r="K575" s="30"/>
      <c r="L575" s="30"/>
    </row>
    <row r="576" spans="1:12" ht="15" customHeight="1" x14ac:dyDescent="0.2">
      <c r="A576" s="1">
        <v>42</v>
      </c>
      <c r="B576" s="61">
        <v>54105</v>
      </c>
      <c r="C576" s="62" t="s">
        <v>131</v>
      </c>
      <c r="D576" s="74"/>
      <c r="E576" s="74"/>
      <c r="F576" s="76">
        <f>+EGRESOS!G1450</f>
        <v>0</v>
      </c>
      <c r="G576" s="76">
        <f t="shared" si="3"/>
        <v>0</v>
      </c>
      <c r="H576" s="30"/>
      <c r="I576" s="30"/>
      <c r="J576" s="30"/>
      <c r="K576" s="30"/>
      <c r="L576" s="30"/>
    </row>
    <row r="577" spans="1:12" ht="15" customHeight="1" x14ac:dyDescent="0.2">
      <c r="A577" s="1">
        <v>42</v>
      </c>
      <c r="B577" s="61">
        <v>54106</v>
      </c>
      <c r="C577" s="62" t="s">
        <v>18</v>
      </c>
      <c r="D577" s="74"/>
      <c r="E577" s="74"/>
      <c r="F577" s="76">
        <f>+EGRESOS!G1451</f>
        <v>300</v>
      </c>
      <c r="G577" s="76">
        <f t="shared" si="3"/>
        <v>300</v>
      </c>
      <c r="H577" s="30"/>
      <c r="I577" s="30"/>
      <c r="J577" s="30">
        <v>7</v>
      </c>
      <c r="K577" s="30"/>
      <c r="L577" s="30"/>
    </row>
    <row r="578" spans="1:12" ht="15" customHeight="1" x14ac:dyDescent="0.2">
      <c r="A578" s="1">
        <v>42</v>
      </c>
      <c r="B578" s="61">
        <v>54107</v>
      </c>
      <c r="C578" s="62" t="s">
        <v>43</v>
      </c>
      <c r="D578" s="74"/>
      <c r="E578" s="74"/>
      <c r="F578" s="76">
        <f>+EGRESOS!G1452</f>
        <v>250</v>
      </c>
      <c r="G578" s="76">
        <f t="shared" si="3"/>
        <v>250</v>
      </c>
      <c r="H578" s="30"/>
      <c r="I578" s="30"/>
      <c r="J578" s="30"/>
      <c r="K578" s="30"/>
      <c r="L578" s="30"/>
    </row>
    <row r="579" spans="1:12" ht="15" customHeight="1" x14ac:dyDescent="0.2">
      <c r="A579" s="1">
        <v>42</v>
      </c>
      <c r="B579" s="61">
        <v>54108</v>
      </c>
      <c r="C579" s="62" t="s">
        <v>524</v>
      </c>
      <c r="D579" s="74"/>
      <c r="E579" s="74"/>
      <c r="F579" s="76">
        <f>+EGRESOS!G1453</f>
        <v>100</v>
      </c>
      <c r="G579" s="76">
        <f t="shared" si="3"/>
        <v>100</v>
      </c>
      <c r="H579" s="30"/>
      <c r="I579" s="30"/>
      <c r="J579" s="30"/>
      <c r="K579" s="30"/>
      <c r="L579" s="30"/>
    </row>
    <row r="580" spans="1:12" ht="15" customHeight="1" x14ac:dyDescent="0.2">
      <c r="A580" s="1">
        <v>42</v>
      </c>
      <c r="B580" s="61">
        <v>54109</v>
      </c>
      <c r="C580" s="62" t="s">
        <v>146</v>
      </c>
      <c r="D580" s="74"/>
      <c r="E580" s="74"/>
      <c r="F580" s="76">
        <f>+EGRESOS!G1454</f>
        <v>700</v>
      </c>
      <c r="G580" s="76">
        <f t="shared" si="3"/>
        <v>700</v>
      </c>
      <c r="H580" s="30"/>
      <c r="I580" s="30"/>
      <c r="J580" s="30"/>
      <c r="K580" s="30"/>
      <c r="L580" s="30"/>
    </row>
    <row r="581" spans="1:12" ht="15" customHeight="1" x14ac:dyDescent="0.2">
      <c r="A581" s="1">
        <v>42</v>
      </c>
      <c r="B581" s="61">
        <v>54110</v>
      </c>
      <c r="C581" s="62" t="s">
        <v>147</v>
      </c>
      <c r="D581" s="74"/>
      <c r="E581" s="74"/>
      <c r="F581" s="76">
        <f>+EGRESOS!G1455</f>
        <v>300</v>
      </c>
      <c r="G581" s="76">
        <f t="shared" si="3"/>
        <v>300</v>
      </c>
      <c r="H581" s="30"/>
      <c r="I581" s="30"/>
      <c r="J581" s="30">
        <f>254.6+3.6</f>
        <v>258.2</v>
      </c>
      <c r="K581" s="30"/>
      <c r="L581" s="30"/>
    </row>
    <row r="582" spans="1:12" ht="15" customHeight="1" x14ac:dyDescent="0.2">
      <c r="A582" s="1">
        <v>42</v>
      </c>
      <c r="B582" s="61">
        <v>54111</v>
      </c>
      <c r="C582" s="62" t="s">
        <v>162</v>
      </c>
      <c r="D582" s="74"/>
      <c r="E582" s="74"/>
      <c r="F582" s="76">
        <f>+EGRESOS!G1456</f>
        <v>500</v>
      </c>
      <c r="G582" s="76">
        <f t="shared" si="3"/>
        <v>500</v>
      </c>
      <c r="H582" s="30"/>
      <c r="I582" s="30"/>
      <c r="J582" s="30"/>
      <c r="K582" s="30"/>
      <c r="L582" s="30"/>
    </row>
    <row r="583" spans="1:12" ht="15" customHeight="1" x14ac:dyDescent="0.2">
      <c r="A583" s="1">
        <v>42</v>
      </c>
      <c r="B583" s="61">
        <v>54112</v>
      </c>
      <c r="C583" s="62" t="s">
        <v>42</v>
      </c>
      <c r="D583" s="74"/>
      <c r="E583" s="74"/>
      <c r="F583" s="76">
        <f>+EGRESOS!G1457</f>
        <v>3000</v>
      </c>
      <c r="G583" s="76">
        <f t="shared" si="3"/>
        <v>3000</v>
      </c>
      <c r="H583" s="30"/>
      <c r="I583" s="30"/>
      <c r="J583" s="30"/>
      <c r="K583" s="30"/>
      <c r="L583" s="30"/>
    </row>
    <row r="584" spans="1:12" ht="15" customHeight="1" x14ac:dyDescent="0.2">
      <c r="A584" s="1">
        <v>42</v>
      </c>
      <c r="B584" s="61">
        <v>54114</v>
      </c>
      <c r="C584" s="62" t="s">
        <v>5</v>
      </c>
      <c r="D584" s="74"/>
      <c r="E584" s="74"/>
      <c r="F584" s="76">
        <f>+EGRESOS!G1458</f>
        <v>400</v>
      </c>
      <c r="G584" s="76">
        <f t="shared" si="3"/>
        <v>400</v>
      </c>
      <c r="H584" s="30"/>
      <c r="I584" s="30"/>
      <c r="J584" s="30"/>
      <c r="K584" s="30"/>
      <c r="L584" s="30"/>
    </row>
    <row r="585" spans="1:12" ht="15" customHeight="1" x14ac:dyDescent="0.2">
      <c r="A585" s="1">
        <v>42</v>
      </c>
      <c r="B585" s="61">
        <v>54115</v>
      </c>
      <c r="C585" s="62" t="s">
        <v>49</v>
      </c>
      <c r="D585" s="74"/>
      <c r="E585" s="74"/>
      <c r="F585" s="76">
        <f>+EGRESOS!G1459</f>
        <v>1000</v>
      </c>
      <c r="G585" s="76">
        <f t="shared" si="3"/>
        <v>1000</v>
      </c>
      <c r="H585" s="30"/>
      <c r="I585" s="30"/>
      <c r="J585" s="30"/>
      <c r="K585" s="30"/>
      <c r="L585" s="30"/>
    </row>
    <row r="586" spans="1:12" ht="15" customHeight="1" x14ac:dyDescent="0.2">
      <c r="A586" s="1">
        <v>42</v>
      </c>
      <c r="B586" s="61">
        <v>54117</v>
      </c>
      <c r="C586" s="62" t="s">
        <v>186</v>
      </c>
      <c r="D586" s="74"/>
      <c r="E586" s="74"/>
      <c r="F586" s="76">
        <f>+EGRESOS!G1460</f>
        <v>8000</v>
      </c>
      <c r="G586" s="76">
        <f t="shared" si="3"/>
        <v>8000</v>
      </c>
      <c r="H586" s="30"/>
      <c r="I586" s="30"/>
      <c r="J586" s="30"/>
      <c r="K586" s="30"/>
      <c r="L586" s="30"/>
    </row>
    <row r="587" spans="1:12" ht="15" customHeight="1" x14ac:dyDescent="0.2">
      <c r="A587" s="1">
        <v>42</v>
      </c>
      <c r="B587" s="61">
        <v>54118</v>
      </c>
      <c r="C587" s="62" t="s">
        <v>35</v>
      </c>
      <c r="D587" s="74"/>
      <c r="E587" s="74"/>
      <c r="F587" s="76">
        <f>+EGRESOS!G1461</f>
        <v>400</v>
      </c>
      <c r="G587" s="76">
        <f t="shared" si="3"/>
        <v>400</v>
      </c>
      <c r="H587" s="30"/>
      <c r="I587" s="30"/>
      <c r="J587" s="30"/>
      <c r="K587" s="30"/>
      <c r="L587" s="30"/>
    </row>
    <row r="588" spans="1:12" ht="15" customHeight="1" x14ac:dyDescent="0.2">
      <c r="A588" s="1">
        <v>42</v>
      </c>
      <c r="B588" s="61">
        <v>54119</v>
      </c>
      <c r="C588" s="62" t="s">
        <v>44</v>
      </c>
      <c r="D588" s="74"/>
      <c r="E588" s="74"/>
      <c r="F588" s="76">
        <f>+EGRESOS!G1462</f>
        <v>300</v>
      </c>
      <c r="G588" s="76">
        <f t="shared" si="3"/>
        <v>300</v>
      </c>
      <c r="H588" s="30"/>
      <c r="I588" s="30"/>
      <c r="J588" s="30"/>
      <c r="K588" s="30"/>
      <c r="L588" s="30"/>
    </row>
    <row r="589" spans="1:12" ht="15" customHeight="1" x14ac:dyDescent="0.2">
      <c r="A589" s="1">
        <v>42</v>
      </c>
      <c r="B589" s="61">
        <v>54199</v>
      </c>
      <c r="C589" s="62" t="s">
        <v>26</v>
      </c>
      <c r="D589" s="74"/>
      <c r="E589" s="74"/>
      <c r="F589" s="76">
        <f>+EGRESOS!G1463</f>
        <v>300</v>
      </c>
      <c r="G589" s="76">
        <f t="shared" si="3"/>
        <v>300</v>
      </c>
      <c r="H589" s="30"/>
      <c r="I589" s="30"/>
      <c r="J589" s="30"/>
      <c r="K589" s="30"/>
      <c r="L589" s="30"/>
    </row>
    <row r="590" spans="1:12" ht="15" customHeight="1" x14ac:dyDescent="0.2">
      <c r="A590" s="1">
        <v>42</v>
      </c>
      <c r="B590" s="61">
        <v>54203</v>
      </c>
      <c r="C590" s="62" t="s">
        <v>7</v>
      </c>
      <c r="D590" s="76">
        <f>+EGRESOS!E1464</f>
        <v>0</v>
      </c>
      <c r="E590" s="76">
        <f>+EGRESOS!F1464</f>
        <v>0</v>
      </c>
      <c r="F590" s="76">
        <f>+EGRESOS!G1464</f>
        <v>0</v>
      </c>
      <c r="G590" s="76">
        <f t="shared" si="3"/>
        <v>0</v>
      </c>
      <c r="H590" s="30">
        <f>43.44+31.91+31.13</f>
        <v>106.47999999999999</v>
      </c>
      <c r="I590" s="30">
        <f>53.69+52.9+28.17</f>
        <v>134.76</v>
      </c>
      <c r="J590" s="30"/>
      <c r="K590" s="30"/>
      <c r="L590" s="30"/>
    </row>
    <row r="591" spans="1:12" ht="15" customHeight="1" x14ac:dyDescent="0.2">
      <c r="A591" s="1">
        <v>42</v>
      </c>
      <c r="B591" s="61">
        <v>54301</v>
      </c>
      <c r="C591" s="62" t="s">
        <v>8</v>
      </c>
      <c r="D591" s="76"/>
      <c r="E591" s="76"/>
      <c r="F591" s="76">
        <f>+EGRESOS!G1465</f>
        <v>0</v>
      </c>
      <c r="G591" s="76">
        <f t="shared" si="3"/>
        <v>0</v>
      </c>
      <c r="H591" s="30"/>
      <c r="I591" s="30"/>
      <c r="J591" s="30"/>
      <c r="K591" s="30"/>
      <c r="L591" s="30"/>
    </row>
    <row r="592" spans="1:12" ht="15" customHeight="1" x14ac:dyDescent="0.2">
      <c r="A592" s="1">
        <v>42</v>
      </c>
      <c r="B592" s="61">
        <v>54302</v>
      </c>
      <c r="C592" s="62" t="s">
        <v>22</v>
      </c>
      <c r="D592" s="76"/>
      <c r="E592" s="76"/>
      <c r="F592" s="76">
        <f>+EGRESOS!G1466</f>
        <v>0</v>
      </c>
      <c r="G592" s="76">
        <f t="shared" si="3"/>
        <v>0</v>
      </c>
      <c r="H592" s="30"/>
      <c r="I592" s="30"/>
      <c r="J592" s="30"/>
      <c r="K592" s="30"/>
      <c r="L592" s="30"/>
    </row>
    <row r="593" spans="1:15" ht="15" customHeight="1" x14ac:dyDescent="0.2">
      <c r="A593" s="1">
        <v>42</v>
      </c>
      <c r="B593" s="61">
        <v>54316</v>
      </c>
      <c r="C593" s="62" t="s">
        <v>45</v>
      </c>
      <c r="D593" s="76"/>
      <c r="E593" s="76"/>
      <c r="F593" s="76">
        <f>+EGRESOS!G1467</f>
        <v>0</v>
      </c>
      <c r="G593" s="76">
        <f t="shared" si="3"/>
        <v>0</v>
      </c>
      <c r="H593" s="30"/>
      <c r="I593" s="30"/>
      <c r="J593" s="30"/>
      <c r="K593" s="30"/>
      <c r="L593" s="30"/>
    </row>
    <row r="594" spans="1:15" ht="15" customHeight="1" x14ac:dyDescent="0.2">
      <c r="A594" s="1">
        <v>42</v>
      </c>
      <c r="B594" s="61">
        <v>61101</v>
      </c>
      <c r="C594" s="62" t="s">
        <v>144</v>
      </c>
      <c r="D594" s="76"/>
      <c r="E594" s="76"/>
      <c r="F594" s="76">
        <f>+EGRESOS!G1468</f>
        <v>200</v>
      </c>
      <c r="G594" s="76">
        <f t="shared" si="3"/>
        <v>200</v>
      </c>
      <c r="H594" s="30"/>
      <c r="I594" s="30"/>
      <c r="J594" s="30"/>
      <c r="K594" s="30"/>
      <c r="L594" s="30"/>
    </row>
    <row r="595" spans="1:15" ht="15" customHeight="1" x14ac:dyDescent="0.2">
      <c r="A595" s="1">
        <v>42</v>
      </c>
      <c r="B595" s="61">
        <v>61102</v>
      </c>
      <c r="C595" s="62" t="s">
        <v>28</v>
      </c>
      <c r="D595" s="76"/>
      <c r="E595" s="76"/>
      <c r="F595" s="76">
        <f>+EGRESOS!G1469</f>
        <v>1200</v>
      </c>
      <c r="G595" s="76">
        <f t="shared" si="3"/>
        <v>1200</v>
      </c>
      <c r="H595" s="30"/>
      <c r="I595" s="30"/>
      <c r="J595" s="30"/>
      <c r="K595" s="30"/>
      <c r="L595" s="30"/>
    </row>
    <row r="596" spans="1:15" ht="15" customHeight="1" x14ac:dyDescent="0.2">
      <c r="A596" s="1">
        <v>42</v>
      </c>
      <c r="B596" s="61">
        <v>61104</v>
      </c>
      <c r="C596" s="62" t="s">
        <v>46</v>
      </c>
      <c r="D596" s="76"/>
      <c r="E596" s="76"/>
      <c r="F596" s="76">
        <f>+EGRESOS!G1470</f>
        <v>300</v>
      </c>
      <c r="G596" s="76">
        <f t="shared" si="3"/>
        <v>300</v>
      </c>
      <c r="H596" s="30"/>
      <c r="I596" s="30"/>
      <c r="J596" s="30"/>
      <c r="K596" s="30"/>
      <c r="L596" s="30"/>
    </row>
    <row r="597" spans="1:15" ht="15" customHeight="1" x14ac:dyDescent="0.2">
      <c r="A597" s="1">
        <v>42</v>
      </c>
      <c r="B597" s="61">
        <v>61105</v>
      </c>
      <c r="C597" s="62" t="s">
        <v>389</v>
      </c>
      <c r="D597" s="76"/>
      <c r="E597" s="76"/>
      <c r="F597" s="76">
        <f>+EGRESOS!G1471</f>
        <v>0</v>
      </c>
      <c r="G597" s="76">
        <f t="shared" si="3"/>
        <v>0</v>
      </c>
      <c r="H597" s="30"/>
      <c r="I597" s="30"/>
      <c r="J597" s="30"/>
      <c r="K597" s="30"/>
      <c r="L597" s="30"/>
    </row>
    <row r="598" spans="1:15" ht="15" customHeight="1" x14ac:dyDescent="0.2">
      <c r="A598" s="1" t="s">
        <v>387</v>
      </c>
      <c r="B598" s="89"/>
      <c r="C598" s="89" t="s">
        <v>14</v>
      </c>
      <c r="D598" s="82">
        <f>SUM(D568:D593)</f>
        <v>0</v>
      </c>
      <c r="E598" s="98">
        <f>SUM(E568:E593)</f>
        <v>0</v>
      </c>
      <c r="F598" s="98">
        <f>SUM(F568:F597)</f>
        <v>395946.05</v>
      </c>
      <c r="G598" s="98">
        <f>SUM(G568:G597)</f>
        <v>395946.05</v>
      </c>
      <c r="H598" s="30"/>
      <c r="I598" s="30"/>
      <c r="J598" s="30"/>
      <c r="K598" s="30"/>
      <c r="L598" s="30"/>
      <c r="N598" s="2"/>
      <c r="O598" s="2"/>
    </row>
    <row r="599" spans="1:15" ht="15" customHeight="1" x14ac:dyDescent="0.2">
      <c r="A599" s="1" t="s">
        <v>387</v>
      </c>
      <c r="B599" s="7"/>
      <c r="C599" s="7"/>
      <c r="D599" s="85"/>
      <c r="E599" s="85"/>
      <c r="F599" s="86"/>
      <c r="G599" s="86"/>
    </row>
    <row r="600" spans="1:15" ht="15" customHeight="1" x14ac:dyDescent="0.2">
      <c r="A600" s="1" t="s">
        <v>387</v>
      </c>
      <c r="B600" s="7"/>
      <c r="C600" s="7"/>
      <c r="D600" s="85"/>
      <c r="E600" s="85"/>
      <c r="F600" s="86"/>
      <c r="G600" s="86"/>
    </row>
    <row r="601" spans="1:15" ht="15" customHeight="1" x14ac:dyDescent="0.2">
      <c r="A601" s="1" t="s">
        <v>387</v>
      </c>
      <c r="B601" s="7"/>
      <c r="D601" s="125"/>
      <c r="E601" s="125"/>
      <c r="F601" s="126"/>
      <c r="G601" s="126"/>
    </row>
    <row r="602" spans="1:15" ht="15" customHeight="1" x14ac:dyDescent="0.2">
      <c r="A602" s="1" t="s">
        <v>387</v>
      </c>
      <c r="B602" s="404" t="s">
        <v>119</v>
      </c>
      <c r="C602" s="404"/>
      <c r="D602" s="404"/>
      <c r="E602" s="404"/>
      <c r="F602" s="404"/>
      <c r="G602" s="404"/>
    </row>
    <row r="603" spans="1:15" ht="15" customHeight="1" x14ac:dyDescent="0.2">
      <c r="A603" s="1" t="s">
        <v>387</v>
      </c>
      <c r="B603" s="414" t="str">
        <f>+B3</f>
        <v>PRESUPUESTO AÑO 2024</v>
      </c>
      <c r="C603" s="414"/>
      <c r="D603" s="414"/>
      <c r="E603" s="414"/>
      <c r="F603" s="414"/>
      <c r="G603" s="414"/>
    </row>
    <row r="604" spans="1:15" ht="15" customHeight="1" x14ac:dyDescent="0.2">
      <c r="A604" s="1" t="s">
        <v>387</v>
      </c>
      <c r="B604" s="414" t="str">
        <f>B2</f>
        <v>PRESUPUESTO EXTRA CONTABLE</v>
      </c>
      <c r="C604" s="414"/>
      <c r="D604" s="414"/>
      <c r="E604" s="414"/>
      <c r="F604" s="414"/>
      <c r="G604" s="414"/>
    </row>
    <row r="605" spans="1:15" ht="15" customHeight="1" x14ac:dyDescent="0.2">
      <c r="A605" s="1" t="s">
        <v>387</v>
      </c>
      <c r="B605" s="404" t="s">
        <v>117</v>
      </c>
      <c r="C605" s="404"/>
      <c r="D605" s="404"/>
      <c r="E605" s="404"/>
      <c r="F605" s="404"/>
      <c r="G605" s="404"/>
    </row>
    <row r="606" spans="1:15" ht="15" customHeight="1" x14ac:dyDescent="0.2">
      <c r="A606" s="1" t="s">
        <v>387</v>
      </c>
      <c r="B606" s="404" t="s">
        <v>373</v>
      </c>
      <c r="C606" s="404"/>
      <c r="D606" s="404"/>
      <c r="E606" s="404"/>
      <c r="F606" s="404"/>
      <c r="G606" s="404"/>
    </row>
    <row r="607" spans="1:15" ht="15" customHeight="1" x14ac:dyDescent="0.2">
      <c r="A607" s="1" t="s">
        <v>387</v>
      </c>
      <c r="B607" s="415" t="s">
        <v>1</v>
      </c>
      <c r="C607" s="87"/>
      <c r="D607" s="71" t="s">
        <v>56</v>
      </c>
      <c r="E607" s="71" t="str">
        <f>E6</f>
        <v>REFORMA</v>
      </c>
      <c r="F607" s="71" t="s">
        <v>56</v>
      </c>
      <c r="G607" s="88" t="str">
        <f>$G$6</f>
        <v>TOTAL 2024</v>
      </c>
      <c r="H607" s="72" t="s">
        <v>285</v>
      </c>
      <c r="I607" s="72"/>
      <c r="J607" s="72"/>
      <c r="K607" s="72"/>
      <c r="L607" s="72"/>
    </row>
    <row r="608" spans="1:15" ht="15" customHeight="1" x14ac:dyDescent="0.2">
      <c r="A608" s="1" t="s">
        <v>387</v>
      </c>
      <c r="B608" s="416"/>
      <c r="C608" s="72" t="s">
        <v>0</v>
      </c>
      <c r="D608" s="71" t="s">
        <v>139</v>
      </c>
      <c r="E608" s="71"/>
      <c r="F608" s="71" t="s">
        <v>140</v>
      </c>
      <c r="G608" s="71"/>
      <c r="H608" s="72" t="s">
        <v>286</v>
      </c>
      <c r="I608" s="72" t="s">
        <v>290</v>
      </c>
      <c r="J608" s="72" t="s">
        <v>291</v>
      </c>
      <c r="K608" s="72" t="s">
        <v>293</v>
      </c>
      <c r="L608" s="72" t="s">
        <v>292</v>
      </c>
    </row>
    <row r="609" spans="1:12" ht="15" customHeight="1" x14ac:dyDescent="0.2">
      <c r="A609" s="1">
        <v>50</v>
      </c>
      <c r="B609" s="61">
        <v>51101</v>
      </c>
      <c r="C609" s="73" t="s">
        <v>15</v>
      </c>
      <c r="D609" s="74"/>
      <c r="E609" s="74"/>
      <c r="F609" s="76">
        <f>+EGRESOS!G1601</f>
        <v>19200</v>
      </c>
      <c r="G609" s="76">
        <f>+EGRESOS!H1601</f>
        <v>19200</v>
      </c>
      <c r="H609" s="30">
        <f>360</f>
        <v>360</v>
      </c>
      <c r="I609" s="30">
        <f>355.03</f>
        <v>355.03</v>
      </c>
      <c r="J609" s="30"/>
      <c r="K609" s="30"/>
      <c r="L609" s="30"/>
    </row>
    <row r="610" spans="1:12" ht="15" customHeight="1" x14ac:dyDescent="0.2">
      <c r="A610" s="1">
        <v>50</v>
      </c>
      <c r="B610" s="61">
        <v>51103</v>
      </c>
      <c r="C610" s="73" t="s">
        <v>16</v>
      </c>
      <c r="D610" s="74"/>
      <c r="E610" s="74"/>
      <c r="F610" s="76">
        <f>+EGRESOS!G1602</f>
        <v>1600</v>
      </c>
      <c r="G610" s="76">
        <f>+EGRESOS!H1602</f>
        <v>1600</v>
      </c>
      <c r="H610" s="30"/>
      <c r="I610" s="30"/>
      <c r="J610" s="30"/>
      <c r="K610" s="30"/>
      <c r="L610" s="30"/>
    </row>
    <row r="611" spans="1:12" ht="15" customHeight="1" x14ac:dyDescent="0.2">
      <c r="A611" s="1">
        <v>50</v>
      </c>
      <c r="B611" s="61">
        <v>51107</v>
      </c>
      <c r="C611" s="73" t="s">
        <v>34</v>
      </c>
      <c r="D611" s="74"/>
      <c r="E611" s="74"/>
      <c r="F611" s="76">
        <f>+EGRESOS!G1603</f>
        <v>600</v>
      </c>
      <c r="G611" s="76">
        <f>+EGRESOS!H1603</f>
        <v>600</v>
      </c>
      <c r="H611" s="30"/>
      <c r="I611" s="30"/>
      <c r="J611" s="30"/>
      <c r="K611" s="30"/>
      <c r="L611" s="30"/>
    </row>
    <row r="612" spans="1:12" ht="15" customHeight="1" x14ac:dyDescent="0.2">
      <c r="A612" s="1">
        <v>50</v>
      </c>
      <c r="B612" s="61">
        <v>51401</v>
      </c>
      <c r="C612" s="62" t="s">
        <v>47</v>
      </c>
      <c r="D612" s="74"/>
      <c r="E612" s="74"/>
      <c r="F612" s="76">
        <f>+EGRESOS!G1604</f>
        <v>1632.0000000000002</v>
      </c>
      <c r="G612" s="76">
        <f>+EGRESOS!H1604</f>
        <v>1632.0000000000002</v>
      </c>
      <c r="H612" s="30"/>
      <c r="I612" s="30"/>
      <c r="J612" s="30"/>
      <c r="K612" s="30"/>
      <c r="L612" s="30"/>
    </row>
    <row r="613" spans="1:12" ht="15" customHeight="1" x14ac:dyDescent="0.2">
      <c r="A613" s="1">
        <v>50</v>
      </c>
      <c r="B613" s="61">
        <v>51501</v>
      </c>
      <c r="C613" s="62" t="s">
        <v>29</v>
      </c>
      <c r="D613" s="74"/>
      <c r="E613" s="74"/>
      <c r="F613" s="76">
        <f>+EGRESOS!G1605</f>
        <v>1680</v>
      </c>
      <c r="G613" s="76">
        <f>+EGRESOS!H1605</f>
        <v>1680</v>
      </c>
      <c r="H613" s="30"/>
      <c r="I613" s="30"/>
      <c r="J613" s="30"/>
      <c r="K613" s="30"/>
      <c r="L613" s="30"/>
    </row>
    <row r="614" spans="1:12" ht="15" customHeight="1" x14ac:dyDescent="0.2">
      <c r="A614" s="1">
        <v>50</v>
      </c>
      <c r="B614" s="61" t="s">
        <v>777</v>
      </c>
      <c r="C614" s="62" t="s">
        <v>778</v>
      </c>
      <c r="D614" s="74"/>
      <c r="E614" s="74"/>
      <c r="F614" s="76">
        <f>+EGRESOS!G1606</f>
        <v>1020</v>
      </c>
      <c r="G614" s="76">
        <f>+EGRESOS!H1606</f>
        <v>1020</v>
      </c>
      <c r="H614" s="30"/>
      <c r="I614" s="30"/>
      <c r="J614" s="30"/>
      <c r="K614" s="30"/>
      <c r="L614" s="30"/>
    </row>
    <row r="615" spans="1:12" ht="15" customHeight="1" x14ac:dyDescent="0.2">
      <c r="A615" s="1">
        <v>50</v>
      </c>
      <c r="B615" s="61" t="s">
        <v>779</v>
      </c>
      <c r="C615" s="62" t="s">
        <v>780</v>
      </c>
      <c r="D615" s="74"/>
      <c r="E615" s="74"/>
      <c r="F615" s="76">
        <f>+EGRESOS!G1607</f>
        <v>1380</v>
      </c>
      <c r="G615" s="76">
        <f>+EGRESOS!H1607</f>
        <v>1380</v>
      </c>
      <c r="H615" s="30"/>
      <c r="I615" s="30"/>
      <c r="J615" s="30">
        <v>55.15</v>
      </c>
      <c r="K615" s="30"/>
      <c r="L615" s="30"/>
    </row>
    <row r="616" spans="1:12" ht="15" customHeight="1" x14ac:dyDescent="0.2">
      <c r="A616" s="1">
        <v>50</v>
      </c>
      <c r="B616" s="61">
        <v>54104</v>
      </c>
      <c r="C616" s="73" t="s">
        <v>17</v>
      </c>
      <c r="D616" s="74"/>
      <c r="E616" s="74"/>
      <c r="F616" s="76">
        <f>+EGRESOS!G1608</f>
        <v>4690</v>
      </c>
      <c r="G616" s="76">
        <f>+EGRESOS!H1608</f>
        <v>4690</v>
      </c>
      <c r="H616" s="30"/>
      <c r="I616" s="30"/>
      <c r="J616" s="30"/>
      <c r="K616" s="30"/>
      <c r="L616" s="30"/>
    </row>
    <row r="617" spans="1:12" ht="15" customHeight="1" x14ac:dyDescent="0.2">
      <c r="A617" s="1">
        <v>50</v>
      </c>
      <c r="B617" s="61">
        <v>54105</v>
      </c>
      <c r="C617" s="73" t="s">
        <v>3</v>
      </c>
      <c r="D617" s="74"/>
      <c r="E617" s="74"/>
      <c r="F617" s="76">
        <f>+EGRESOS!G1609</f>
        <v>4120</v>
      </c>
      <c r="G617" s="76">
        <f>+EGRESOS!H1609</f>
        <v>4120</v>
      </c>
      <c r="H617" s="30"/>
      <c r="I617" s="30"/>
      <c r="J617" s="30"/>
      <c r="K617" s="30"/>
      <c r="L617" s="30"/>
    </row>
    <row r="618" spans="1:12" ht="15" customHeight="1" x14ac:dyDescent="0.2">
      <c r="A618" s="1">
        <v>50</v>
      </c>
      <c r="B618" s="61">
        <v>54106</v>
      </c>
      <c r="C618" s="73" t="s">
        <v>781</v>
      </c>
      <c r="D618" s="74"/>
      <c r="E618" s="136"/>
      <c r="F618" s="76">
        <f>+EGRESOS!G1610</f>
        <v>600</v>
      </c>
      <c r="G618" s="76">
        <f>+EGRESOS!H1610</f>
        <v>600</v>
      </c>
      <c r="H618" s="30"/>
      <c r="I618" s="30"/>
      <c r="J618" s="30"/>
      <c r="K618" s="30"/>
      <c r="L618" s="30"/>
    </row>
    <row r="619" spans="1:12" ht="15" customHeight="1" x14ac:dyDescent="0.2">
      <c r="A619" s="1">
        <v>50</v>
      </c>
      <c r="B619" s="61">
        <v>54107</v>
      </c>
      <c r="C619" s="73" t="s">
        <v>43</v>
      </c>
      <c r="D619" s="74"/>
      <c r="E619" s="74"/>
      <c r="F619" s="76">
        <f>+EGRESOS!G1611</f>
        <v>2215</v>
      </c>
      <c r="G619" s="76">
        <f>+EGRESOS!H1611</f>
        <v>2215</v>
      </c>
      <c r="H619" s="30"/>
      <c r="I619" s="30"/>
      <c r="J619" s="30"/>
      <c r="K619" s="30"/>
      <c r="L619" s="30"/>
    </row>
    <row r="620" spans="1:12" ht="15" customHeight="1" x14ac:dyDescent="0.2">
      <c r="A620" s="1">
        <v>50</v>
      </c>
      <c r="B620" s="61">
        <v>54108</v>
      </c>
      <c r="C620" s="73" t="s">
        <v>782</v>
      </c>
      <c r="D620" s="74"/>
      <c r="E620" s="136"/>
      <c r="F620" s="76">
        <f>+EGRESOS!G1612</f>
        <v>200</v>
      </c>
      <c r="G620" s="76">
        <f>+EGRESOS!H1612</f>
        <v>200</v>
      </c>
      <c r="H620" s="30">
        <f>360</f>
        <v>360</v>
      </c>
      <c r="I620" s="30">
        <f>355.03</f>
        <v>355.03</v>
      </c>
      <c r="J620" s="30"/>
      <c r="K620" s="30"/>
      <c r="L620" s="30"/>
    </row>
    <row r="621" spans="1:12" ht="15" customHeight="1" x14ac:dyDescent="0.2">
      <c r="A621" s="1">
        <v>50</v>
      </c>
      <c r="B621" s="61">
        <v>54110</v>
      </c>
      <c r="C621" s="73" t="s">
        <v>147</v>
      </c>
      <c r="D621" s="74"/>
      <c r="E621" s="74"/>
      <c r="F621" s="76">
        <f>+EGRESOS!G1613</f>
        <v>800</v>
      </c>
      <c r="G621" s="76">
        <f>+EGRESOS!H1613</f>
        <v>800</v>
      </c>
      <c r="H621" s="30"/>
      <c r="I621" s="30"/>
      <c r="J621" s="30"/>
      <c r="K621" s="30"/>
      <c r="L621" s="30"/>
    </row>
    <row r="622" spans="1:12" ht="15" customHeight="1" x14ac:dyDescent="0.2">
      <c r="A622" s="1">
        <v>50</v>
      </c>
      <c r="B622" s="61">
        <v>54111</v>
      </c>
      <c r="C622" s="73" t="s">
        <v>162</v>
      </c>
      <c r="D622" s="74"/>
      <c r="E622" s="74"/>
      <c r="F622" s="76">
        <f>+EGRESOS!G1614</f>
        <v>2350</v>
      </c>
      <c r="G622" s="76">
        <f>+EGRESOS!H1614</f>
        <v>2350</v>
      </c>
      <c r="H622" s="30"/>
      <c r="I622" s="30"/>
      <c r="J622" s="30"/>
      <c r="K622" s="30"/>
      <c r="L622" s="30"/>
    </row>
    <row r="623" spans="1:12" ht="15" customHeight="1" x14ac:dyDescent="0.2">
      <c r="A623" s="1">
        <v>50</v>
      </c>
      <c r="B623" s="61">
        <v>54112</v>
      </c>
      <c r="C623" s="73" t="s">
        <v>42</v>
      </c>
      <c r="D623" s="74"/>
      <c r="E623" s="74"/>
      <c r="F623" s="76">
        <f>+EGRESOS!G1615</f>
        <v>925</v>
      </c>
      <c r="G623" s="76">
        <f>+EGRESOS!H1615</f>
        <v>925</v>
      </c>
      <c r="H623" s="30"/>
      <c r="I623" s="30"/>
      <c r="J623" s="30"/>
      <c r="K623" s="30"/>
      <c r="L623" s="30"/>
    </row>
    <row r="624" spans="1:12" ht="15" customHeight="1" x14ac:dyDescent="0.2">
      <c r="A624" s="1">
        <v>50</v>
      </c>
      <c r="B624" s="61">
        <v>54114</v>
      </c>
      <c r="C624" s="73" t="s">
        <v>5</v>
      </c>
      <c r="D624" s="74"/>
      <c r="E624" s="74"/>
      <c r="F624" s="76">
        <f>+EGRESOS!G1616</f>
        <v>1065</v>
      </c>
      <c r="G624" s="76">
        <f>+EGRESOS!H1616</f>
        <v>1065</v>
      </c>
      <c r="H624" s="30"/>
      <c r="I624" s="30"/>
      <c r="J624" s="30"/>
      <c r="K624" s="30"/>
      <c r="L624" s="30"/>
    </row>
    <row r="625" spans="1:12" ht="15" customHeight="1" x14ac:dyDescent="0.2">
      <c r="A625" s="1">
        <v>50</v>
      </c>
      <c r="B625" s="61">
        <v>54115</v>
      </c>
      <c r="C625" s="73" t="s">
        <v>49</v>
      </c>
      <c r="D625" s="74"/>
      <c r="E625" s="74"/>
      <c r="F625" s="76">
        <f>+EGRESOS!G1617</f>
        <v>2280</v>
      </c>
      <c r="G625" s="76">
        <f>+EGRESOS!H1617</f>
        <v>2280</v>
      </c>
      <c r="H625" s="30"/>
      <c r="I625" s="30"/>
      <c r="J625" s="30"/>
      <c r="K625" s="30"/>
      <c r="L625" s="30"/>
    </row>
    <row r="626" spans="1:12" ht="15" customHeight="1" x14ac:dyDescent="0.2">
      <c r="A626" s="1">
        <v>50</v>
      </c>
      <c r="B626" s="61">
        <v>54116</v>
      </c>
      <c r="C626" s="62" t="s">
        <v>167</v>
      </c>
      <c r="D626" s="74"/>
      <c r="E626" s="74"/>
      <c r="F626" s="76">
        <f>+EGRESOS!G1618</f>
        <v>100</v>
      </c>
      <c r="G626" s="76">
        <f>+EGRESOS!H1618</f>
        <v>100</v>
      </c>
      <c r="H626" s="30"/>
      <c r="I626" s="30"/>
      <c r="J626" s="30">
        <v>55.15</v>
      </c>
      <c r="K626" s="30"/>
      <c r="L626" s="30"/>
    </row>
    <row r="627" spans="1:12" ht="15" customHeight="1" x14ac:dyDescent="0.2">
      <c r="A627" s="1">
        <v>50</v>
      </c>
      <c r="B627" s="61">
        <v>54119</v>
      </c>
      <c r="C627" s="73" t="s">
        <v>44</v>
      </c>
      <c r="D627" s="74"/>
      <c r="E627" s="74"/>
      <c r="F627" s="76">
        <f>+EGRESOS!G1619</f>
        <v>600</v>
      </c>
      <c r="G627" s="76">
        <f>+EGRESOS!H1619</f>
        <v>600</v>
      </c>
      <c r="H627" s="30"/>
      <c r="I627" s="30"/>
      <c r="J627" s="30"/>
      <c r="K627" s="30"/>
      <c r="L627" s="30"/>
    </row>
    <row r="628" spans="1:12" ht="15" customHeight="1" x14ac:dyDescent="0.2">
      <c r="A628" s="1">
        <v>50</v>
      </c>
      <c r="B628" s="61">
        <v>54199</v>
      </c>
      <c r="C628" s="73" t="s">
        <v>26</v>
      </c>
      <c r="D628" s="74"/>
      <c r="E628" s="74"/>
      <c r="F628" s="76">
        <f>+EGRESOS!G1620</f>
        <v>800</v>
      </c>
      <c r="G628" s="76">
        <f>+EGRESOS!H1620</f>
        <v>800</v>
      </c>
      <c r="H628" s="30"/>
      <c r="I628" s="30"/>
      <c r="J628" s="30"/>
      <c r="K628" s="30"/>
      <c r="L628" s="30"/>
    </row>
    <row r="629" spans="1:12" ht="15" customHeight="1" x14ac:dyDescent="0.2">
      <c r="A629" s="1">
        <v>50</v>
      </c>
      <c r="B629" s="61">
        <v>54301</v>
      </c>
      <c r="C629" s="62" t="s">
        <v>8</v>
      </c>
      <c r="D629" s="74"/>
      <c r="E629" s="74"/>
      <c r="F629" s="76">
        <f>+EGRESOS!G1621</f>
        <v>300</v>
      </c>
      <c r="G629" s="76">
        <f>+EGRESOS!H1621</f>
        <v>300</v>
      </c>
      <c r="H629" s="30"/>
      <c r="I629" s="30"/>
      <c r="J629" s="30"/>
      <c r="K629" s="30"/>
      <c r="L629" s="30"/>
    </row>
    <row r="630" spans="1:12" ht="15" customHeight="1" x14ac:dyDescent="0.2">
      <c r="A630" s="1">
        <v>50</v>
      </c>
      <c r="B630" s="61">
        <v>54305</v>
      </c>
      <c r="C630" s="62" t="s">
        <v>33</v>
      </c>
      <c r="D630" s="74"/>
      <c r="E630" s="74"/>
      <c r="F630" s="76">
        <f>+EGRESOS!G1622</f>
        <v>1500</v>
      </c>
      <c r="G630" s="76">
        <f>+EGRESOS!H1622</f>
        <v>1500</v>
      </c>
      <c r="H630" s="30"/>
      <c r="I630" s="30"/>
      <c r="J630" s="30"/>
      <c r="K630" s="30"/>
      <c r="L630" s="30"/>
    </row>
    <row r="631" spans="1:12" ht="15" customHeight="1" x14ac:dyDescent="0.2">
      <c r="A631" s="1">
        <v>50</v>
      </c>
      <c r="B631" s="61">
        <v>54313</v>
      </c>
      <c r="C631" s="62" t="s">
        <v>11</v>
      </c>
      <c r="D631" s="74"/>
      <c r="E631" s="74"/>
      <c r="F631" s="76">
        <f>+EGRESOS!G1623</f>
        <v>4000</v>
      </c>
      <c r="G631" s="76">
        <f>+EGRESOS!H1623</f>
        <v>4000</v>
      </c>
      <c r="H631" s="30"/>
      <c r="I631" s="30">
        <v>40.6</v>
      </c>
      <c r="J631" s="30"/>
      <c r="K631" s="30"/>
      <c r="L631" s="30"/>
    </row>
    <row r="632" spans="1:12" ht="15" customHeight="1" x14ac:dyDescent="0.2">
      <c r="A632" s="1">
        <v>50</v>
      </c>
      <c r="B632" s="61">
        <v>54314</v>
      </c>
      <c r="C632" s="62" t="s">
        <v>783</v>
      </c>
      <c r="D632" s="74"/>
      <c r="E632" s="74"/>
      <c r="F632" s="76">
        <f>+EGRESOS!G1624</f>
        <v>400</v>
      </c>
      <c r="G632" s="76">
        <f>+EGRESOS!H1624</f>
        <v>400</v>
      </c>
      <c r="H632" s="30"/>
      <c r="I632" s="30"/>
      <c r="J632" s="30"/>
      <c r="K632" s="30"/>
      <c r="L632" s="30"/>
    </row>
    <row r="633" spans="1:12" ht="15" customHeight="1" x14ac:dyDescent="0.2">
      <c r="A633" s="1">
        <v>50</v>
      </c>
      <c r="B633" s="61">
        <v>54316</v>
      </c>
      <c r="C633" s="62" t="s">
        <v>784</v>
      </c>
      <c r="D633" s="74"/>
      <c r="E633" s="74"/>
      <c r="F633" s="76">
        <f>+EGRESOS!G1625</f>
        <v>2800</v>
      </c>
      <c r="G633" s="76">
        <f>+EGRESOS!H1625</f>
        <v>2800</v>
      </c>
      <c r="H633" s="30"/>
      <c r="I633" s="30"/>
      <c r="J633" s="30"/>
      <c r="K633" s="30"/>
      <c r="L633" s="30"/>
    </row>
    <row r="634" spans="1:12" ht="15" customHeight="1" x14ac:dyDescent="0.2">
      <c r="A634" s="1">
        <v>50</v>
      </c>
      <c r="B634" s="61">
        <v>54399</v>
      </c>
      <c r="C634" s="62" t="s">
        <v>153</v>
      </c>
      <c r="D634" s="74"/>
      <c r="E634" s="74"/>
      <c r="F634" s="76">
        <f>+EGRESOS!G1626</f>
        <v>200</v>
      </c>
      <c r="G634" s="76">
        <f>+EGRESOS!H1626</f>
        <v>200</v>
      </c>
      <c r="H634" s="30"/>
      <c r="I634" s="30"/>
      <c r="J634" s="30"/>
      <c r="K634" s="30"/>
      <c r="L634" s="30"/>
    </row>
    <row r="635" spans="1:12" ht="15" customHeight="1" x14ac:dyDescent="0.2">
      <c r="A635" s="1">
        <v>50</v>
      </c>
      <c r="B635" s="61">
        <v>54402</v>
      </c>
      <c r="C635" s="62" t="s">
        <v>184</v>
      </c>
      <c r="D635" s="74"/>
      <c r="E635" s="74"/>
      <c r="F635" s="76">
        <f>+EGRESOS!G1627</f>
        <v>60</v>
      </c>
      <c r="G635" s="76">
        <f>+EGRESOS!H1627</f>
        <v>60</v>
      </c>
      <c r="H635" s="30"/>
      <c r="I635" s="30"/>
      <c r="J635" s="30"/>
      <c r="K635" s="30"/>
      <c r="L635" s="30"/>
    </row>
    <row r="636" spans="1:12" ht="15" customHeight="1" x14ac:dyDescent="0.2">
      <c r="A636" s="1">
        <v>50</v>
      </c>
      <c r="B636" s="61">
        <v>54505</v>
      </c>
      <c r="C636" s="62" t="s">
        <v>40</v>
      </c>
      <c r="D636" s="74"/>
      <c r="E636" s="74"/>
      <c r="F636" s="76">
        <f>+EGRESOS!G1628</f>
        <v>700</v>
      </c>
      <c r="G636" s="76">
        <f>+EGRESOS!H1628</f>
        <v>700</v>
      </c>
      <c r="H636" s="30"/>
      <c r="I636" s="30"/>
      <c r="J636" s="30"/>
      <c r="K636" s="30"/>
      <c r="L636" s="30"/>
    </row>
    <row r="637" spans="1:12" ht="15" customHeight="1" x14ac:dyDescent="0.2">
      <c r="A637" s="1">
        <v>50</v>
      </c>
      <c r="B637" s="61">
        <v>54599</v>
      </c>
      <c r="C637" s="62" t="s">
        <v>527</v>
      </c>
      <c r="D637" s="74"/>
      <c r="E637" s="74"/>
      <c r="F637" s="76">
        <f>+EGRESOS!G1629</f>
        <v>700</v>
      </c>
      <c r="G637" s="76">
        <f>+EGRESOS!H1629</f>
        <v>700</v>
      </c>
      <c r="H637" s="30"/>
      <c r="I637" s="30">
        <v>176.28</v>
      </c>
      <c r="J637" s="30">
        <f>1950</f>
        <v>1950</v>
      </c>
      <c r="K637" s="30"/>
      <c r="L637" s="30"/>
    </row>
    <row r="638" spans="1:12" ht="15" customHeight="1" x14ac:dyDescent="0.2">
      <c r="A638" s="1">
        <v>50</v>
      </c>
      <c r="B638" s="61">
        <v>61101</v>
      </c>
      <c r="C638" s="73" t="s">
        <v>144</v>
      </c>
      <c r="D638" s="74"/>
      <c r="E638" s="74"/>
      <c r="F638" s="76">
        <f>+EGRESOS!G1630</f>
        <v>2300</v>
      </c>
      <c r="G638" s="76">
        <f>+EGRESOS!H1630</f>
        <v>2300</v>
      </c>
      <c r="H638" s="30"/>
      <c r="I638" s="30"/>
      <c r="J638" s="30"/>
      <c r="K638" s="30"/>
      <c r="L638" s="30"/>
    </row>
    <row r="639" spans="1:12" ht="15" customHeight="1" x14ac:dyDescent="0.2">
      <c r="A639" s="1">
        <v>50</v>
      </c>
      <c r="B639" s="61">
        <v>61102</v>
      </c>
      <c r="C639" s="62" t="s">
        <v>28</v>
      </c>
      <c r="D639" s="74"/>
      <c r="E639" s="74"/>
      <c r="F639" s="76">
        <f>+EGRESOS!G1631</f>
        <v>5505</v>
      </c>
      <c r="G639" s="76">
        <f>+EGRESOS!H1631</f>
        <v>5505</v>
      </c>
      <c r="H639" s="30"/>
      <c r="I639" s="30"/>
      <c r="J639" s="30"/>
      <c r="K639" s="30"/>
      <c r="L639" s="30"/>
    </row>
    <row r="640" spans="1:12" ht="15" customHeight="1" x14ac:dyDescent="0.2">
      <c r="A640" s="1">
        <v>50</v>
      </c>
      <c r="B640" s="61">
        <v>61104</v>
      </c>
      <c r="C640" s="73" t="s">
        <v>46</v>
      </c>
      <c r="D640" s="74"/>
      <c r="E640" s="74"/>
      <c r="F640" s="76">
        <f>+EGRESOS!G1632</f>
        <v>2600</v>
      </c>
      <c r="G640" s="76">
        <f>+EGRESOS!H1632</f>
        <v>2600</v>
      </c>
      <c r="H640" s="30"/>
      <c r="I640" s="30"/>
      <c r="J640" s="30"/>
      <c r="K640" s="30"/>
      <c r="L640" s="30"/>
    </row>
    <row r="641" spans="1:15" ht="15" customHeight="1" x14ac:dyDescent="0.2">
      <c r="A641" s="1">
        <v>50</v>
      </c>
      <c r="B641" s="61" t="s">
        <v>621</v>
      </c>
      <c r="C641" s="73" t="s">
        <v>54</v>
      </c>
      <c r="D641" s="74"/>
      <c r="E641" s="74"/>
      <c r="F641" s="76">
        <f>+EGRESOS!G1633</f>
        <v>500</v>
      </c>
      <c r="G641" s="76">
        <f>+EGRESOS!H1633</f>
        <v>500</v>
      </c>
      <c r="H641" s="30"/>
      <c r="I641" s="30"/>
      <c r="J641" s="30"/>
      <c r="K641" s="30"/>
      <c r="L641" s="30"/>
    </row>
    <row r="642" spans="1:15" ht="15" customHeight="1" x14ac:dyDescent="0.2">
      <c r="A642" s="1">
        <v>50</v>
      </c>
      <c r="B642" s="61" t="s">
        <v>785</v>
      </c>
      <c r="C642" s="73" t="s">
        <v>786</v>
      </c>
      <c r="D642" s="74"/>
      <c r="E642" s="74"/>
      <c r="F642" s="76">
        <f>+EGRESOS!G1634</f>
        <v>27000</v>
      </c>
      <c r="G642" s="76">
        <f>+EGRESOS!H1634</f>
        <v>27000</v>
      </c>
      <c r="H642" s="30"/>
      <c r="I642" s="30"/>
      <c r="J642" s="30"/>
      <c r="K642" s="30"/>
      <c r="L642" s="30"/>
    </row>
    <row r="643" spans="1:15" ht="15" customHeight="1" x14ac:dyDescent="0.2">
      <c r="A643" s="1">
        <v>50</v>
      </c>
      <c r="B643" s="61" t="s">
        <v>787</v>
      </c>
      <c r="C643" s="73" t="s">
        <v>788</v>
      </c>
      <c r="D643" s="74"/>
      <c r="E643" s="74"/>
      <c r="F643" s="76">
        <f>+EGRESOS!G1635</f>
        <v>100</v>
      </c>
      <c r="G643" s="76">
        <f>+EGRESOS!H1635</f>
        <v>100</v>
      </c>
      <c r="H643" s="30"/>
      <c r="I643" s="30"/>
      <c r="J643" s="30"/>
      <c r="K643" s="30"/>
      <c r="L643" s="30"/>
    </row>
    <row r="644" spans="1:15" ht="15" customHeight="1" x14ac:dyDescent="0.2">
      <c r="A644" s="1">
        <v>50</v>
      </c>
      <c r="B644" s="61" t="s">
        <v>789</v>
      </c>
      <c r="C644" s="73" t="s">
        <v>545</v>
      </c>
      <c r="D644" s="74"/>
      <c r="E644" s="74"/>
      <c r="F644" s="76">
        <f>+EGRESOS!G1636</f>
        <v>200</v>
      </c>
      <c r="G644" s="76">
        <f>+EGRESOS!H1636</f>
        <v>200</v>
      </c>
      <c r="H644" s="81"/>
      <c r="I644" s="81"/>
      <c r="J644" s="81"/>
      <c r="K644" s="81"/>
      <c r="L644" s="81"/>
      <c r="M644" s="2"/>
      <c r="N644" s="2"/>
      <c r="O644" s="2"/>
    </row>
    <row r="645" spans="1:15" ht="15" customHeight="1" x14ac:dyDescent="0.2">
      <c r="A645" s="1">
        <v>50</v>
      </c>
      <c r="B645" s="61" t="s">
        <v>621</v>
      </c>
      <c r="C645" s="73" t="s">
        <v>54</v>
      </c>
      <c r="D645" s="74"/>
      <c r="E645" s="74"/>
      <c r="F645" s="76">
        <f>+EGRESOS!G1637</f>
        <v>500</v>
      </c>
      <c r="G645" s="76">
        <f>+EGRESOS!H1637</f>
        <v>500</v>
      </c>
    </row>
    <row r="646" spans="1:15" ht="15" customHeight="1" x14ac:dyDescent="0.2">
      <c r="A646" s="1" t="s">
        <v>387</v>
      </c>
      <c r="B646" s="61"/>
      <c r="C646" s="61" t="s">
        <v>14</v>
      </c>
      <c r="D646" s="138">
        <f>SUM(D609:D640)</f>
        <v>0</v>
      </c>
      <c r="E646" s="138">
        <f>SUM(E609:E640)</f>
        <v>0</v>
      </c>
      <c r="F646" s="138">
        <f>SUM(F609:F645)</f>
        <v>97222</v>
      </c>
      <c r="G646" s="83">
        <f t="shared" ref="G646" si="4">D646+E646+F646</f>
        <v>97222</v>
      </c>
    </row>
    <row r="647" spans="1:15" ht="15" customHeight="1" x14ac:dyDescent="0.2">
      <c r="A647" s="1" t="s">
        <v>387</v>
      </c>
      <c r="B647" s="7"/>
      <c r="C647" s="7"/>
      <c r="D647" s="7"/>
      <c r="E647" s="7"/>
      <c r="F647" s="55"/>
      <c r="G647" s="7"/>
    </row>
    <row r="648" spans="1:15" ht="15" customHeight="1" x14ac:dyDescent="0.2">
      <c r="A648" s="1" t="s">
        <v>387</v>
      </c>
      <c r="B648" s="404" t="s">
        <v>119</v>
      </c>
      <c r="C648" s="404"/>
      <c r="D648" s="404"/>
      <c r="E648" s="404"/>
      <c r="F648" s="404"/>
      <c r="G648" s="404"/>
    </row>
    <row r="649" spans="1:15" ht="15" customHeight="1" x14ac:dyDescent="0.2">
      <c r="A649" s="1" t="s">
        <v>387</v>
      </c>
      <c r="B649" s="414" t="str">
        <f>+B3</f>
        <v>PRESUPUESTO AÑO 2024</v>
      </c>
      <c r="C649" s="414"/>
      <c r="D649" s="414"/>
      <c r="E649" s="414"/>
      <c r="F649" s="414"/>
      <c r="G649" s="414"/>
    </row>
    <row r="650" spans="1:15" ht="15" customHeight="1" x14ac:dyDescent="0.2">
      <c r="A650" s="1" t="s">
        <v>387</v>
      </c>
      <c r="B650" s="414" t="str">
        <f>B2</f>
        <v>PRESUPUESTO EXTRA CONTABLE</v>
      </c>
      <c r="C650" s="414"/>
      <c r="D650" s="414"/>
      <c r="E650" s="414"/>
      <c r="F650" s="414"/>
      <c r="G650" s="414"/>
    </row>
    <row r="651" spans="1:15" ht="15" customHeight="1" x14ac:dyDescent="0.2">
      <c r="A651" s="1" t="s">
        <v>387</v>
      </c>
      <c r="B651" s="404" t="s">
        <v>118</v>
      </c>
      <c r="C651" s="404"/>
      <c r="D651" s="404"/>
      <c r="E651" s="404"/>
      <c r="F651" s="404"/>
      <c r="G651" s="404"/>
    </row>
    <row r="652" spans="1:15" ht="15" customHeight="1" x14ac:dyDescent="0.2">
      <c r="A652" s="1" t="s">
        <v>387</v>
      </c>
      <c r="B652" s="404" t="s">
        <v>374</v>
      </c>
      <c r="C652" s="404"/>
      <c r="D652" s="404"/>
      <c r="E652" s="404"/>
      <c r="F652" s="404"/>
      <c r="G652" s="404"/>
    </row>
    <row r="653" spans="1:15" ht="15" customHeight="1" x14ac:dyDescent="0.2">
      <c r="A653" s="1" t="s">
        <v>387</v>
      </c>
      <c r="B653" s="415" t="s">
        <v>1</v>
      </c>
      <c r="C653" s="87"/>
      <c r="D653" s="71" t="s">
        <v>56</v>
      </c>
      <c r="E653" s="71" t="str">
        <f>E6</f>
        <v>REFORMA</v>
      </c>
      <c r="F653" s="71" t="s">
        <v>56</v>
      </c>
      <c r="G653" s="88" t="str">
        <f>$G$6</f>
        <v>TOTAL 2024</v>
      </c>
      <c r="H653" s="72" t="s">
        <v>285</v>
      </c>
      <c r="I653" s="72"/>
      <c r="J653" s="72"/>
      <c r="K653" s="72" t="s">
        <v>293</v>
      </c>
      <c r="L653" s="72"/>
    </row>
    <row r="654" spans="1:15" ht="15" customHeight="1" x14ac:dyDescent="0.2">
      <c r="A654" s="1" t="s">
        <v>387</v>
      </c>
      <c r="B654" s="416"/>
      <c r="C654" s="72" t="s">
        <v>0</v>
      </c>
      <c r="D654" s="71" t="s">
        <v>500</v>
      </c>
      <c r="E654" s="71"/>
      <c r="F654" s="71" t="s">
        <v>140</v>
      </c>
      <c r="G654" s="71"/>
      <c r="H654" s="72" t="s">
        <v>286</v>
      </c>
      <c r="I654" s="72" t="s">
        <v>290</v>
      </c>
      <c r="J654" s="72" t="s">
        <v>291</v>
      </c>
      <c r="K654" s="72"/>
      <c r="L654" s="72" t="s">
        <v>292</v>
      </c>
    </row>
    <row r="655" spans="1:15" ht="15" customHeight="1" x14ac:dyDescent="0.2">
      <c r="A655" s="1">
        <v>65</v>
      </c>
      <c r="B655" s="142">
        <f>EGRESOS!C2109</f>
        <v>54602</v>
      </c>
      <c r="C655" s="143" t="str">
        <f>EGRESOS!D2109</f>
        <v xml:space="preserve">TRATAMIENTO DE DESECHOS SÓLIDOS </v>
      </c>
      <c r="D655" s="144">
        <f>EGRESOS!E2109</f>
        <v>0</v>
      </c>
      <c r="E655" s="144">
        <f>EGRESOS!F2109</f>
        <v>0</v>
      </c>
      <c r="F655" s="144">
        <f>EGRESOS!G2109</f>
        <v>0</v>
      </c>
      <c r="G655" s="144">
        <f>EGRESOS!H2109</f>
        <v>0</v>
      </c>
      <c r="H655" s="72"/>
      <c r="I655" s="72"/>
      <c r="J655" s="72"/>
      <c r="K655" s="72"/>
      <c r="L655" s="72"/>
    </row>
    <row r="656" spans="1:15" ht="15" customHeight="1" x14ac:dyDescent="0.2">
      <c r="A656" s="1">
        <v>65</v>
      </c>
      <c r="B656" s="142">
        <f>EGRESOS!C2110</f>
        <v>55603</v>
      </c>
      <c r="C656" s="143" t="str">
        <f>EGRESOS!D2110</f>
        <v>COMISIONES Y GASTOS BANCARIOS</v>
      </c>
      <c r="D656" s="144">
        <f>EGRESOS!E2110</f>
        <v>0</v>
      </c>
      <c r="E656" s="144">
        <f>EGRESOS!F2110</f>
        <v>0</v>
      </c>
      <c r="F656" s="144">
        <f>EGRESOS!G2110</f>
        <v>0</v>
      </c>
      <c r="G656" s="144">
        <f>EGRESOS!H2110</f>
        <v>0</v>
      </c>
      <c r="H656" s="30"/>
      <c r="I656" s="30"/>
      <c r="J656" s="30"/>
      <c r="K656" s="30"/>
      <c r="L656" s="30"/>
    </row>
    <row r="657" spans="1:14" ht="15" customHeight="1" x14ac:dyDescent="0.2">
      <c r="A657" s="1">
        <v>65</v>
      </c>
      <c r="B657" s="142">
        <f>EGRESOS!C2111</f>
        <v>61599</v>
      </c>
      <c r="C657" s="143" t="str">
        <f>EGRESOS!D2111</f>
        <v>PROYECTOS  Y PROGRAMAS DE INV. DIVERSOS</v>
      </c>
      <c r="D657" s="144">
        <f>EGRESOS!E2111</f>
        <v>50000</v>
      </c>
      <c r="E657" s="144">
        <f>EGRESOS!F2111</f>
        <v>0</v>
      </c>
      <c r="F657" s="144">
        <f>EGRESOS!G2111</f>
        <v>0</v>
      </c>
      <c r="G657" s="144">
        <f>EGRESOS!H2111</f>
        <v>50000</v>
      </c>
      <c r="H657" s="30"/>
      <c r="I657" s="30"/>
      <c r="J657" s="30"/>
      <c r="K657" s="30"/>
      <c r="L657" s="30"/>
    </row>
    <row r="658" spans="1:14" ht="15" customHeight="1" x14ac:dyDescent="0.2">
      <c r="A658" s="1">
        <v>65</v>
      </c>
      <c r="B658" s="142">
        <f>EGRESOS!C2112</f>
        <v>61601</v>
      </c>
      <c r="C658" s="143" t="str">
        <f>EGRESOS!D2112</f>
        <v>VIALES</v>
      </c>
      <c r="D658" s="144">
        <f>EGRESOS!E2112</f>
        <v>150000</v>
      </c>
      <c r="E658" s="144">
        <f>EGRESOS!F2112</f>
        <v>0</v>
      </c>
      <c r="F658" s="144">
        <f>EGRESOS!G2112</f>
        <v>0</v>
      </c>
      <c r="G658" s="144">
        <f>EGRESOS!H2112</f>
        <v>150000</v>
      </c>
      <c r="H658" s="30">
        <f>120</f>
        <v>120</v>
      </c>
      <c r="I658" s="30"/>
      <c r="J658" s="30"/>
      <c r="K658" s="30"/>
      <c r="L658" s="30"/>
    </row>
    <row r="659" spans="1:14" ht="15" customHeight="1" x14ac:dyDescent="0.2">
      <c r="A659" s="1">
        <v>65</v>
      </c>
      <c r="B659" s="142">
        <f>EGRESOS!C2113</f>
        <v>61602</v>
      </c>
      <c r="C659" s="143" t="str">
        <f>EGRESOS!D2113</f>
        <v>SALUD SANEAMIENTO AMBIENTAL</v>
      </c>
      <c r="D659" s="144">
        <f>EGRESOS!E2113</f>
        <v>80000</v>
      </c>
      <c r="E659" s="144">
        <f>EGRESOS!F2113</f>
        <v>0</v>
      </c>
      <c r="F659" s="144">
        <f>EGRESOS!G2113</f>
        <v>0</v>
      </c>
      <c r="G659" s="144">
        <f>EGRESOS!H2113</f>
        <v>80000</v>
      </c>
      <c r="H659" s="30">
        <f>546+84+28731.32+70+1597.85+240+80+84+273.5+5920.26+29873.74+132+190+84+80</f>
        <v>67986.67</v>
      </c>
      <c r="I659" s="30">
        <f>6369.72+1731.6+120+240+49+135.52+840.5</f>
        <v>9486.34</v>
      </c>
      <c r="J659" s="30">
        <f>3503.1+16975.72+2840+6777.62+540+2130+96.66+3101.3+3761.03+165.9+390</f>
        <v>40281.33</v>
      </c>
      <c r="K659" s="30">
        <f>2337.3+593.25</f>
        <v>2930.55</v>
      </c>
      <c r="L659" s="30">
        <f>710+780+88+780</f>
        <v>2358</v>
      </c>
    </row>
    <row r="660" spans="1:14" ht="15" customHeight="1" x14ac:dyDescent="0.2">
      <c r="A660" s="1">
        <v>65</v>
      </c>
      <c r="B660" s="142">
        <f>EGRESOS!C2114</f>
        <v>61603</v>
      </c>
      <c r="C660" s="143" t="str">
        <f>EGRESOS!D2114</f>
        <v>DE EDUCACION Y RECREACION</v>
      </c>
      <c r="D660" s="144">
        <f>EGRESOS!E2114</f>
        <v>60000</v>
      </c>
      <c r="E660" s="144">
        <f>EGRESOS!F2114</f>
        <v>0</v>
      </c>
      <c r="F660" s="144">
        <f>EGRESOS!G2114</f>
        <v>0</v>
      </c>
      <c r="G660" s="144">
        <f>EGRESOS!H2114</f>
        <v>60000</v>
      </c>
      <c r="H660" s="30">
        <v>35.6</v>
      </c>
      <c r="I660" s="30">
        <f>2625+541.5</f>
        <v>3166.5</v>
      </c>
      <c r="J660" s="30">
        <v>516.87</v>
      </c>
      <c r="K660" s="30"/>
      <c r="L660" s="30">
        <f>4621.24+80+111+80+80</f>
        <v>4972.24</v>
      </c>
    </row>
    <row r="661" spans="1:14" ht="15" customHeight="1" x14ac:dyDescent="0.2">
      <c r="A661" s="1">
        <v>65</v>
      </c>
      <c r="B661" s="142">
        <f>EGRESOS!C2115</f>
        <v>61604</v>
      </c>
      <c r="C661" s="143" t="str">
        <f>EGRESOS!D2115</f>
        <v>DE VIVIENDA Y OFICINA</v>
      </c>
      <c r="D661" s="144">
        <f>EGRESOS!E2115</f>
        <v>0</v>
      </c>
      <c r="E661" s="144">
        <f>EGRESOS!F2115</f>
        <v>0</v>
      </c>
      <c r="F661" s="144">
        <f>EGRESOS!G2115</f>
        <v>0</v>
      </c>
      <c r="G661" s="144">
        <f>EGRESOS!H2115</f>
        <v>0</v>
      </c>
      <c r="H661" s="30"/>
      <c r="I661" s="30"/>
      <c r="J661" s="30">
        <f>2250+200+200+443.4+130+14.64+195+130+200+175+42</f>
        <v>3980.04</v>
      </c>
      <c r="K661" s="30">
        <f>18.3+195</f>
        <v>213.3</v>
      </c>
      <c r="L661" s="30">
        <f>1333.05+200</f>
        <v>1533.05</v>
      </c>
    </row>
    <row r="662" spans="1:14" ht="15" customHeight="1" x14ac:dyDescent="0.2">
      <c r="A662" s="1">
        <v>65</v>
      </c>
      <c r="B662" s="142">
        <f>EGRESOS!C2116</f>
        <v>61606</v>
      </c>
      <c r="C662" s="143" t="str">
        <f>EGRESOS!D2116</f>
        <v>ELECTRICAS Y DE COMUNICACIONES</v>
      </c>
      <c r="D662" s="144">
        <f>EGRESOS!E2116</f>
        <v>0</v>
      </c>
      <c r="E662" s="144">
        <f>EGRESOS!F2116</f>
        <v>0</v>
      </c>
      <c r="F662" s="144">
        <f>EGRESOS!G2116</f>
        <v>0</v>
      </c>
      <c r="G662" s="144">
        <f>EGRESOS!H2116</f>
        <v>0</v>
      </c>
      <c r="H662" s="30"/>
      <c r="I662" s="30"/>
      <c r="J662" s="30"/>
      <c r="K662" s="30"/>
      <c r="L662" s="30"/>
    </row>
    <row r="663" spans="1:14" ht="15" customHeight="1" x14ac:dyDescent="0.2">
      <c r="A663" s="1">
        <v>65</v>
      </c>
      <c r="B663" s="142">
        <f>EGRESOS!C2117</f>
        <v>61608</v>
      </c>
      <c r="C663" s="143" t="str">
        <f>EGRESOS!D2117</f>
        <v>SUPERVISION DE INFRAESTRUCTURA</v>
      </c>
      <c r="D663" s="144">
        <f>EGRESOS!E2117</f>
        <v>0</v>
      </c>
      <c r="E663" s="144">
        <f>EGRESOS!F2117</f>
        <v>0</v>
      </c>
      <c r="F663" s="144">
        <f>EGRESOS!G2117</f>
        <v>0</v>
      </c>
      <c r="G663" s="144">
        <f>EGRESOS!H2117</f>
        <v>0</v>
      </c>
      <c r="H663" s="30">
        <v>2625</v>
      </c>
      <c r="I663" s="30">
        <f>1750</f>
        <v>1750</v>
      </c>
      <c r="J663" s="30">
        <v>1750</v>
      </c>
      <c r="K663" s="30"/>
      <c r="L663" s="30"/>
      <c r="M663" s="2"/>
    </row>
    <row r="664" spans="1:14" ht="15" customHeight="1" x14ac:dyDescent="0.2">
      <c r="A664" s="1">
        <v>65</v>
      </c>
      <c r="B664" s="142">
        <f>EGRESOS!C2118</f>
        <v>61699</v>
      </c>
      <c r="C664" s="143" t="str">
        <f>EGRESOS!D2118</f>
        <v>OBRAS DE INFRAESTRUCTURAS DIVERSAS</v>
      </c>
      <c r="D664" s="144">
        <f>EGRESOS!E2118</f>
        <v>260973.3</v>
      </c>
      <c r="E664" s="144">
        <f>EGRESOS!F2118</f>
        <v>0</v>
      </c>
      <c r="F664" s="144">
        <f>EGRESOS!G2118</f>
        <v>0</v>
      </c>
      <c r="G664" s="144">
        <f>EGRESOS!H2118</f>
        <v>260973.3</v>
      </c>
      <c r="H664" s="30">
        <f>84+45+118.2+439.35+178.95+1069.19+190</f>
        <v>2124.69</v>
      </c>
      <c r="I664" s="30">
        <f>59.8+735+270</f>
        <v>1064.8</v>
      </c>
      <c r="J664" s="30">
        <f>246.75+13497.57</f>
        <v>13744.32</v>
      </c>
      <c r="K664" s="30"/>
      <c r="L664" s="30"/>
    </row>
    <row r="665" spans="1:14" ht="15" customHeight="1" x14ac:dyDescent="0.2">
      <c r="A665" s="1" t="s">
        <v>387</v>
      </c>
      <c r="B665" s="89"/>
      <c r="C665" s="89" t="s">
        <v>14</v>
      </c>
      <c r="D665" s="82">
        <f>SUM(D655:D664)</f>
        <v>600973.30000000005</v>
      </c>
      <c r="E665" s="82">
        <f>SUM(E655:E664)</f>
        <v>0</v>
      </c>
      <c r="F665" s="82">
        <f>SUM(F655:F664)</f>
        <v>0</v>
      </c>
      <c r="G665" s="82">
        <f>SUM(G655:G664)</f>
        <v>600973.30000000005</v>
      </c>
      <c r="H665" s="30"/>
      <c r="I665" s="30"/>
      <c r="J665" s="30"/>
      <c r="K665" s="30">
        <f>SUM(K654:K664)</f>
        <v>3143.8500000000004</v>
      </c>
      <c r="L665" s="30"/>
    </row>
    <row r="666" spans="1:14" ht="15" customHeight="1" x14ac:dyDescent="0.2">
      <c r="A666" s="1" t="s">
        <v>387</v>
      </c>
      <c r="B666" s="145"/>
      <c r="C666" s="146"/>
      <c r="D666" s="86"/>
      <c r="E666" s="86"/>
      <c r="F666" s="85"/>
      <c r="G666" s="86"/>
      <c r="H666" s="2"/>
      <c r="I666" s="2"/>
      <c r="J666" s="2"/>
      <c r="K666" s="2"/>
      <c r="L666" s="2"/>
    </row>
    <row r="667" spans="1:14" ht="15" customHeight="1" x14ac:dyDescent="0.2">
      <c r="A667" s="1" t="s">
        <v>387</v>
      </c>
      <c r="B667" s="145"/>
      <c r="C667" s="146"/>
      <c r="E667" s="86"/>
      <c r="F667" s="85"/>
      <c r="G667" s="86"/>
      <c r="H667" s="2"/>
      <c r="I667" s="2"/>
      <c r="J667" s="2"/>
      <c r="K667" s="2"/>
      <c r="L667" s="2"/>
      <c r="N667" s="86"/>
    </row>
    <row r="668" spans="1:14" ht="15" customHeight="1" x14ac:dyDescent="0.2">
      <c r="A668" s="1" t="s">
        <v>387</v>
      </c>
      <c r="B668" s="7"/>
      <c r="C668" s="113"/>
      <c r="D668" s="114"/>
      <c r="E668" s="114"/>
      <c r="F668" s="86"/>
      <c r="G668" s="86"/>
      <c r="H668" s="2"/>
      <c r="I668" s="2"/>
      <c r="J668" s="2"/>
      <c r="K668" s="2"/>
      <c r="L668" s="2"/>
    </row>
    <row r="669" spans="1:14" ht="15" customHeight="1" x14ac:dyDescent="0.2">
      <c r="A669" s="1" t="s">
        <v>387</v>
      </c>
      <c r="B669" s="404" t="s">
        <v>119</v>
      </c>
      <c r="C669" s="404"/>
      <c r="D669" s="404"/>
      <c r="E669" s="404"/>
      <c r="F669" s="404"/>
      <c r="G669" s="404"/>
      <c r="H669" s="2"/>
      <c r="I669" s="2"/>
      <c r="J669" s="2"/>
      <c r="K669" s="2"/>
      <c r="L669" s="2"/>
    </row>
    <row r="670" spans="1:14" ht="15" customHeight="1" x14ac:dyDescent="0.2">
      <c r="A670" s="1" t="s">
        <v>387</v>
      </c>
      <c r="B670" s="414" t="str">
        <f>+B3</f>
        <v>PRESUPUESTO AÑO 2024</v>
      </c>
      <c r="C670" s="414"/>
      <c r="D670" s="414"/>
      <c r="E670" s="414"/>
      <c r="F670" s="414"/>
      <c r="G670" s="414"/>
      <c r="H670" s="2"/>
      <c r="I670" s="2"/>
      <c r="J670" s="2"/>
      <c r="K670" s="2"/>
      <c r="L670" s="2"/>
    </row>
    <row r="671" spans="1:14" ht="15" customHeight="1" x14ac:dyDescent="0.2">
      <c r="A671" s="1" t="s">
        <v>387</v>
      </c>
      <c r="B671" s="414" t="str">
        <f>B2</f>
        <v>PRESUPUESTO EXTRA CONTABLE</v>
      </c>
      <c r="C671" s="414"/>
      <c r="D671" s="414"/>
      <c r="E671" s="414"/>
      <c r="F671" s="414"/>
      <c r="G671" s="414"/>
      <c r="H671" s="2"/>
      <c r="I671" s="2"/>
      <c r="J671" s="2"/>
      <c r="K671" s="2"/>
      <c r="L671" s="2"/>
    </row>
    <row r="672" spans="1:14" ht="15" customHeight="1" x14ac:dyDescent="0.2">
      <c r="A672" s="1" t="s">
        <v>387</v>
      </c>
      <c r="B672" s="404" t="s">
        <v>159</v>
      </c>
      <c r="C672" s="404"/>
      <c r="D672" s="404"/>
      <c r="E672" s="404"/>
      <c r="F672" s="404"/>
      <c r="G672" s="404"/>
      <c r="H672" s="2"/>
      <c r="I672" s="2"/>
      <c r="J672" s="2"/>
      <c r="K672" s="2"/>
      <c r="L672" s="2"/>
    </row>
    <row r="673" spans="1:12" ht="15" customHeight="1" x14ac:dyDescent="0.2">
      <c r="A673" s="1" t="s">
        <v>387</v>
      </c>
      <c r="B673" s="404" t="s">
        <v>283</v>
      </c>
      <c r="C673" s="404"/>
      <c r="D673" s="404"/>
      <c r="E673" s="404"/>
      <c r="F673" s="404"/>
      <c r="G673" s="404"/>
      <c r="H673" s="2"/>
      <c r="I673" s="2"/>
      <c r="J673" s="2"/>
      <c r="K673" s="2"/>
      <c r="L673" s="2"/>
    </row>
    <row r="674" spans="1:12" ht="15" customHeight="1" x14ac:dyDescent="0.2">
      <c r="A674" s="1" t="s">
        <v>387</v>
      </c>
      <c r="B674" s="419" t="s">
        <v>1</v>
      </c>
      <c r="C674" s="87"/>
      <c r="D674" s="71" t="s">
        <v>56</v>
      </c>
      <c r="E674" s="71" t="str">
        <f>E6</f>
        <v>REFORMA</v>
      </c>
      <c r="F674" s="71" t="s">
        <v>56</v>
      </c>
      <c r="G674" s="88" t="str">
        <f>$G$6</f>
        <v>TOTAL 2024</v>
      </c>
      <c r="H674" s="2"/>
      <c r="I674" s="2"/>
      <c r="J674" s="2"/>
      <c r="K674" s="2"/>
      <c r="L674" s="2"/>
    </row>
    <row r="675" spans="1:12" ht="15" customHeight="1" x14ac:dyDescent="0.2">
      <c r="A675" s="1" t="s">
        <v>387</v>
      </c>
      <c r="B675" s="419"/>
      <c r="C675" s="72" t="s">
        <v>0</v>
      </c>
      <c r="D675" s="71" t="s">
        <v>500</v>
      </c>
      <c r="E675" s="71"/>
      <c r="F675" s="71" t="s">
        <v>140</v>
      </c>
      <c r="G675" s="71"/>
      <c r="H675" s="2"/>
      <c r="I675" s="2"/>
      <c r="J675" s="2"/>
      <c r="K675" s="2"/>
      <c r="L675" s="2"/>
    </row>
    <row r="676" spans="1:12" ht="15" customHeight="1" x14ac:dyDescent="0.2">
      <c r="A676" s="1">
        <v>66</v>
      </c>
      <c r="B676" s="142">
        <f>EGRESOS!C2130</f>
        <v>55307</v>
      </c>
      <c r="C676" s="143" t="str">
        <f>EGRESOS!D2130</f>
        <v>DE EMPRESAS PRIVAS NO FINANCIERAS</v>
      </c>
      <c r="D676" s="77">
        <f>EGRESOS!E2130</f>
        <v>0</v>
      </c>
      <c r="E676" s="77">
        <f>EGRESOS!F2130</f>
        <v>0</v>
      </c>
      <c r="F676" s="77">
        <f>EGRESOS!G2130</f>
        <v>1559.3999999999999</v>
      </c>
      <c r="G676" s="91">
        <f>D676+E676+F676</f>
        <v>1559.3999999999999</v>
      </c>
      <c r="H676" s="2"/>
      <c r="I676" s="2"/>
      <c r="J676" s="2"/>
      <c r="K676" s="2"/>
      <c r="L676" s="2"/>
    </row>
    <row r="677" spans="1:12" ht="15" customHeight="1" x14ac:dyDescent="0.2">
      <c r="A677" s="1">
        <v>66</v>
      </c>
      <c r="B677" s="142">
        <f>EGRESOS!C2131</f>
        <v>55308</v>
      </c>
      <c r="C677" s="143" t="str">
        <f>EGRESOS!D2131</f>
        <v>DE EMPRESAS PRIVADAS FINANCIERAS</v>
      </c>
      <c r="D677" s="77">
        <f>EGRESOS!E2131</f>
        <v>355636.74</v>
      </c>
      <c r="E677" s="77">
        <f>EGRESOS!F2131</f>
        <v>0</v>
      </c>
      <c r="F677" s="77">
        <f>EGRESOS!G2131</f>
        <v>266959.30799999996</v>
      </c>
      <c r="G677" s="91">
        <f>D677+E677+F677</f>
        <v>622596.04799999995</v>
      </c>
      <c r="H677" s="2"/>
      <c r="I677" s="2"/>
      <c r="J677" s="2"/>
      <c r="K677" s="2"/>
      <c r="L677" s="2"/>
    </row>
    <row r="678" spans="1:12" ht="15" customHeight="1" x14ac:dyDescent="0.2">
      <c r="A678" s="1">
        <v>66</v>
      </c>
      <c r="B678" s="142">
        <f>EGRESOS!C2132</f>
        <v>71308</v>
      </c>
      <c r="C678" s="143" t="str">
        <f>EGRESOS!D2132</f>
        <v>DE EMPRESAS PRIVADAS FINANCIERAS</v>
      </c>
      <c r="D678" s="77">
        <f>EGRESOS!E2132</f>
        <v>355636.74</v>
      </c>
      <c r="E678" s="77">
        <f>EGRESOS!F2132</f>
        <v>0</v>
      </c>
      <c r="F678" s="77">
        <f>EGRESOS!G2132</f>
        <v>114411.13200000004</v>
      </c>
      <c r="G678" s="91">
        <f>D678+E678+F678</f>
        <v>470047.87200000003</v>
      </c>
      <c r="H678" s="2"/>
      <c r="I678" s="2"/>
      <c r="J678" s="2"/>
      <c r="K678" s="2"/>
      <c r="L678" s="2"/>
    </row>
    <row r="679" spans="1:12" ht="15" customHeight="1" x14ac:dyDescent="0.2">
      <c r="A679" s="1" t="s">
        <v>387</v>
      </c>
      <c r="B679" s="89"/>
      <c r="C679" s="72" t="s">
        <v>14</v>
      </c>
      <c r="D679" s="82">
        <f>SUM(D676:D678)</f>
        <v>711273.48</v>
      </c>
      <c r="E679" s="82">
        <f>SUM(E676:E678)</f>
        <v>0</v>
      </c>
      <c r="F679" s="82">
        <f>SUM(F676:F678)</f>
        <v>382929.84</v>
      </c>
      <c r="G679" s="82">
        <f>SUM(G676:G678)</f>
        <v>1094203.32</v>
      </c>
      <c r="H679" s="2"/>
      <c r="I679" s="2"/>
      <c r="J679" s="2"/>
      <c r="K679" s="2"/>
      <c r="L679" s="2"/>
    </row>
    <row r="680" spans="1:12" ht="15" customHeight="1" x14ac:dyDescent="0.2">
      <c r="A680" s="1" t="s">
        <v>387</v>
      </c>
      <c r="B680" s="7"/>
      <c r="C680" s="113"/>
      <c r="D680" s="114"/>
      <c r="E680" s="114"/>
      <c r="F680" s="114"/>
      <c r="G680" s="114"/>
      <c r="H680" s="2"/>
      <c r="I680" s="2"/>
      <c r="J680" s="2"/>
      <c r="K680" s="2"/>
      <c r="L680" s="2"/>
    </row>
    <row r="681" spans="1:12" ht="15" customHeight="1" x14ac:dyDescent="0.2">
      <c r="A681" s="147" t="s">
        <v>387</v>
      </c>
      <c r="B681" s="148"/>
      <c r="C681" s="148"/>
      <c r="D681" s="149"/>
      <c r="E681" s="149"/>
      <c r="F681" s="149"/>
      <c r="G681" s="149"/>
      <c r="H681" s="2"/>
      <c r="I681" s="2"/>
      <c r="J681" s="2"/>
      <c r="K681" s="2"/>
      <c r="L681" s="2"/>
    </row>
    <row r="682" spans="1:12" ht="15" customHeight="1" x14ac:dyDescent="0.2">
      <c r="A682" s="147" t="s">
        <v>387</v>
      </c>
      <c r="B682" s="406" t="s">
        <v>119</v>
      </c>
      <c r="C682" s="406"/>
      <c r="D682" s="406"/>
      <c r="E682" s="406"/>
      <c r="F682" s="406"/>
      <c r="G682" s="406"/>
      <c r="H682" s="2"/>
      <c r="I682" s="2"/>
      <c r="J682" s="2"/>
      <c r="K682" s="2"/>
      <c r="L682" s="2"/>
    </row>
    <row r="683" spans="1:12" ht="15" customHeight="1" x14ac:dyDescent="0.2">
      <c r="A683" s="147" t="s">
        <v>387</v>
      </c>
      <c r="B683" s="405" t="str">
        <f>B2</f>
        <v>PRESUPUESTO EXTRA CONTABLE</v>
      </c>
      <c r="C683" s="405"/>
      <c r="D683" s="405"/>
      <c r="E683" s="405"/>
      <c r="F683" s="405"/>
      <c r="G683" s="405"/>
      <c r="H683" s="2"/>
      <c r="I683" s="2"/>
      <c r="J683" s="2"/>
      <c r="K683" s="2"/>
      <c r="L683" s="2"/>
    </row>
    <row r="684" spans="1:12" ht="15" customHeight="1" x14ac:dyDescent="0.2">
      <c r="A684" s="147" t="s">
        <v>387</v>
      </c>
      <c r="B684" s="405" t="str">
        <f>B4</f>
        <v>AREA DE GESTION 01  CONDUCCION ADMINISTRATIVA</v>
      </c>
      <c r="C684" s="405"/>
      <c r="D684" s="405"/>
      <c r="E684" s="405"/>
      <c r="F684" s="405"/>
      <c r="G684" s="405"/>
      <c r="H684" s="2"/>
      <c r="I684" s="2"/>
      <c r="J684" s="2"/>
      <c r="K684" s="2"/>
      <c r="L684" s="2"/>
    </row>
    <row r="685" spans="1:12" ht="15" customHeight="1" x14ac:dyDescent="0.2">
      <c r="A685" s="147" t="s">
        <v>387</v>
      </c>
      <c r="B685" s="406" t="s">
        <v>118</v>
      </c>
      <c r="C685" s="406"/>
      <c r="D685" s="406"/>
      <c r="E685" s="406"/>
      <c r="F685" s="406"/>
      <c r="G685" s="406"/>
      <c r="H685" s="2"/>
      <c r="I685" s="2"/>
      <c r="J685" s="2"/>
      <c r="K685" s="2"/>
      <c r="L685" s="2"/>
    </row>
    <row r="686" spans="1:12" ht="15" customHeight="1" x14ac:dyDescent="0.2">
      <c r="A686" s="147" t="s">
        <v>387</v>
      </c>
      <c r="B686" s="406" t="s">
        <v>822</v>
      </c>
      <c r="C686" s="406"/>
      <c r="D686" s="406"/>
      <c r="E686" s="406"/>
      <c r="F686" s="406"/>
      <c r="G686" s="406"/>
      <c r="H686" s="2"/>
      <c r="I686" s="2"/>
      <c r="J686" s="2"/>
      <c r="K686" s="2"/>
      <c r="L686" s="2"/>
    </row>
    <row r="687" spans="1:12" ht="15" customHeight="1" x14ac:dyDescent="0.2">
      <c r="A687" s="147" t="s">
        <v>387</v>
      </c>
      <c r="B687" s="407" t="s">
        <v>1</v>
      </c>
      <c r="C687" s="150"/>
      <c r="D687" s="151" t="s">
        <v>56</v>
      </c>
      <c r="E687" s="151" t="e">
        <f>#REF!</f>
        <v>#REF!</v>
      </c>
      <c r="F687" s="151" t="s">
        <v>56</v>
      </c>
      <c r="G687" s="152" t="str">
        <f>$H$6</f>
        <v>EJECUCION</v>
      </c>
      <c r="H687" s="2"/>
      <c r="I687" s="2"/>
      <c r="J687" s="2"/>
      <c r="K687" s="2"/>
      <c r="L687" s="2"/>
    </row>
    <row r="688" spans="1:12" ht="15" customHeight="1" x14ac:dyDescent="0.2">
      <c r="A688" s="147" t="s">
        <v>387</v>
      </c>
      <c r="B688" s="408"/>
      <c r="C688" s="153" t="s">
        <v>0</v>
      </c>
      <c r="D688" s="151" t="s">
        <v>139</v>
      </c>
      <c r="E688" s="151"/>
      <c r="F688" s="151" t="s">
        <v>140</v>
      </c>
      <c r="G688" s="151"/>
      <c r="H688" s="2"/>
      <c r="I688" s="2"/>
      <c r="J688" s="2"/>
      <c r="K688" s="2"/>
      <c r="L688" s="2"/>
    </row>
    <row r="689" spans="1:12" ht="15" customHeight="1" x14ac:dyDescent="0.2">
      <c r="A689" s="147">
        <v>68</v>
      </c>
      <c r="B689" s="394">
        <f>EGRESOS!C2144</f>
        <v>61599</v>
      </c>
      <c r="C689" s="266" t="str">
        <f>EGRESOS!D2144</f>
        <v>PROYECTOS  Y PROGRAMAS DE INV. DIVERSOS</v>
      </c>
      <c r="D689" s="395">
        <f>EGRESOS!E2144</f>
        <v>0</v>
      </c>
      <c r="E689" s="395">
        <f>EGRESOS!F2144</f>
        <v>0</v>
      </c>
      <c r="F689" s="395">
        <f>EGRESOS!G2144</f>
        <v>62792.95</v>
      </c>
      <c r="G689" s="395">
        <f>EGRESOS!H2144</f>
        <v>62792.95</v>
      </c>
      <c r="H689" s="2"/>
      <c r="I689" s="2"/>
      <c r="J689" s="2"/>
      <c r="K689" s="2"/>
      <c r="L689" s="2"/>
    </row>
    <row r="690" spans="1:12" ht="15" customHeight="1" x14ac:dyDescent="0.2">
      <c r="A690" s="147">
        <v>68</v>
      </c>
      <c r="B690" s="394">
        <f>EGRESOS!C2145</f>
        <v>61608</v>
      </c>
      <c r="C690" s="266" t="str">
        <f>EGRESOS!D2145</f>
        <v>SUPERVISION DE INFRAESTRUCTURA</v>
      </c>
      <c r="D690" s="395">
        <f>EGRESOS!E2145</f>
        <v>0</v>
      </c>
      <c r="E690" s="395">
        <f>EGRESOS!F2145</f>
        <v>0</v>
      </c>
      <c r="F690" s="395">
        <f>EGRESOS!G2145</f>
        <v>146516.88</v>
      </c>
      <c r="G690" s="395">
        <f>EGRESOS!H2145</f>
        <v>146516.88</v>
      </c>
      <c r="H690" s="2"/>
      <c r="I690" s="2"/>
      <c r="J690" s="2"/>
      <c r="K690" s="2"/>
      <c r="L690" s="2"/>
    </row>
    <row r="691" spans="1:12" ht="15" customHeight="1" x14ac:dyDescent="0.2">
      <c r="A691" s="147">
        <v>68</v>
      </c>
      <c r="B691" s="394">
        <f>EGRESOS!C2146</f>
        <v>61601</v>
      </c>
      <c r="C691" s="266" t="str">
        <f>EGRESOS!D2146</f>
        <v>VIALES</v>
      </c>
      <c r="D691" s="395">
        <f>EGRESOS!E2146</f>
        <v>0</v>
      </c>
      <c r="E691" s="395">
        <f>EGRESOS!F2146</f>
        <v>0</v>
      </c>
      <c r="F691" s="395">
        <f>EGRESOS!G2146</f>
        <v>135287.87</v>
      </c>
      <c r="G691" s="395">
        <f>EGRESOS!H2146</f>
        <v>135287.87</v>
      </c>
      <c r="H691" s="2"/>
      <c r="I691" s="2"/>
      <c r="J691" s="2"/>
      <c r="K691" s="2"/>
      <c r="L691" s="2"/>
    </row>
    <row r="692" spans="1:12" ht="15" customHeight="1" x14ac:dyDescent="0.2">
      <c r="A692" s="147">
        <v>68</v>
      </c>
      <c r="B692" s="394">
        <f>EGRESOS!C2147</f>
        <v>61699</v>
      </c>
      <c r="C692" s="266" t="str">
        <f>EGRESOS!D2147</f>
        <v>OBRAS DE INFRAESTRUCTURAS DIVERSAS</v>
      </c>
      <c r="D692" s="395"/>
      <c r="E692" s="395"/>
      <c r="F692" s="395">
        <f>EGRESOS!G2147</f>
        <v>2236944.6800000002</v>
      </c>
      <c r="G692" s="76">
        <f>D692+E692+F692</f>
        <v>2236944.6800000002</v>
      </c>
      <c r="H692" s="2"/>
      <c r="I692" s="2"/>
      <c r="J692" s="2"/>
      <c r="K692" s="2"/>
      <c r="L692" s="2"/>
    </row>
    <row r="693" spans="1:12" ht="15" customHeight="1" x14ac:dyDescent="0.2">
      <c r="A693" s="147" t="s">
        <v>387</v>
      </c>
      <c r="B693" s="61"/>
      <c r="C693" s="61" t="s">
        <v>14</v>
      </c>
      <c r="D693" s="138">
        <f t="shared" ref="D693:E693" si="5">SUM(D689:D692)</f>
        <v>0</v>
      </c>
      <c r="E693" s="138">
        <f t="shared" si="5"/>
        <v>0</v>
      </c>
      <c r="F693" s="138">
        <f>SUM(F689:F692)</f>
        <v>2581542.3800000004</v>
      </c>
      <c r="G693" s="83">
        <f>D693+E693+F693</f>
        <v>2581542.3800000004</v>
      </c>
      <c r="H693" s="2"/>
      <c r="I693" s="2"/>
      <c r="J693" s="2"/>
      <c r="K693" s="2"/>
      <c r="L693" s="2"/>
    </row>
    <row r="694" spans="1:12" ht="15" customHeight="1" x14ac:dyDescent="0.2">
      <c r="A694" s="147" t="s">
        <v>387</v>
      </c>
      <c r="B694" s="148"/>
      <c r="C694" s="148"/>
      <c r="D694" s="149"/>
      <c r="E694" s="149"/>
      <c r="F694" s="149"/>
      <c r="G694" s="149"/>
      <c r="H694" s="2"/>
      <c r="I694" s="2"/>
      <c r="J694" s="2"/>
      <c r="K694" s="2"/>
      <c r="L694" s="2"/>
    </row>
    <row r="695" spans="1:12" ht="15" customHeight="1" x14ac:dyDescent="0.2">
      <c r="A695" s="147" t="s">
        <v>387</v>
      </c>
      <c r="B695" s="7"/>
      <c r="C695" s="113"/>
      <c r="D695" s="114"/>
      <c r="E695" s="114"/>
      <c r="F695" s="114"/>
      <c r="G695" s="114"/>
      <c r="H695" s="2"/>
      <c r="I695" s="2"/>
      <c r="J695" s="2"/>
      <c r="K695" s="2"/>
      <c r="L695" s="2"/>
    </row>
    <row r="696" spans="1:12" ht="15" customHeight="1" x14ac:dyDescent="0.2">
      <c r="A696" s="1" t="s">
        <v>387</v>
      </c>
      <c r="B696" s="404" t="s">
        <v>119</v>
      </c>
      <c r="C696" s="404"/>
      <c r="D696" s="404"/>
      <c r="E696" s="404"/>
      <c r="F696" s="404"/>
      <c r="G696" s="404"/>
      <c r="H696" s="2"/>
      <c r="I696" s="2"/>
      <c r="J696" s="2"/>
      <c r="K696" s="2"/>
      <c r="L696" s="2"/>
    </row>
    <row r="697" spans="1:12" ht="15" customHeight="1" x14ac:dyDescent="0.2">
      <c r="A697" s="1" t="s">
        <v>387</v>
      </c>
      <c r="B697" s="414" t="str">
        <f>+B3</f>
        <v>PRESUPUESTO AÑO 2024</v>
      </c>
      <c r="C697" s="414"/>
      <c r="D697" s="414"/>
      <c r="E697" s="414"/>
      <c r="F697" s="414"/>
      <c r="G697" s="414"/>
      <c r="H697" s="2"/>
      <c r="I697" s="2"/>
      <c r="J697" s="2"/>
      <c r="K697" s="2"/>
      <c r="L697" s="2"/>
    </row>
    <row r="698" spans="1:12" ht="15" customHeight="1" x14ac:dyDescent="0.2">
      <c r="A698" s="1" t="s">
        <v>387</v>
      </c>
      <c r="B698" s="414" t="str">
        <f>B2</f>
        <v>PRESUPUESTO EXTRA CONTABLE</v>
      </c>
      <c r="C698" s="414"/>
      <c r="D698" s="414"/>
      <c r="E698" s="414"/>
      <c r="F698" s="414"/>
      <c r="G698" s="414"/>
      <c r="H698" s="2"/>
      <c r="I698" s="2"/>
      <c r="J698" s="2"/>
      <c r="K698" s="2"/>
      <c r="L698" s="2"/>
    </row>
    <row r="699" spans="1:12" ht="15" customHeight="1" x14ac:dyDescent="0.2">
      <c r="A699" s="1" t="s">
        <v>387</v>
      </c>
      <c r="B699" s="404" t="s">
        <v>118</v>
      </c>
      <c r="C699" s="404"/>
      <c r="D699" s="404"/>
      <c r="E699" s="404"/>
      <c r="F699" s="404"/>
      <c r="G699" s="404"/>
      <c r="H699" s="2"/>
      <c r="I699" s="2"/>
      <c r="J699" s="2"/>
      <c r="K699" s="2"/>
      <c r="L699" s="2"/>
    </row>
    <row r="700" spans="1:12" ht="15" customHeight="1" x14ac:dyDescent="0.2">
      <c r="A700" s="1" t="s">
        <v>387</v>
      </c>
      <c r="B700" s="404" t="s">
        <v>617</v>
      </c>
      <c r="C700" s="404"/>
      <c r="D700" s="404"/>
      <c r="E700" s="404"/>
      <c r="F700" s="404"/>
      <c r="G700" s="404"/>
      <c r="H700" s="2"/>
      <c r="I700" s="2"/>
      <c r="J700" s="2"/>
      <c r="K700" s="2"/>
      <c r="L700" s="2"/>
    </row>
    <row r="701" spans="1:12" ht="15" customHeight="1" x14ac:dyDescent="0.2">
      <c r="A701" s="1" t="s">
        <v>387</v>
      </c>
      <c r="B701" s="415" t="s">
        <v>1</v>
      </c>
      <c r="C701" s="87"/>
      <c r="D701" s="71" t="s">
        <v>56</v>
      </c>
      <c r="E701" s="71" t="str">
        <f>E6</f>
        <v>REFORMA</v>
      </c>
      <c r="F701" s="71" t="s">
        <v>56</v>
      </c>
      <c r="G701" s="88" t="str">
        <f>$G$6</f>
        <v>TOTAL 2024</v>
      </c>
      <c r="H701" s="2"/>
      <c r="I701" s="2"/>
      <c r="J701" s="2"/>
      <c r="K701" s="2"/>
      <c r="L701" s="2"/>
    </row>
    <row r="702" spans="1:12" ht="15" customHeight="1" x14ac:dyDescent="0.2">
      <c r="A702" s="1" t="s">
        <v>387</v>
      </c>
      <c r="B702" s="416"/>
      <c r="C702" s="72" t="s">
        <v>0</v>
      </c>
      <c r="D702" s="71" t="s">
        <v>139</v>
      </c>
      <c r="E702" s="71"/>
      <c r="F702" s="71" t="s">
        <v>140</v>
      </c>
      <c r="G702" s="71"/>
      <c r="H702" s="2"/>
      <c r="I702" s="2"/>
      <c r="J702" s="2"/>
      <c r="K702" s="2"/>
      <c r="L702" s="2"/>
    </row>
    <row r="703" spans="1:12" ht="15" customHeight="1" x14ac:dyDescent="0.2">
      <c r="A703" s="1">
        <v>35</v>
      </c>
      <c r="B703" s="89">
        <f>EGRESOS!C2159</f>
        <v>61601</v>
      </c>
      <c r="C703" s="155" t="str">
        <f>EGRESOS!D2159</f>
        <v>VIALES</v>
      </c>
      <c r="D703" s="156">
        <f>EGRESOS!E2159</f>
        <v>73207.87</v>
      </c>
      <c r="E703" s="156">
        <f>EGRESOS!F2159</f>
        <v>0</v>
      </c>
      <c r="F703" s="156">
        <f>EGRESOS!G2159</f>
        <v>0</v>
      </c>
      <c r="G703" s="91">
        <f>D703+E703+F703</f>
        <v>73207.87</v>
      </c>
      <c r="H703" s="2"/>
      <c r="I703" s="2"/>
      <c r="J703" s="2"/>
      <c r="K703" s="2"/>
      <c r="L703" s="2"/>
    </row>
    <row r="704" spans="1:12" ht="15" customHeight="1" x14ac:dyDescent="0.2">
      <c r="A704" s="1">
        <v>35</v>
      </c>
      <c r="B704" s="89">
        <f>EGRESOS!C2160</f>
        <v>61603</v>
      </c>
      <c r="C704" s="155" t="str">
        <f>EGRESOS!D2160</f>
        <v>DE EDUCACION Y RECREACION</v>
      </c>
      <c r="D704" s="156">
        <f>EGRESOS!E2160</f>
        <v>0</v>
      </c>
      <c r="E704" s="156">
        <f>EGRESOS!F2160</f>
        <v>0</v>
      </c>
      <c r="F704" s="156">
        <f>EGRESOS!G2160</f>
        <v>0</v>
      </c>
      <c r="G704" s="91">
        <f>D704+E704+F704</f>
        <v>0</v>
      </c>
      <c r="H704" s="2"/>
      <c r="I704" s="2"/>
      <c r="J704" s="2"/>
      <c r="K704" s="2"/>
      <c r="L704" s="2"/>
    </row>
    <row r="705" spans="1:12" ht="15" customHeight="1" x14ac:dyDescent="0.2">
      <c r="A705" s="1">
        <v>35</v>
      </c>
      <c r="B705" s="89">
        <f>EGRESOS!C2161</f>
        <v>61604</v>
      </c>
      <c r="C705" s="155" t="str">
        <f>EGRESOS!D2161</f>
        <v>DE VIVIENDA Y OFICINA</v>
      </c>
      <c r="D705" s="156">
        <f>EGRESOS!E2161</f>
        <v>0</v>
      </c>
      <c r="E705" s="156">
        <f>EGRESOS!F2161</f>
        <v>0</v>
      </c>
      <c r="F705" s="156">
        <f>EGRESOS!G2161</f>
        <v>0</v>
      </c>
      <c r="G705" s="91">
        <f>D705+E705+F705</f>
        <v>0</v>
      </c>
      <c r="H705" s="2"/>
      <c r="I705" s="2"/>
      <c r="J705" s="2"/>
      <c r="K705" s="2"/>
      <c r="L705" s="2"/>
    </row>
    <row r="706" spans="1:12" ht="15" customHeight="1" x14ac:dyDescent="0.2">
      <c r="A706" s="1">
        <v>35</v>
      </c>
      <c r="B706" s="89">
        <f>EGRESOS!C2162</f>
        <v>61699</v>
      </c>
      <c r="C706" s="155" t="str">
        <f>EGRESOS!D2162</f>
        <v>OBRAS DE INFRAESTRUCTURAS DIVERSAS</v>
      </c>
      <c r="D706" s="156">
        <f>EGRESOS!E2162</f>
        <v>0</v>
      </c>
      <c r="E706" s="156">
        <f>EGRESOS!F2162</f>
        <v>0</v>
      </c>
      <c r="F706" s="156">
        <f>EGRESOS!G2162</f>
        <v>0</v>
      </c>
      <c r="G706" s="91">
        <f>D706+E706+F706</f>
        <v>0</v>
      </c>
      <c r="H706" s="2"/>
      <c r="I706" s="2"/>
      <c r="J706" s="2"/>
      <c r="K706" s="2"/>
      <c r="L706" s="2"/>
    </row>
    <row r="707" spans="1:12" ht="15" customHeight="1" x14ac:dyDescent="0.2">
      <c r="A707" s="1" t="s">
        <v>387</v>
      </c>
      <c r="B707" s="89"/>
      <c r="C707" s="89" t="s">
        <v>14</v>
      </c>
      <c r="D707" s="82">
        <f>SUM(D703:D706)</f>
        <v>73207.87</v>
      </c>
      <c r="E707" s="82">
        <f>SUM(E703:E706)</f>
        <v>0</v>
      </c>
      <c r="F707" s="82">
        <f>SUM(F703:F706)</f>
        <v>0</v>
      </c>
      <c r="G707" s="82">
        <f>SUM(G703:G706)</f>
        <v>73207.87</v>
      </c>
      <c r="H707" s="2"/>
      <c r="I707" s="2"/>
      <c r="J707" s="2"/>
      <c r="K707" s="2"/>
      <c r="L707" s="2"/>
    </row>
    <row r="708" spans="1:12" ht="15" customHeight="1" x14ac:dyDescent="0.2">
      <c r="A708" s="1" t="s">
        <v>387</v>
      </c>
      <c r="B708" s="7"/>
      <c r="C708" s="7"/>
      <c r="D708" s="114"/>
      <c r="E708" s="114"/>
      <c r="F708" s="114"/>
      <c r="G708" s="114"/>
      <c r="H708" s="2"/>
      <c r="I708" s="2"/>
      <c r="J708" s="2"/>
      <c r="K708" s="2"/>
      <c r="L708" s="2"/>
    </row>
    <row r="709" spans="1:12" ht="15" customHeight="1" x14ac:dyDescent="0.2">
      <c r="A709" s="1" t="s">
        <v>387</v>
      </c>
      <c r="B709" s="145"/>
      <c r="C709" s="146"/>
      <c r="D709" s="86"/>
      <c r="E709" s="86"/>
      <c r="F709" s="85"/>
      <c r="G709" s="86"/>
      <c r="H709" s="2"/>
      <c r="I709" s="2"/>
      <c r="J709" s="2"/>
      <c r="K709" s="2"/>
      <c r="L709" s="2"/>
    </row>
    <row r="710" spans="1:12" ht="15" customHeight="1" x14ac:dyDescent="0.2">
      <c r="A710" s="1" t="s">
        <v>387</v>
      </c>
      <c r="B710" s="404" t="s">
        <v>119</v>
      </c>
      <c r="C710" s="404"/>
      <c r="D710" s="404"/>
      <c r="E710" s="404"/>
      <c r="F710" s="404"/>
      <c r="G710" s="404"/>
      <c r="H710" s="2"/>
      <c r="I710" s="2"/>
      <c r="J710" s="2"/>
      <c r="K710" s="2"/>
      <c r="L710" s="2"/>
    </row>
    <row r="711" spans="1:12" ht="15" customHeight="1" x14ac:dyDescent="0.2">
      <c r="A711" s="1" t="s">
        <v>387</v>
      </c>
      <c r="B711" s="414" t="str">
        <f>+B697</f>
        <v>PRESUPUESTO AÑO 2024</v>
      </c>
      <c r="C711" s="414"/>
      <c r="D711" s="414"/>
      <c r="E711" s="414"/>
      <c r="F711" s="414"/>
      <c r="G711" s="414"/>
      <c r="H711" s="2"/>
      <c r="I711" s="2"/>
      <c r="J711" s="2"/>
      <c r="K711" s="2"/>
      <c r="L711" s="2"/>
    </row>
    <row r="712" spans="1:12" ht="15" customHeight="1" x14ac:dyDescent="0.2">
      <c r="A712" s="1" t="s">
        <v>387</v>
      </c>
      <c r="B712" s="414" t="str">
        <f>B2</f>
        <v>PRESUPUESTO EXTRA CONTABLE</v>
      </c>
      <c r="C712" s="414"/>
      <c r="D712" s="414"/>
      <c r="E712" s="414"/>
      <c r="F712" s="414"/>
      <c r="G712" s="414"/>
      <c r="H712" s="2"/>
      <c r="I712" s="2"/>
      <c r="J712" s="2"/>
      <c r="K712" s="2"/>
      <c r="L712" s="2"/>
    </row>
    <row r="713" spans="1:12" ht="15" customHeight="1" x14ac:dyDescent="0.2">
      <c r="A713" s="1" t="s">
        <v>387</v>
      </c>
      <c r="B713" s="404" t="s">
        <v>118</v>
      </c>
      <c r="C713" s="404"/>
      <c r="D713" s="404"/>
      <c r="E713" s="404"/>
      <c r="F713" s="404"/>
      <c r="G713" s="404"/>
      <c r="H713" s="2"/>
      <c r="I713" s="2"/>
      <c r="J713" s="2"/>
      <c r="K713" s="2"/>
      <c r="L713" s="2"/>
    </row>
    <row r="714" spans="1:12" ht="15" customHeight="1" x14ac:dyDescent="0.2">
      <c r="A714" s="1" t="s">
        <v>387</v>
      </c>
      <c r="B714" s="404" t="s">
        <v>329</v>
      </c>
      <c r="C714" s="404"/>
      <c r="D714" s="404"/>
      <c r="E714" s="404"/>
      <c r="F714" s="404"/>
      <c r="G714" s="404"/>
      <c r="H714" s="2"/>
      <c r="I714" s="2"/>
      <c r="J714" s="2"/>
      <c r="K714" s="2"/>
      <c r="L714" s="2"/>
    </row>
    <row r="715" spans="1:12" ht="15" customHeight="1" x14ac:dyDescent="0.2">
      <c r="A715" s="1" t="s">
        <v>387</v>
      </c>
      <c r="B715" s="419" t="s">
        <v>1</v>
      </c>
      <c r="C715" s="87"/>
      <c r="D715" s="71" t="s">
        <v>56</v>
      </c>
      <c r="E715" s="71" t="str">
        <f>E6</f>
        <v>REFORMA</v>
      </c>
      <c r="F715" s="71" t="s">
        <v>56</v>
      </c>
      <c r="G715" s="88" t="str">
        <f>$G$6</f>
        <v>TOTAL 2024</v>
      </c>
      <c r="H715" s="30"/>
      <c r="I715" s="30"/>
      <c r="J715" s="30"/>
      <c r="K715" s="30"/>
      <c r="L715" s="30"/>
    </row>
    <row r="716" spans="1:12" ht="15" customHeight="1" x14ac:dyDescent="0.2">
      <c r="A716" s="1" t="s">
        <v>387</v>
      </c>
      <c r="B716" s="419"/>
      <c r="C716" s="72" t="s">
        <v>0</v>
      </c>
      <c r="D716" s="71" t="s">
        <v>420</v>
      </c>
      <c r="E716" s="71"/>
      <c r="F716" s="71" t="s">
        <v>140</v>
      </c>
      <c r="G716" s="71"/>
      <c r="H716" s="72" t="s">
        <v>286</v>
      </c>
      <c r="I716" s="72" t="s">
        <v>290</v>
      </c>
      <c r="J716" s="72" t="s">
        <v>291</v>
      </c>
      <c r="K716" s="72" t="s">
        <v>293</v>
      </c>
      <c r="L716" s="72" t="s">
        <v>292</v>
      </c>
    </row>
    <row r="717" spans="1:12" ht="15" customHeight="1" x14ac:dyDescent="0.2">
      <c r="A717" s="1">
        <v>70</v>
      </c>
      <c r="B717" s="89">
        <f>EGRESOS!C2174</f>
        <v>51901</v>
      </c>
      <c r="C717" s="155" t="str">
        <f>EGRESOS!D2174</f>
        <v>HONORARIOS PROFESIONALES</v>
      </c>
      <c r="D717" s="97">
        <f>EGRESOS!E2174</f>
        <v>0</v>
      </c>
      <c r="E717" s="97">
        <f>EGRESOS!F2174</f>
        <v>0</v>
      </c>
      <c r="F717" s="97">
        <f>EGRESOS!G2174</f>
        <v>20000</v>
      </c>
      <c r="G717" s="97">
        <f>EGRESOS!H2174</f>
        <v>20000</v>
      </c>
      <c r="H717" s="30"/>
      <c r="I717" s="30"/>
      <c r="J717" s="30"/>
      <c r="K717" s="30"/>
      <c r="L717" s="30"/>
    </row>
    <row r="718" spans="1:12" ht="15" customHeight="1" x14ac:dyDescent="0.2">
      <c r="A718" s="1">
        <v>70</v>
      </c>
      <c r="B718" s="89">
        <f>EGRESOS!C2175</f>
        <v>55603</v>
      </c>
      <c r="C718" s="155" t="str">
        <f>EGRESOS!D2175</f>
        <v>COMISIONES Y GASTOS BANCARIOS</v>
      </c>
      <c r="D718" s="97">
        <f>EGRESOS!E2175</f>
        <v>0</v>
      </c>
      <c r="E718" s="97">
        <f>EGRESOS!F2175</f>
        <v>0</v>
      </c>
      <c r="F718" s="97">
        <f>EGRESOS!G2175</f>
        <v>0</v>
      </c>
      <c r="G718" s="97">
        <f>EGRESOS!H2175</f>
        <v>0</v>
      </c>
      <c r="H718" s="30"/>
      <c r="I718" s="30"/>
      <c r="J718" s="30"/>
      <c r="K718" s="30"/>
      <c r="L718" s="30"/>
    </row>
    <row r="719" spans="1:12" ht="15" customHeight="1" x14ac:dyDescent="0.2">
      <c r="A719" s="1">
        <v>70</v>
      </c>
      <c r="B719" s="89">
        <f>EGRESOS!C2176</f>
        <v>61599</v>
      </c>
      <c r="C719" s="155" t="str">
        <f>EGRESOS!D2176</f>
        <v>PROYECTOS  Y PROGRAMAS DE INV. DIVERSOS</v>
      </c>
      <c r="D719" s="97">
        <f>EGRESOS!E2176</f>
        <v>0</v>
      </c>
      <c r="E719" s="97">
        <f>EGRESOS!F2176</f>
        <v>0</v>
      </c>
      <c r="F719" s="97">
        <f>EGRESOS!G2176</f>
        <v>0</v>
      </c>
      <c r="G719" s="97">
        <f>EGRESOS!H2176</f>
        <v>0</v>
      </c>
      <c r="H719" s="30"/>
      <c r="I719" s="30"/>
      <c r="J719" s="30"/>
      <c r="K719" s="30"/>
      <c r="L719" s="30"/>
    </row>
    <row r="720" spans="1:12" ht="15" customHeight="1" x14ac:dyDescent="0.2">
      <c r="A720" s="1">
        <v>70</v>
      </c>
      <c r="B720" s="89">
        <f>EGRESOS!C2177</f>
        <v>61601</v>
      </c>
      <c r="C720" s="155" t="str">
        <f>EGRESOS!D2177</f>
        <v>VIALES</v>
      </c>
      <c r="D720" s="97">
        <f>EGRESOS!E2177</f>
        <v>0</v>
      </c>
      <c r="E720" s="97">
        <f>EGRESOS!F2177</f>
        <v>0</v>
      </c>
      <c r="F720" s="97">
        <f>EGRESOS!G2177</f>
        <v>0</v>
      </c>
      <c r="G720" s="97">
        <f>EGRESOS!H2177</f>
        <v>0</v>
      </c>
      <c r="H720" s="30"/>
      <c r="I720" s="30"/>
      <c r="J720" s="30"/>
      <c r="K720" s="30"/>
      <c r="L720" s="30"/>
    </row>
    <row r="721" spans="1:12" ht="15" customHeight="1" x14ac:dyDescent="0.2">
      <c r="A721" s="1">
        <v>70</v>
      </c>
      <c r="B721" s="89">
        <f>EGRESOS!C2178</f>
        <v>61603</v>
      </c>
      <c r="C721" s="155" t="str">
        <f>EGRESOS!D2178</f>
        <v>DE EDUCACION Y RECREACION</v>
      </c>
      <c r="D721" s="97">
        <f>EGRESOS!E2178</f>
        <v>0</v>
      </c>
      <c r="E721" s="97">
        <f>EGRESOS!F2178</f>
        <v>0</v>
      </c>
      <c r="F721" s="97">
        <f>EGRESOS!G2178</f>
        <v>38790.1</v>
      </c>
      <c r="G721" s="97">
        <f>EGRESOS!H2178</f>
        <v>38790.1</v>
      </c>
      <c r="H721" s="30"/>
      <c r="I721" s="30"/>
      <c r="J721" s="30"/>
      <c r="K721" s="30"/>
      <c r="L721" s="30"/>
    </row>
    <row r="722" spans="1:12" ht="15" customHeight="1" x14ac:dyDescent="0.2">
      <c r="A722" s="1">
        <v>70</v>
      </c>
      <c r="B722" s="89">
        <f>EGRESOS!C2179</f>
        <v>61699</v>
      </c>
      <c r="C722" s="155" t="str">
        <f>EGRESOS!D2179</f>
        <v>OBRAS DE INFRAESTRUCTURAS DIVERSAS</v>
      </c>
      <c r="D722" s="97">
        <f>EGRESOS!E2179</f>
        <v>0</v>
      </c>
      <c r="E722" s="97">
        <f>EGRESOS!F2179</f>
        <v>0</v>
      </c>
      <c r="F722" s="97">
        <f>EGRESOS!G2179</f>
        <v>10350.98</v>
      </c>
      <c r="G722" s="97">
        <f>EGRESOS!H2179</f>
        <v>10350.98</v>
      </c>
      <c r="H722" s="30"/>
      <c r="I722" s="30"/>
      <c r="J722" s="30"/>
      <c r="K722" s="30"/>
      <c r="L722" s="30"/>
    </row>
    <row r="723" spans="1:12" ht="15" customHeight="1" x14ac:dyDescent="0.2">
      <c r="A723" s="1" t="s">
        <v>387</v>
      </c>
      <c r="B723" s="89"/>
      <c r="C723" s="72" t="s">
        <v>14</v>
      </c>
      <c r="D723" s="82">
        <f>SUM(D717:D722)</f>
        <v>0</v>
      </c>
      <c r="E723" s="82">
        <f>SUM(E717:E722)</f>
        <v>0</v>
      </c>
      <c r="F723" s="82">
        <f>SUM(F717:F722)</f>
        <v>69141.08</v>
      </c>
      <c r="G723" s="82">
        <f>SUM(G717:G722)</f>
        <v>69141.08</v>
      </c>
      <c r="H723" s="30"/>
      <c r="I723" s="30"/>
      <c r="J723" s="30"/>
      <c r="K723" s="30"/>
      <c r="L723" s="30"/>
    </row>
    <row r="724" spans="1:12" ht="15" customHeight="1" x14ac:dyDescent="0.2">
      <c r="A724" s="1" t="s">
        <v>387</v>
      </c>
      <c r="B724" s="7"/>
      <c r="C724" s="113"/>
      <c r="D724" s="114"/>
      <c r="E724" s="114"/>
      <c r="F724" s="86"/>
      <c r="G724" s="86"/>
      <c r="H724" s="2"/>
      <c r="I724" s="2"/>
      <c r="J724" s="2"/>
      <c r="K724" s="2"/>
      <c r="L724" s="2"/>
    </row>
    <row r="725" spans="1:12" ht="15" customHeight="1" x14ac:dyDescent="0.2">
      <c r="A725" s="1" t="s">
        <v>387</v>
      </c>
      <c r="B725" s="7"/>
      <c r="C725" s="113"/>
      <c r="D725" s="114"/>
      <c r="E725" s="114"/>
      <c r="F725" s="86"/>
      <c r="G725" s="86"/>
      <c r="H725" s="2"/>
      <c r="I725" s="2"/>
      <c r="J725" s="2"/>
      <c r="K725" s="2"/>
      <c r="L725" s="2"/>
    </row>
    <row r="726" spans="1:12" ht="12" customHeight="1" x14ac:dyDescent="0.2">
      <c r="A726" s="1" t="s">
        <v>387</v>
      </c>
      <c r="B726" s="7"/>
      <c r="C726" s="113"/>
      <c r="D726" s="114"/>
      <c r="E726" s="114"/>
      <c r="F726" s="86"/>
      <c r="G726" s="86"/>
      <c r="H726" s="2"/>
      <c r="I726" s="2"/>
      <c r="J726" s="2"/>
      <c r="K726" s="2"/>
      <c r="L726" s="2"/>
    </row>
    <row r="727" spans="1:12" ht="12" customHeight="1" x14ac:dyDescent="0.2">
      <c r="A727" s="1" t="s">
        <v>387</v>
      </c>
      <c r="B727" s="404" t="s">
        <v>119</v>
      </c>
      <c r="C727" s="404"/>
      <c r="D727" s="404"/>
      <c r="E727" s="404"/>
      <c r="F727" s="404"/>
      <c r="G727" s="404"/>
      <c r="H727" s="2"/>
      <c r="I727" s="2"/>
      <c r="J727" s="2"/>
      <c r="K727" s="2"/>
      <c r="L727" s="2"/>
    </row>
    <row r="728" spans="1:12" ht="12" customHeight="1" x14ac:dyDescent="0.2">
      <c r="A728" s="1" t="s">
        <v>387</v>
      </c>
      <c r="B728" s="414" t="str">
        <f>+B711</f>
        <v>PRESUPUESTO AÑO 2024</v>
      </c>
      <c r="C728" s="414"/>
      <c r="D728" s="414"/>
      <c r="E728" s="414"/>
      <c r="F728" s="414"/>
      <c r="G728" s="414"/>
      <c r="H728" s="2"/>
      <c r="I728" s="2"/>
      <c r="J728" s="2"/>
      <c r="K728" s="2"/>
      <c r="L728" s="2"/>
    </row>
    <row r="729" spans="1:12" ht="12" customHeight="1" x14ac:dyDescent="0.2">
      <c r="A729" s="1" t="s">
        <v>387</v>
      </c>
      <c r="B729" s="414" t="str">
        <f>B2</f>
        <v>PRESUPUESTO EXTRA CONTABLE</v>
      </c>
      <c r="C729" s="414"/>
      <c r="D729" s="414"/>
      <c r="E729" s="414"/>
      <c r="F729" s="414"/>
      <c r="G729" s="414"/>
      <c r="H729" s="2"/>
      <c r="I729" s="2"/>
      <c r="J729" s="2"/>
      <c r="K729" s="2"/>
      <c r="L729" s="2"/>
    </row>
    <row r="730" spans="1:12" ht="12" customHeight="1" x14ac:dyDescent="0.2">
      <c r="A730" s="1" t="s">
        <v>387</v>
      </c>
      <c r="B730" s="404" t="s">
        <v>118</v>
      </c>
      <c r="C730" s="404"/>
      <c r="D730" s="404"/>
      <c r="E730" s="404"/>
      <c r="F730" s="404"/>
      <c r="G730" s="404"/>
      <c r="H730" s="2"/>
      <c r="I730" s="2"/>
      <c r="J730" s="2"/>
      <c r="K730" s="2"/>
      <c r="L730" s="2"/>
    </row>
    <row r="731" spans="1:12" ht="12" customHeight="1" x14ac:dyDescent="0.2">
      <c r="A731" s="1" t="s">
        <v>387</v>
      </c>
      <c r="B731" s="404" t="s">
        <v>367</v>
      </c>
      <c r="C731" s="404"/>
      <c r="D731" s="404"/>
      <c r="E731" s="404"/>
      <c r="F731" s="404"/>
      <c r="G731" s="404"/>
      <c r="H731" s="2"/>
      <c r="I731" s="2"/>
      <c r="J731" s="2"/>
      <c r="K731" s="2"/>
      <c r="L731" s="2"/>
    </row>
    <row r="732" spans="1:12" ht="12" customHeight="1" x14ac:dyDescent="0.2">
      <c r="A732" s="1" t="s">
        <v>387</v>
      </c>
      <c r="B732" s="415" t="s">
        <v>1</v>
      </c>
      <c r="C732" s="87"/>
      <c r="D732" s="71" t="s">
        <v>56</v>
      </c>
      <c r="E732" s="71" t="e">
        <f>#REF!</f>
        <v>#REF!</v>
      </c>
      <c r="F732" s="71" t="s">
        <v>56</v>
      </c>
      <c r="G732" s="88" t="str">
        <f>$H$6</f>
        <v>EJECUCION</v>
      </c>
      <c r="H732" s="2"/>
      <c r="I732" s="2"/>
      <c r="J732" s="2"/>
      <c r="K732" s="2"/>
      <c r="L732" s="2"/>
    </row>
    <row r="733" spans="1:12" ht="12" customHeight="1" x14ac:dyDescent="0.2">
      <c r="A733" s="1" t="s">
        <v>387</v>
      </c>
      <c r="B733" s="416"/>
      <c r="C733" s="72" t="s">
        <v>0</v>
      </c>
      <c r="D733" s="71" t="s">
        <v>139</v>
      </c>
      <c r="E733" s="71"/>
      <c r="F733" s="71" t="s">
        <v>140</v>
      </c>
      <c r="G733" s="71"/>
      <c r="H733" s="2"/>
      <c r="I733" s="2"/>
      <c r="J733" s="2"/>
      <c r="K733" s="2"/>
      <c r="L733" s="2"/>
    </row>
    <row r="734" spans="1:12" ht="12" customHeight="1" x14ac:dyDescent="0.2">
      <c r="A734" s="1">
        <v>72</v>
      </c>
      <c r="B734" s="89">
        <v>72101</v>
      </c>
      <c r="C734" s="96" t="s">
        <v>366</v>
      </c>
      <c r="D734" s="157">
        <f>EGRESOS!E2191</f>
        <v>46593.38</v>
      </c>
      <c r="E734" s="157">
        <f>EGRESOS!F2191</f>
        <v>0</v>
      </c>
      <c r="F734" s="157">
        <f>EGRESOS!G2191</f>
        <v>160</v>
      </c>
      <c r="G734" s="91">
        <f>D734+E734+F734</f>
        <v>46753.38</v>
      </c>
      <c r="H734" s="2"/>
      <c r="I734" s="2"/>
      <c r="J734" s="2"/>
      <c r="K734" s="2"/>
      <c r="L734" s="2"/>
    </row>
    <row r="735" spans="1:12" ht="12" customHeight="1" x14ac:dyDescent="0.2">
      <c r="A735" s="1" t="s">
        <v>387</v>
      </c>
      <c r="B735" s="89"/>
      <c r="C735" s="94"/>
      <c r="D735" s="156"/>
      <c r="E735" s="156"/>
      <c r="F735" s="158"/>
      <c r="G735" s="91">
        <f>D735+E735+F735</f>
        <v>0</v>
      </c>
      <c r="H735" s="2"/>
      <c r="I735" s="2"/>
      <c r="J735" s="2"/>
      <c r="K735" s="2"/>
      <c r="L735" s="2"/>
    </row>
    <row r="736" spans="1:12" ht="12" customHeight="1" x14ac:dyDescent="0.2">
      <c r="A736" s="1" t="s">
        <v>387</v>
      </c>
      <c r="B736" s="89"/>
      <c r="C736" s="89" t="s">
        <v>14</v>
      </c>
      <c r="D736" s="82">
        <f>SUM(D734:D735)</f>
        <v>46593.38</v>
      </c>
      <c r="E736" s="82">
        <f>SUM(E734:E735)</f>
        <v>0</v>
      </c>
      <c r="F736" s="82">
        <f>SUM(F734:F735)</f>
        <v>160</v>
      </c>
      <c r="G736" s="91">
        <f>D736+E736+F736</f>
        <v>46753.38</v>
      </c>
      <c r="H736" s="2"/>
      <c r="I736" s="2"/>
      <c r="J736" s="2"/>
      <c r="K736" s="2"/>
      <c r="L736" s="2"/>
    </row>
    <row r="737" spans="1:17" ht="12" customHeight="1" x14ac:dyDescent="0.2">
      <c r="A737" s="1" t="s">
        <v>387</v>
      </c>
      <c r="B737" s="7"/>
      <c r="C737" s="7"/>
      <c r="D737" s="114"/>
      <c r="E737" s="114"/>
      <c r="F737" s="114"/>
      <c r="G737" s="114"/>
      <c r="H737" s="2"/>
      <c r="I737" s="2"/>
      <c r="J737" s="2"/>
      <c r="K737" s="2"/>
      <c r="L737" s="2"/>
    </row>
    <row r="738" spans="1:17" ht="12" customHeight="1" x14ac:dyDescent="0.2">
      <c r="A738" s="1" t="s">
        <v>387</v>
      </c>
      <c r="B738" s="7"/>
      <c r="C738" s="7"/>
      <c r="D738" s="114"/>
      <c r="E738" s="114"/>
      <c r="F738" s="114"/>
      <c r="G738" s="114"/>
      <c r="H738" s="2"/>
      <c r="I738" s="2"/>
      <c r="J738" s="2"/>
      <c r="K738" s="2"/>
      <c r="L738" s="2"/>
    </row>
    <row r="739" spans="1:17" ht="12" customHeight="1" x14ac:dyDescent="0.2">
      <c r="B739" s="404" t="s">
        <v>849</v>
      </c>
      <c r="C739" s="404"/>
      <c r="D739" s="404"/>
      <c r="E739" s="404"/>
      <c r="F739" s="404"/>
      <c r="G739" s="404"/>
      <c r="H739" s="159"/>
      <c r="I739" s="81"/>
      <c r="J739" s="81"/>
      <c r="K739" s="81"/>
      <c r="L739" s="81"/>
    </row>
    <row r="740" spans="1:17" ht="12" customHeight="1" x14ac:dyDescent="0.2">
      <c r="B740" s="404" t="s">
        <v>119</v>
      </c>
      <c r="C740" s="404"/>
      <c r="D740" s="404"/>
      <c r="E740" s="404"/>
      <c r="F740" s="404"/>
      <c r="G740" s="404"/>
      <c r="H740" s="159"/>
      <c r="I740" s="81"/>
      <c r="J740" s="81"/>
      <c r="K740" s="81"/>
      <c r="L740" s="81"/>
    </row>
    <row r="741" spans="1:17" ht="12" customHeight="1" x14ac:dyDescent="0.2">
      <c r="B741" s="404" t="str">
        <f>B2</f>
        <v>PRESUPUESTO EXTRA CONTABLE</v>
      </c>
      <c r="C741" s="404"/>
      <c r="D741" s="404"/>
      <c r="E741" s="404"/>
      <c r="F741" s="404"/>
      <c r="G741" s="404"/>
      <c r="H741" s="159"/>
      <c r="I741" s="81"/>
      <c r="J741" s="81"/>
      <c r="K741" s="81"/>
      <c r="L741" s="81"/>
    </row>
    <row r="742" spans="1:17" ht="12" customHeight="1" x14ac:dyDescent="0.2">
      <c r="B742" s="404" t="s">
        <v>252</v>
      </c>
      <c r="C742" s="404"/>
      <c r="D742" s="404"/>
      <c r="E742" s="404"/>
      <c r="F742" s="404"/>
      <c r="G742" s="404"/>
      <c r="H742" s="159"/>
      <c r="I742" s="81"/>
      <c r="J742" s="81"/>
      <c r="K742" s="81"/>
      <c r="L742" s="81"/>
    </row>
    <row r="743" spans="1:17" ht="12" customHeight="1" x14ac:dyDescent="0.2">
      <c r="B743" s="404" t="s">
        <v>180</v>
      </c>
      <c r="C743" s="404"/>
      <c r="D743" s="404"/>
      <c r="E743" s="404"/>
      <c r="F743" s="404"/>
      <c r="G743" s="404"/>
      <c r="H743" s="159"/>
      <c r="I743" s="81"/>
      <c r="J743" s="81"/>
      <c r="K743" s="81"/>
      <c r="L743" s="81"/>
    </row>
    <row r="744" spans="1:17" ht="12" customHeight="1" x14ac:dyDescent="0.2">
      <c r="B744" s="145"/>
      <c r="D744" s="85"/>
      <c r="E744" s="85"/>
      <c r="F744" s="86"/>
      <c r="G744" s="86"/>
      <c r="H744" s="81"/>
      <c r="I744" s="81"/>
      <c r="J744" s="81"/>
      <c r="K744" s="81"/>
      <c r="L744" s="81"/>
    </row>
    <row r="745" spans="1:17" ht="12" customHeight="1" x14ac:dyDescent="0.2">
      <c r="B745" s="145"/>
      <c r="D745" s="85"/>
      <c r="E745" s="85"/>
      <c r="F745" s="86"/>
      <c r="G745" s="86"/>
      <c r="H745" s="81"/>
      <c r="I745" s="81"/>
      <c r="J745" s="81"/>
      <c r="K745" s="81"/>
      <c r="L745" s="81"/>
    </row>
    <row r="746" spans="1:17" ht="12" customHeight="1" x14ac:dyDescent="0.2">
      <c r="B746" s="415" t="s">
        <v>164</v>
      </c>
      <c r="C746" s="419" t="s">
        <v>0</v>
      </c>
      <c r="D746" s="420" t="s">
        <v>163</v>
      </c>
      <c r="E746" s="420"/>
      <c r="F746" s="420"/>
      <c r="G746" s="420"/>
      <c r="H746" s="30"/>
      <c r="I746" s="30"/>
      <c r="J746" s="30"/>
      <c r="K746" s="30"/>
      <c r="L746" s="30"/>
    </row>
    <row r="747" spans="1:17" ht="12" customHeight="1" x14ac:dyDescent="0.2">
      <c r="B747" s="416"/>
      <c r="C747" s="419"/>
      <c r="D747" s="88" t="s">
        <v>139</v>
      </c>
      <c r="E747" s="88" t="s">
        <v>376</v>
      </c>
      <c r="F747" s="88" t="s">
        <v>140</v>
      </c>
      <c r="G747" s="88" t="s">
        <v>115</v>
      </c>
      <c r="H747" s="30"/>
      <c r="I747" s="30"/>
      <c r="J747" s="30"/>
      <c r="K747" s="30"/>
      <c r="L747" s="30"/>
    </row>
    <row r="748" spans="1:17" ht="12" customHeight="1" x14ac:dyDescent="0.2">
      <c r="A748" s="1">
        <v>2</v>
      </c>
      <c r="B748" s="160" t="s">
        <v>172</v>
      </c>
      <c r="C748" s="81" t="s">
        <v>128</v>
      </c>
      <c r="D748" s="97">
        <f>+D52</f>
        <v>0</v>
      </c>
      <c r="E748" s="91">
        <f>E52</f>
        <v>0</v>
      </c>
      <c r="F748" s="91">
        <f>F52</f>
        <v>905500.19</v>
      </c>
      <c r="G748" s="91">
        <f>+D748+E748+F748</f>
        <v>905500.19</v>
      </c>
      <c r="H748" s="30"/>
      <c r="I748" s="30"/>
      <c r="J748" s="30"/>
      <c r="K748" s="30"/>
      <c r="L748" s="30"/>
      <c r="M748" s="1">
        <f>+EGRESOS!G53</f>
        <v>905500.19</v>
      </c>
      <c r="N748" s="2">
        <f>+G748-M748</f>
        <v>0</v>
      </c>
      <c r="O748" s="2"/>
      <c r="P748" s="2">
        <f>+N748-EGRESOS!H2335</f>
        <v>-905500.19</v>
      </c>
    </row>
    <row r="749" spans="1:17" ht="12" customHeight="1" x14ac:dyDescent="0.2">
      <c r="A749" s="1">
        <v>4</v>
      </c>
      <c r="B749" s="160" t="s">
        <v>171</v>
      </c>
      <c r="C749" s="81" t="s">
        <v>165</v>
      </c>
      <c r="D749" s="97">
        <f>D110</f>
        <v>0</v>
      </c>
      <c r="E749" s="91">
        <f>E110</f>
        <v>0</v>
      </c>
      <c r="F749" s="91">
        <f>F110</f>
        <v>314888.34999999998</v>
      </c>
      <c r="G749" s="91">
        <f>+D749+E749+F749</f>
        <v>314888.34999999998</v>
      </c>
      <c r="H749" s="30"/>
      <c r="I749" s="30"/>
      <c r="J749" s="30"/>
      <c r="K749" s="30"/>
      <c r="L749" s="30"/>
      <c r="M749" s="1">
        <f>+EGRESOS!G104+EGRESOS!G141+EGRESOS!G184+EGRESOS!G220+EGRESOS!G260</f>
        <v>288632.34999999998</v>
      </c>
      <c r="N749" s="2">
        <f>+G749-M749</f>
        <v>26256</v>
      </c>
      <c r="O749" s="2"/>
      <c r="P749" s="2">
        <f>+N749-EGRESOS!H2336</f>
        <v>-248885.84999999998</v>
      </c>
    </row>
    <row r="750" spans="1:17" ht="12" customHeight="1" x14ac:dyDescent="0.2">
      <c r="A750" s="1">
        <v>48</v>
      </c>
      <c r="B750" s="160" t="s">
        <v>173</v>
      </c>
      <c r="C750" s="81" t="s">
        <v>427</v>
      </c>
      <c r="D750" s="97">
        <f>D159</f>
        <v>0</v>
      </c>
      <c r="E750" s="97">
        <f>E159</f>
        <v>0</v>
      </c>
      <c r="F750" s="97">
        <f>F159</f>
        <v>370922.20999999996</v>
      </c>
      <c r="G750" s="91">
        <f>+D750+E750+F750</f>
        <v>370922.20999999996</v>
      </c>
      <c r="H750" s="30"/>
      <c r="I750" s="30"/>
      <c r="J750" s="30"/>
      <c r="K750" s="30"/>
      <c r="L750" s="30"/>
      <c r="M750" s="1">
        <f>+EGRESOS!G1672+EGRESOS!G1590+EGRESOS!G512+EGRESOS!G473+EGRESOS!G435+EGRESOS!G317</f>
        <v>370922.21</v>
      </c>
      <c r="N750" s="2">
        <f>+G750-M750</f>
        <v>0</v>
      </c>
      <c r="O750" s="2"/>
      <c r="P750" s="2">
        <f>(EGRESOS!H2358+EGRESOS!H2357+EGRESOS!H2360)-N750</f>
        <v>299764.21000000002</v>
      </c>
      <c r="Q750" s="2"/>
    </row>
    <row r="751" spans="1:17" ht="12" customHeight="1" x14ac:dyDescent="0.2">
      <c r="A751" s="1">
        <v>6</v>
      </c>
      <c r="B751" s="160" t="s">
        <v>174</v>
      </c>
      <c r="C751" s="81" t="s">
        <v>352</v>
      </c>
      <c r="D751" s="97">
        <f>D218</f>
        <v>99900</v>
      </c>
      <c r="E751" s="91">
        <f>E218</f>
        <v>0</v>
      </c>
      <c r="F751" s="91">
        <f>F218</f>
        <v>826027.33</v>
      </c>
      <c r="G751" s="91">
        <f>+D751+E751+F751</f>
        <v>925927.33</v>
      </c>
      <c r="H751" s="30"/>
      <c r="I751" s="30"/>
      <c r="J751" s="30"/>
      <c r="K751" s="30"/>
      <c r="L751" s="30"/>
      <c r="M751" s="1">
        <f>+EGRESOS!H361+EGRESOS!H398+EGRESOS!H879+EGRESOS!H916+EGRESOS!H951+EGRESOS!H992+EGRESOS!H1220+EGRESOS!H1251+EGRESOS!H1336+EGRESOS!H1791+EGRESOS!H2098</f>
        <v>925927.33000000007</v>
      </c>
      <c r="N751" s="2">
        <f>+G751-M751</f>
        <v>0</v>
      </c>
      <c r="O751" s="2"/>
      <c r="P751" s="100">
        <f>(EGRESOS!H2337+EGRESOS!H2341+EGRESOS!H2342+EGRESOS!H2343+EGRESOS!H2344+EGRESOS!H2348+EGRESOS!H2349+EGRESOS!H2350+EGRESOS!H2364)-N751</f>
        <v>717667.64</v>
      </c>
      <c r="Q751" s="100"/>
    </row>
    <row r="752" spans="1:17" ht="12" customHeight="1" x14ac:dyDescent="0.2">
      <c r="A752" s="1">
        <v>10</v>
      </c>
      <c r="B752" s="160" t="s">
        <v>175</v>
      </c>
      <c r="C752" s="81" t="s">
        <v>368</v>
      </c>
      <c r="D752" s="97">
        <f>D333</f>
        <v>385000</v>
      </c>
      <c r="E752" s="91">
        <f>E333</f>
        <v>0</v>
      </c>
      <c r="F752" s="91">
        <f>F333</f>
        <v>3074521.1199999996</v>
      </c>
      <c r="G752" s="91">
        <f>+D752+E752+F752</f>
        <v>3459521.1199999996</v>
      </c>
      <c r="H752" s="30"/>
      <c r="I752" s="30"/>
      <c r="J752" s="30"/>
      <c r="K752" s="30"/>
      <c r="L752" s="30"/>
      <c r="M752" s="1">
        <f>+EGRESOS!H1714+EGRESOS!H1431+EGRESOS!H1391+EGRESOS!H1295+EGRESOS!H772+EGRESOS!H670+EGRESOS!H630+EGRESOS!H592+EGRESOS!H555</f>
        <v>3459521.1199999996</v>
      </c>
      <c r="N752" s="2">
        <f>+G752-M752</f>
        <v>0</v>
      </c>
      <c r="O752" s="2"/>
      <c r="P752" s="100">
        <f>(EGRESOS!H2338+EGRESOS!H2351+EGRESOS!H2352+EGRESOS!H2353+EGRESOS!H2354+EGRESOS!H2361)-N752</f>
        <v>3249069.48</v>
      </c>
    </row>
    <row r="753" spans="1:15" ht="12" customHeight="1" x14ac:dyDescent="0.2">
      <c r="A753" s="1">
        <v>12</v>
      </c>
      <c r="B753" s="381" t="s">
        <v>176</v>
      </c>
      <c r="C753" s="390" t="s">
        <v>379</v>
      </c>
      <c r="D753" s="97">
        <f>D372</f>
        <v>0</v>
      </c>
      <c r="E753" s="91">
        <f>E372</f>
        <v>0</v>
      </c>
      <c r="F753" s="91">
        <f>F372</f>
        <v>40251.68</v>
      </c>
      <c r="G753" s="91">
        <f t="shared" ref="G753:G756" si="6">+D753+E753+F753</f>
        <v>40251.68</v>
      </c>
      <c r="H753" s="30"/>
      <c r="I753" s="30"/>
      <c r="J753" s="30"/>
      <c r="K753" s="30"/>
      <c r="L753" s="30"/>
      <c r="N753" s="2"/>
      <c r="O753" s="2"/>
    </row>
    <row r="754" spans="1:15" ht="12" customHeight="1" x14ac:dyDescent="0.2">
      <c r="A754" s="1">
        <v>14</v>
      </c>
      <c r="B754" s="381" t="s">
        <v>177</v>
      </c>
      <c r="C754" s="390" t="s">
        <v>369</v>
      </c>
      <c r="D754" s="97">
        <f>D406</f>
        <v>0</v>
      </c>
      <c r="E754" s="91">
        <f>E406</f>
        <v>0</v>
      </c>
      <c r="F754" s="91">
        <f>F406</f>
        <v>22978</v>
      </c>
      <c r="G754" s="91">
        <f t="shared" si="6"/>
        <v>22978</v>
      </c>
      <c r="H754" s="30"/>
      <c r="I754" s="30"/>
      <c r="J754" s="30"/>
      <c r="K754" s="30"/>
      <c r="L754" s="30"/>
      <c r="N754" s="2"/>
      <c r="O754" s="2"/>
    </row>
    <row r="755" spans="1:15" ht="12" customHeight="1" x14ac:dyDescent="0.2">
      <c r="A755" s="1">
        <v>22</v>
      </c>
      <c r="B755" s="381" t="s">
        <v>178</v>
      </c>
      <c r="C755" s="122" t="s">
        <v>129</v>
      </c>
      <c r="D755" s="97">
        <f>D438</f>
        <v>0</v>
      </c>
      <c r="E755" s="91">
        <f>E438</f>
        <v>0</v>
      </c>
      <c r="F755" s="91">
        <f>F438</f>
        <v>28636.5</v>
      </c>
      <c r="G755" s="91">
        <f t="shared" si="6"/>
        <v>28636.5</v>
      </c>
      <c r="H755" s="30"/>
      <c r="I755" s="30"/>
      <c r="J755" s="30"/>
      <c r="K755" s="30"/>
      <c r="L755" s="30"/>
      <c r="N755" s="2"/>
      <c r="O755" s="2"/>
    </row>
    <row r="756" spans="1:15" ht="12" customHeight="1" x14ac:dyDescent="0.2">
      <c r="A756" s="1">
        <v>24</v>
      </c>
      <c r="B756" s="381" t="s">
        <v>179</v>
      </c>
      <c r="C756" s="390" t="s">
        <v>382</v>
      </c>
      <c r="D756" s="97">
        <f>D473</f>
        <v>0</v>
      </c>
      <c r="E756" s="91">
        <f>E473</f>
        <v>0</v>
      </c>
      <c r="F756" s="91">
        <f>F473</f>
        <v>41257.5</v>
      </c>
      <c r="G756" s="91">
        <f t="shared" si="6"/>
        <v>41257.5</v>
      </c>
      <c r="H756" s="30"/>
      <c r="I756" s="30"/>
      <c r="J756" s="30"/>
      <c r="K756" s="30"/>
      <c r="L756" s="30"/>
      <c r="N756" s="2"/>
      <c r="O756" s="2"/>
    </row>
    <row r="757" spans="1:15" ht="12" customHeight="1" x14ac:dyDescent="0.2">
      <c r="A757" s="1">
        <v>26</v>
      </c>
      <c r="B757" s="381" t="s">
        <v>319</v>
      </c>
      <c r="C757" s="390" t="s">
        <v>365</v>
      </c>
      <c r="D757" s="91">
        <f t="shared" ref="D757:E757" si="7">+D512</f>
        <v>0</v>
      </c>
      <c r="E757" s="91">
        <f t="shared" si="7"/>
        <v>0</v>
      </c>
      <c r="F757" s="91">
        <f>+F512</f>
        <v>63917.5</v>
      </c>
      <c r="G757" s="91">
        <f>+F757+D757</f>
        <v>63917.5</v>
      </c>
      <c r="H757" s="30"/>
      <c r="I757" s="30"/>
      <c r="J757" s="30"/>
      <c r="K757" s="30"/>
      <c r="L757" s="30"/>
      <c r="M757" s="100"/>
      <c r="N757" s="2"/>
      <c r="O757" s="2"/>
    </row>
    <row r="758" spans="1:15" ht="12" customHeight="1" x14ac:dyDescent="0.2">
      <c r="A758" s="1">
        <v>42</v>
      </c>
      <c r="B758" s="381" t="s">
        <v>320</v>
      </c>
      <c r="C758" s="391" t="s">
        <v>130</v>
      </c>
      <c r="D758" s="97">
        <f>D598</f>
        <v>0</v>
      </c>
      <c r="E758" s="91">
        <f>E598</f>
        <v>0</v>
      </c>
      <c r="F758" s="91">
        <f>F598</f>
        <v>395946.05</v>
      </c>
      <c r="G758" s="91">
        <f t="shared" ref="G758:G764" si="8">+D758+E758+F758</f>
        <v>395946.05</v>
      </c>
      <c r="H758" s="81"/>
      <c r="I758" s="81"/>
      <c r="J758" s="81"/>
      <c r="K758" s="81"/>
      <c r="L758" s="81"/>
      <c r="N758" s="2"/>
      <c r="O758" s="2"/>
    </row>
    <row r="759" spans="1:15" ht="12" customHeight="1" x14ac:dyDescent="0.2">
      <c r="A759" s="1">
        <v>50</v>
      </c>
      <c r="B759" s="381" t="s">
        <v>296</v>
      </c>
      <c r="C759" s="391" t="s">
        <v>364</v>
      </c>
      <c r="D759" s="97">
        <f>D644</f>
        <v>0</v>
      </c>
      <c r="E759" s="91">
        <f>E644</f>
        <v>0</v>
      </c>
      <c r="F759" s="91">
        <f>+F646</f>
        <v>97222</v>
      </c>
      <c r="G759" s="91">
        <f t="shared" si="8"/>
        <v>97222</v>
      </c>
      <c r="H759" s="81"/>
      <c r="I759" s="81"/>
      <c r="J759" s="81"/>
      <c r="K759" s="81"/>
      <c r="L759" s="81"/>
      <c r="N759" s="2"/>
      <c r="O759" s="2"/>
    </row>
    <row r="760" spans="1:15" ht="12" customHeight="1" x14ac:dyDescent="0.2">
      <c r="A760" s="1">
        <v>65</v>
      </c>
      <c r="B760" s="381" t="s">
        <v>297</v>
      </c>
      <c r="C760" s="391" t="s">
        <v>166</v>
      </c>
      <c r="D760" s="97">
        <f>D665</f>
        <v>600973.30000000005</v>
      </c>
      <c r="E760" s="91">
        <f>E665</f>
        <v>0</v>
      </c>
      <c r="F760" s="91">
        <f>F665</f>
        <v>0</v>
      </c>
      <c r="G760" s="91">
        <f t="shared" si="8"/>
        <v>600973.30000000005</v>
      </c>
      <c r="N760" s="2"/>
      <c r="O760" s="2"/>
    </row>
    <row r="761" spans="1:15" ht="12" customHeight="1" x14ac:dyDescent="0.2">
      <c r="A761" s="1">
        <v>66</v>
      </c>
      <c r="B761" s="381" t="s">
        <v>298</v>
      </c>
      <c r="C761" s="391" t="s">
        <v>170</v>
      </c>
      <c r="D761" s="97">
        <f>D679</f>
        <v>711273.48</v>
      </c>
      <c r="E761" s="97">
        <f>E679</f>
        <v>0</v>
      </c>
      <c r="F761" s="97">
        <f>F679</f>
        <v>382929.84</v>
      </c>
      <c r="G761" s="91">
        <f t="shared" si="8"/>
        <v>1094203.32</v>
      </c>
      <c r="H761" s="2"/>
      <c r="I761" s="2"/>
      <c r="J761" s="2"/>
      <c r="K761" s="2"/>
      <c r="L761" s="2"/>
      <c r="N761" s="2"/>
      <c r="O761" s="2"/>
    </row>
    <row r="762" spans="1:15" ht="12" customHeight="1" x14ac:dyDescent="0.2">
      <c r="A762" s="1">
        <v>70</v>
      </c>
      <c r="B762" s="381" t="s">
        <v>299</v>
      </c>
      <c r="C762" s="391" t="s">
        <v>332</v>
      </c>
      <c r="D762" s="97">
        <f>D723</f>
        <v>0</v>
      </c>
      <c r="E762" s="97">
        <f>E723</f>
        <v>0</v>
      </c>
      <c r="F762" s="97">
        <f>F723</f>
        <v>69141.08</v>
      </c>
      <c r="G762" s="91">
        <f t="shared" si="8"/>
        <v>69141.08</v>
      </c>
      <c r="H762" s="2"/>
      <c r="I762" s="2"/>
      <c r="J762" s="2"/>
      <c r="K762" s="2"/>
      <c r="L762" s="2"/>
      <c r="N762" s="2"/>
      <c r="O762" s="2"/>
    </row>
    <row r="763" spans="1:15" ht="12" customHeight="1" x14ac:dyDescent="0.2">
      <c r="A763" s="1">
        <v>8</v>
      </c>
      <c r="B763" s="381" t="s">
        <v>300</v>
      </c>
      <c r="C763" s="391" t="s">
        <v>338</v>
      </c>
      <c r="D763" s="97">
        <f>D272</f>
        <v>0</v>
      </c>
      <c r="E763" s="97">
        <f>E272</f>
        <v>0</v>
      </c>
      <c r="F763" s="97">
        <f>F272</f>
        <v>556015.23</v>
      </c>
      <c r="G763" s="91">
        <f t="shared" si="8"/>
        <v>556015.23</v>
      </c>
      <c r="N763" s="2"/>
      <c r="O763" s="2"/>
    </row>
    <row r="764" spans="1:15" ht="12" customHeight="1" x14ac:dyDescent="0.2">
      <c r="A764" s="1">
        <v>28</v>
      </c>
      <c r="B764" s="381" t="s">
        <v>301</v>
      </c>
      <c r="C764" s="391" t="s">
        <v>341</v>
      </c>
      <c r="D764" s="97">
        <v>0</v>
      </c>
      <c r="E764" s="97">
        <f>E558</f>
        <v>0</v>
      </c>
      <c r="F764" s="97">
        <f>F558</f>
        <v>101055.5</v>
      </c>
      <c r="G764" s="91">
        <f t="shared" si="8"/>
        <v>101055.5</v>
      </c>
      <c r="N764" s="2"/>
      <c r="O764" s="2"/>
    </row>
    <row r="765" spans="1:15" ht="12" customHeight="1" x14ac:dyDescent="0.2">
      <c r="A765" s="1">
        <v>68</v>
      </c>
      <c r="B765" s="381" t="s">
        <v>302</v>
      </c>
      <c r="C765" s="391" t="s">
        <v>356</v>
      </c>
      <c r="D765" s="97">
        <f>D693</f>
        <v>0</v>
      </c>
      <c r="E765" s="97">
        <f>E693</f>
        <v>0</v>
      </c>
      <c r="F765" s="97">
        <f>F693</f>
        <v>2581542.3800000004</v>
      </c>
      <c r="G765" s="97">
        <f>G693</f>
        <v>2581542.3800000004</v>
      </c>
      <c r="N765" s="2"/>
      <c r="O765" s="2"/>
    </row>
    <row r="766" spans="1:15" ht="12" customHeight="1" x14ac:dyDescent="0.2">
      <c r="A766" s="1" t="s">
        <v>615</v>
      </c>
      <c r="B766" s="160" t="s">
        <v>303</v>
      </c>
      <c r="C766" s="155" t="s">
        <v>620</v>
      </c>
      <c r="D766" s="97">
        <f>D707</f>
        <v>73207.87</v>
      </c>
      <c r="E766" s="97">
        <f>E707</f>
        <v>0</v>
      </c>
      <c r="F766" s="97">
        <f>F707</f>
        <v>0</v>
      </c>
      <c r="G766" s="91">
        <f t="shared" ref="G766" si="9">+D766+E766+F766</f>
        <v>73207.87</v>
      </c>
      <c r="N766" s="2"/>
      <c r="O766" s="2"/>
    </row>
    <row r="767" spans="1:15" ht="12" customHeight="1" x14ac:dyDescent="0.2">
      <c r="A767" s="1">
        <v>72</v>
      </c>
      <c r="B767" s="160" t="s">
        <v>304</v>
      </c>
      <c r="C767" s="155" t="s">
        <v>366</v>
      </c>
      <c r="D767" s="97">
        <f>D734</f>
        <v>46593.38</v>
      </c>
      <c r="E767" s="97">
        <f>E734</f>
        <v>0</v>
      </c>
      <c r="F767" s="97">
        <f>F734</f>
        <v>160</v>
      </c>
      <c r="G767" s="97">
        <f>G734</f>
        <v>46753.38</v>
      </c>
      <c r="N767" s="2"/>
      <c r="O767" s="2"/>
    </row>
    <row r="768" spans="1:15" ht="12" customHeight="1" x14ac:dyDescent="0.2">
      <c r="B768" s="81"/>
      <c r="C768" s="72" t="s">
        <v>115</v>
      </c>
      <c r="D768" s="82">
        <f>SUM(D748:D767)</f>
        <v>1916948.0299999998</v>
      </c>
      <c r="E768" s="82">
        <f>SUM(E748:E767)</f>
        <v>0</v>
      </c>
      <c r="F768" s="82">
        <f>SUM(F748:F767)</f>
        <v>9872912.459999999</v>
      </c>
      <c r="G768" s="82">
        <f>SUM(G748:G767)</f>
        <v>11789860.49</v>
      </c>
    </row>
    <row r="769" spans="1:12" ht="12" customHeight="1" x14ac:dyDescent="0.2">
      <c r="C769" s="113"/>
      <c r="D769" s="85">
        <f>+D768-EGRESOS!E2384</f>
        <v>0</v>
      </c>
      <c r="E769" s="85"/>
      <c r="F769" s="85">
        <f>+F768-EGRESOS!G2384</f>
        <v>0</v>
      </c>
      <c r="G769" s="85">
        <f>+G768-EGRESOS!H2384</f>
        <v>0</v>
      </c>
      <c r="H769" s="2"/>
      <c r="I769" s="2"/>
      <c r="J769" s="2"/>
      <c r="K769" s="2"/>
      <c r="L769" s="2"/>
    </row>
    <row r="770" spans="1:12" ht="12" customHeight="1" x14ac:dyDescent="0.2">
      <c r="A770" s="161" t="s">
        <v>587</v>
      </c>
      <c r="C770" s="113"/>
      <c r="D770" s="85"/>
      <c r="E770" s="85"/>
      <c r="F770" s="85"/>
      <c r="G770" s="85"/>
      <c r="H770" s="2"/>
      <c r="I770" s="2"/>
      <c r="J770" s="2"/>
      <c r="K770" s="2"/>
      <c r="L770" s="2"/>
    </row>
    <row r="771" spans="1:12" ht="12" customHeight="1" x14ac:dyDescent="0.2">
      <c r="C771" s="113"/>
      <c r="D771" s="114">
        <f>INGRESOS!L92-Consolidado!D768</f>
        <v>0</v>
      </c>
      <c r="E771" s="114"/>
      <c r="F771" s="114">
        <f>+INGRESOS!M92-Consolidado!F768</f>
        <v>0</v>
      </c>
      <c r="G771" s="114">
        <f>+INGRESOS!N92-Consolidado!G768</f>
        <v>0</v>
      </c>
      <c r="H771" s="2"/>
      <c r="I771" s="2"/>
      <c r="J771" s="2"/>
      <c r="K771" s="2"/>
      <c r="L771" s="2"/>
    </row>
    <row r="772" spans="1:12" ht="12" customHeight="1" x14ac:dyDescent="0.2">
      <c r="C772" s="113"/>
      <c r="D772" s="114"/>
      <c r="E772" s="114"/>
      <c r="F772" s="114"/>
      <c r="G772" s="114"/>
      <c r="H772" s="2"/>
      <c r="I772" s="2"/>
      <c r="J772" s="2"/>
      <c r="K772" s="2"/>
      <c r="L772" s="2"/>
    </row>
    <row r="773" spans="1:12" ht="12" customHeight="1" x14ac:dyDescent="0.2">
      <c r="C773" s="145"/>
      <c r="D773" s="85"/>
      <c r="E773" s="85"/>
      <c r="F773" s="114"/>
      <c r="G773" s="114"/>
      <c r="H773" s="2"/>
      <c r="I773" s="2"/>
      <c r="J773" s="2"/>
      <c r="K773" s="2"/>
      <c r="L773" s="2"/>
    </row>
    <row r="774" spans="1:12" ht="12" customHeight="1" x14ac:dyDescent="0.2">
      <c r="C774" s="145"/>
      <c r="D774" s="85"/>
      <c r="E774" s="85"/>
      <c r="F774" s="114"/>
      <c r="G774" s="114"/>
      <c r="H774" s="2"/>
      <c r="I774" s="2"/>
      <c r="J774" s="2"/>
      <c r="K774" s="2"/>
      <c r="L774" s="2"/>
    </row>
    <row r="775" spans="1:12" ht="10.5" customHeight="1" x14ac:dyDescent="0.2">
      <c r="C775" s="145"/>
      <c r="D775" s="85"/>
      <c r="E775" s="85"/>
      <c r="F775" s="114">
        <v>582985.4</v>
      </c>
      <c r="G775" s="114"/>
      <c r="H775" s="2"/>
      <c r="I775" s="2"/>
      <c r="J775" s="2"/>
      <c r="K775" s="2"/>
      <c r="L775" s="2"/>
    </row>
    <row r="776" spans="1:12" ht="10.5" customHeight="1" x14ac:dyDescent="0.2">
      <c r="C776" s="145"/>
      <c r="D776" s="85"/>
      <c r="E776" s="85"/>
      <c r="F776" s="114">
        <f>F775-F774</f>
        <v>582985.4</v>
      </c>
      <c r="G776" s="114"/>
      <c r="H776" s="2"/>
      <c r="I776" s="2"/>
      <c r="J776" s="2"/>
      <c r="K776" s="2"/>
      <c r="L776" s="2"/>
    </row>
    <row r="777" spans="1:12" ht="10.5" customHeight="1" x14ac:dyDescent="0.2">
      <c r="D777" s="85"/>
      <c r="E777" s="85"/>
      <c r="F777" s="86"/>
      <c r="G777" s="86"/>
      <c r="H777" s="2"/>
      <c r="I777" s="2"/>
      <c r="J777" s="2"/>
      <c r="K777" s="2"/>
      <c r="L777" s="2"/>
    </row>
    <row r="778" spans="1:12" ht="10.5" customHeight="1" x14ac:dyDescent="0.2">
      <c r="D778" s="85"/>
      <c r="E778" s="85"/>
      <c r="F778" s="86"/>
      <c r="G778" s="2"/>
      <c r="H778" s="2"/>
      <c r="I778" s="2"/>
      <c r="J778" s="2"/>
      <c r="K778" s="2"/>
      <c r="L778" s="2"/>
    </row>
    <row r="779" spans="1:12" ht="10.5" customHeight="1" x14ac:dyDescent="0.2">
      <c r="B779" s="10"/>
      <c r="C779" s="162"/>
      <c r="D779" s="85"/>
      <c r="E779" s="85"/>
      <c r="F779" s="86"/>
      <c r="G779" s="86"/>
      <c r="H779" s="2"/>
      <c r="I779" s="2"/>
      <c r="J779" s="2"/>
      <c r="K779" s="2"/>
      <c r="L779" s="2"/>
    </row>
    <row r="780" spans="1:12" ht="10.5" customHeight="1" x14ac:dyDescent="0.2">
      <c r="C780" s="113"/>
      <c r="D780" s="163">
        <v>0.25</v>
      </c>
      <c r="E780" s="163"/>
      <c r="F780" s="164">
        <v>0.75</v>
      </c>
      <c r="G780" s="165" t="s">
        <v>361</v>
      </c>
      <c r="H780" s="2"/>
      <c r="I780" s="2"/>
      <c r="J780" s="2"/>
      <c r="K780" s="2"/>
      <c r="L780" s="2"/>
    </row>
    <row r="781" spans="1:12" ht="10.5" customHeight="1" x14ac:dyDescent="0.2">
      <c r="B781" s="7"/>
      <c r="C781" s="105"/>
      <c r="D781" s="85">
        <f>+INGRESOS!L75</f>
        <v>0</v>
      </c>
      <c r="E781" s="85"/>
      <c r="F781" s="86">
        <f>+INGRESOS!L81</f>
        <v>711273.48</v>
      </c>
      <c r="G781" s="86">
        <f>D781+F781</f>
        <v>711273.48</v>
      </c>
      <c r="H781" s="2"/>
      <c r="I781" s="2"/>
      <c r="J781" s="2"/>
      <c r="K781" s="2"/>
      <c r="L781" s="2"/>
    </row>
    <row r="782" spans="1:12" ht="10.5" customHeight="1" x14ac:dyDescent="0.2">
      <c r="B782" s="7"/>
      <c r="C782" s="70"/>
      <c r="D782" s="85"/>
      <c r="E782" s="85"/>
      <c r="F782" s="86"/>
      <c r="G782" s="86"/>
      <c r="H782" s="2"/>
      <c r="I782" s="2"/>
      <c r="J782" s="2"/>
      <c r="K782" s="2"/>
      <c r="L782" s="2"/>
    </row>
    <row r="783" spans="1:12" ht="10.5" customHeight="1" x14ac:dyDescent="0.2">
      <c r="B783" s="7"/>
      <c r="C783" s="145" t="s">
        <v>360</v>
      </c>
      <c r="D783" s="85">
        <f>INGRESOS!L65</f>
        <v>417799.7</v>
      </c>
      <c r="E783" s="85"/>
      <c r="F783" s="86"/>
      <c r="G783" s="86"/>
      <c r="H783" s="2"/>
      <c r="I783" s="2"/>
      <c r="J783" s="2"/>
      <c r="K783" s="2"/>
      <c r="L783" s="2"/>
    </row>
    <row r="784" spans="1:12" ht="10.5" customHeight="1" x14ac:dyDescent="0.2">
      <c r="B784" s="7"/>
      <c r="C784" s="2"/>
      <c r="D784" s="85"/>
      <c r="E784" s="85"/>
      <c r="F784" s="86"/>
      <c r="G784" s="86"/>
      <c r="H784" s="2"/>
      <c r="I784" s="2"/>
      <c r="J784" s="2"/>
      <c r="K784" s="2"/>
      <c r="L784" s="2"/>
    </row>
    <row r="785" spans="2:12" ht="10.5" customHeight="1" x14ac:dyDescent="0.2">
      <c r="B785" s="7"/>
      <c r="C785" s="145" t="s">
        <v>359</v>
      </c>
      <c r="D785" s="85">
        <f>D768-F781</f>
        <v>1205674.5499999998</v>
      </c>
      <c r="E785" s="85"/>
      <c r="F785" s="86"/>
      <c r="G785" s="86"/>
    </row>
    <row r="786" spans="2:12" ht="10.5" customHeight="1" x14ac:dyDescent="0.2">
      <c r="B786" s="7"/>
      <c r="D786" s="85"/>
      <c r="E786" s="85"/>
      <c r="F786" s="86"/>
      <c r="G786" s="86">
        <f>D781+D783-D785</f>
        <v>-787874.84999999986</v>
      </c>
    </row>
    <row r="787" spans="2:12" ht="10.5" customHeight="1" x14ac:dyDescent="0.2">
      <c r="B787" s="7"/>
      <c r="D787" s="85"/>
      <c r="E787" s="85"/>
      <c r="F787" s="86"/>
      <c r="G787" s="86"/>
      <c r="H787" s="2"/>
      <c r="I787" s="2"/>
      <c r="J787" s="2"/>
      <c r="K787" s="2"/>
      <c r="L787" s="2"/>
    </row>
    <row r="788" spans="2:12" ht="10.5" customHeight="1" x14ac:dyDescent="0.2">
      <c r="B788" s="7"/>
      <c r="D788" s="85"/>
      <c r="E788" s="85"/>
      <c r="F788" s="86"/>
      <c r="G788" s="86"/>
      <c r="H788" s="2"/>
      <c r="I788" s="2"/>
      <c r="J788" s="2"/>
      <c r="K788" s="2"/>
      <c r="L788" s="2"/>
    </row>
    <row r="789" spans="2:12" ht="10.5" customHeight="1" x14ac:dyDescent="0.2">
      <c r="B789" s="7"/>
      <c r="D789" s="85"/>
      <c r="E789" s="85"/>
      <c r="F789" s="86"/>
      <c r="G789" s="86"/>
      <c r="H789" s="2"/>
      <c r="I789" s="2"/>
      <c r="J789" s="2"/>
      <c r="K789" s="2"/>
      <c r="L789" s="2"/>
    </row>
    <row r="790" spans="2:12" ht="10.5" customHeight="1" x14ac:dyDescent="0.2">
      <c r="B790" s="7"/>
      <c r="D790" s="85"/>
      <c r="E790" s="85"/>
      <c r="F790" s="86"/>
      <c r="G790" s="86"/>
    </row>
    <row r="791" spans="2:12" ht="10.5" customHeight="1" x14ac:dyDescent="0.2">
      <c r="B791" s="7"/>
      <c r="C791" s="146"/>
      <c r="D791" s="85"/>
      <c r="E791" s="85"/>
      <c r="F791" s="86"/>
      <c r="G791" s="86"/>
    </row>
    <row r="792" spans="2:12" ht="10.5" customHeight="1" x14ac:dyDescent="0.2">
      <c r="B792" s="7"/>
      <c r="C792" s="146"/>
      <c r="D792" s="85">
        <f>D768-G781</f>
        <v>1205674.5499999998</v>
      </c>
      <c r="E792" s="85"/>
      <c r="F792" s="86"/>
      <c r="G792" s="86"/>
    </row>
    <row r="793" spans="2:12" ht="10.5" customHeight="1" x14ac:dyDescent="0.2">
      <c r="B793" s="7"/>
      <c r="C793" s="146"/>
      <c r="D793" s="85"/>
      <c r="E793" s="85"/>
      <c r="F793" s="86"/>
      <c r="G793" s="86"/>
    </row>
    <row r="794" spans="2:12" ht="10.5" customHeight="1" x14ac:dyDescent="0.2">
      <c r="B794" s="7"/>
      <c r="D794" s="85"/>
      <c r="E794" s="85"/>
      <c r="F794" s="86"/>
      <c r="G794" s="86"/>
    </row>
    <row r="795" spans="2:12" ht="10.5" customHeight="1" x14ac:dyDescent="0.2">
      <c r="B795" s="7"/>
      <c r="D795" s="85"/>
      <c r="E795" s="85"/>
      <c r="F795" s="86"/>
      <c r="G795" s="86"/>
      <c r="H795" s="2"/>
      <c r="I795" s="2"/>
      <c r="J795" s="2"/>
      <c r="K795" s="2"/>
      <c r="L795" s="2"/>
    </row>
    <row r="796" spans="2:12" ht="10.5" customHeight="1" x14ac:dyDescent="0.2">
      <c r="B796" s="7"/>
      <c r="C796" s="146"/>
      <c r="D796" s="85"/>
      <c r="E796" s="85"/>
      <c r="F796" s="86"/>
      <c r="G796" s="86"/>
      <c r="H796" s="2"/>
      <c r="I796" s="2"/>
      <c r="J796" s="2"/>
      <c r="K796" s="2"/>
      <c r="L796" s="2"/>
    </row>
    <row r="797" spans="2:12" ht="10.5" customHeight="1" x14ac:dyDescent="0.2">
      <c r="B797" s="7"/>
      <c r="C797" s="146"/>
      <c r="D797" s="85"/>
      <c r="E797" s="85"/>
      <c r="F797" s="86"/>
      <c r="G797" s="86"/>
      <c r="H797" s="2"/>
      <c r="I797" s="2"/>
      <c r="J797" s="2"/>
      <c r="K797" s="2"/>
      <c r="L797" s="2"/>
    </row>
    <row r="798" spans="2:12" ht="10.5" customHeight="1" x14ac:dyDescent="0.2">
      <c r="B798" s="7"/>
      <c r="C798" s="145" t="s">
        <v>269</v>
      </c>
      <c r="D798" s="85">
        <f>+INGRESOS!Q115</f>
        <v>305.27999999999997</v>
      </c>
      <c r="E798" s="85"/>
      <c r="F798" s="86"/>
      <c r="G798" s="86"/>
      <c r="H798" s="2"/>
      <c r="I798" s="2"/>
      <c r="J798" s="2"/>
      <c r="K798" s="2"/>
      <c r="L798" s="2"/>
    </row>
    <row r="799" spans="2:12" ht="10.5" customHeight="1" x14ac:dyDescent="0.2">
      <c r="B799" s="421"/>
      <c r="C799" s="145" t="s">
        <v>342</v>
      </c>
      <c r="D799" s="85">
        <f>G794</f>
        <v>0</v>
      </c>
      <c r="E799" s="85"/>
      <c r="F799" s="86"/>
      <c r="G799" s="86"/>
      <c r="H799" s="2"/>
      <c r="I799" s="2"/>
      <c r="J799" s="2"/>
      <c r="K799" s="2"/>
      <c r="L799" s="2"/>
    </row>
    <row r="800" spans="2:12" ht="10.5" customHeight="1" x14ac:dyDescent="0.2">
      <c r="B800" s="421"/>
      <c r="C800" s="145"/>
      <c r="D800" s="85"/>
      <c r="E800" s="85"/>
      <c r="F800" s="86"/>
      <c r="G800" s="86"/>
    </row>
    <row r="801" spans="2:12" ht="10.5" customHeight="1" x14ac:dyDescent="0.2">
      <c r="B801" s="421"/>
      <c r="C801" s="145" t="s">
        <v>343</v>
      </c>
      <c r="D801" s="85">
        <f>D798-D799</f>
        <v>305.27999999999997</v>
      </c>
      <c r="E801" s="85"/>
      <c r="F801" s="86"/>
      <c r="G801" s="86"/>
    </row>
    <row r="802" spans="2:12" ht="10.5" customHeight="1" x14ac:dyDescent="0.2">
      <c r="B802" s="421"/>
      <c r="C802" s="146"/>
      <c r="D802" s="85"/>
      <c r="E802" s="85"/>
      <c r="F802" s="86"/>
      <c r="G802" s="86"/>
    </row>
    <row r="803" spans="2:12" ht="10.5" customHeight="1" x14ac:dyDescent="0.2">
      <c r="D803" s="85"/>
      <c r="E803" s="85"/>
      <c r="F803" s="86"/>
      <c r="G803" s="86"/>
    </row>
    <row r="804" spans="2:12" ht="10.5" customHeight="1" x14ac:dyDescent="0.2">
      <c r="D804" s="85"/>
      <c r="E804" s="85"/>
      <c r="F804" s="86"/>
      <c r="G804" s="86"/>
    </row>
    <row r="805" spans="2:12" ht="10.5" customHeight="1" x14ac:dyDescent="0.2">
      <c r="D805" s="85"/>
      <c r="E805" s="85"/>
      <c r="F805" s="86"/>
      <c r="G805" s="86"/>
    </row>
    <row r="806" spans="2:12" ht="10.5" customHeight="1" x14ac:dyDescent="0.2">
      <c r="B806" s="7"/>
      <c r="C806" s="113"/>
      <c r="D806" s="85"/>
      <c r="E806" s="85"/>
      <c r="F806" s="86"/>
      <c r="G806" s="86"/>
    </row>
    <row r="807" spans="2:12" ht="10.5" customHeight="1" x14ac:dyDescent="0.2">
      <c r="B807" s="7"/>
      <c r="C807" s="113"/>
      <c r="D807" s="85"/>
      <c r="E807" s="85"/>
      <c r="F807" s="86" t="e">
        <f>D748+#REF!+#REF!+#REF!</f>
        <v>#REF!</v>
      </c>
      <c r="G807" s="86"/>
    </row>
    <row r="808" spans="2:12" ht="10.5" customHeight="1" x14ac:dyDescent="0.2">
      <c r="B808" s="113"/>
      <c r="C808" s="113"/>
      <c r="D808" s="85"/>
      <c r="E808" s="85"/>
      <c r="F808" s="86">
        <v>582985.4</v>
      </c>
      <c r="G808" s="86"/>
    </row>
    <row r="809" spans="2:12" ht="10.5" customHeight="1" x14ac:dyDescent="0.2">
      <c r="B809" s="113"/>
      <c r="C809" s="113"/>
      <c r="D809" s="85"/>
      <c r="E809" s="85"/>
      <c r="F809" s="86" t="e">
        <f>F808-F807</f>
        <v>#REF!</v>
      </c>
      <c r="G809" s="86"/>
    </row>
    <row r="810" spans="2:12" ht="10.5" customHeight="1" x14ac:dyDescent="0.2">
      <c r="B810" s="113"/>
      <c r="C810" s="113"/>
      <c r="D810" s="85"/>
      <c r="E810" s="85"/>
      <c r="F810" s="86"/>
      <c r="G810" s="86"/>
    </row>
    <row r="811" spans="2:12" ht="12" customHeight="1" x14ac:dyDescent="0.2">
      <c r="B811" s="7"/>
      <c r="C811" s="113"/>
      <c r="D811" s="85"/>
      <c r="E811" s="85"/>
      <c r="F811" s="86"/>
      <c r="G811" s="86"/>
    </row>
    <row r="812" spans="2:12" ht="12" customHeight="1" x14ac:dyDescent="0.2">
      <c r="B812" s="7"/>
      <c r="C812" s="7"/>
      <c r="D812" s="85"/>
      <c r="E812" s="85"/>
      <c r="F812" s="86"/>
      <c r="G812" s="86"/>
    </row>
    <row r="813" spans="2:12" ht="12" customHeight="1" x14ac:dyDescent="0.2">
      <c r="D813" s="85"/>
      <c r="E813" s="85"/>
      <c r="F813" s="86"/>
      <c r="G813" s="86"/>
      <c r="H813" s="2"/>
      <c r="I813" s="2"/>
      <c r="J813" s="2"/>
      <c r="K813" s="2"/>
      <c r="L813" s="2"/>
    </row>
    <row r="814" spans="2:12" ht="12" customHeight="1" x14ac:dyDescent="0.2">
      <c r="D814" s="85"/>
      <c r="E814" s="85"/>
      <c r="F814" s="86">
        <f>F768</f>
        <v>9872912.459999999</v>
      </c>
      <c r="G814" s="86"/>
      <c r="H814" s="2"/>
      <c r="I814" s="2"/>
      <c r="J814" s="2"/>
      <c r="K814" s="2"/>
      <c r="L814" s="2"/>
    </row>
    <row r="815" spans="2:12" ht="12" customHeight="1" x14ac:dyDescent="0.2">
      <c r="D815" s="85"/>
      <c r="E815" s="85"/>
      <c r="F815" s="86">
        <v>2959642.83</v>
      </c>
      <c r="G815" s="86"/>
      <c r="H815" s="2"/>
      <c r="I815" s="2"/>
      <c r="J815" s="2"/>
      <c r="K815" s="2"/>
      <c r="L815" s="2"/>
    </row>
    <row r="816" spans="2:12" ht="12" customHeight="1" x14ac:dyDescent="0.2">
      <c r="D816" s="85"/>
      <c r="E816" s="85"/>
      <c r="F816" s="86">
        <f>F815-F814</f>
        <v>-6913269.629999999</v>
      </c>
      <c r="G816" s="86"/>
      <c r="H816" s="2"/>
      <c r="I816" s="2"/>
      <c r="J816" s="2"/>
      <c r="K816" s="2"/>
      <c r="L816" s="2"/>
    </row>
    <row r="817" spans="4:12" ht="12" customHeight="1" x14ac:dyDescent="0.2">
      <c r="D817" s="85"/>
      <c r="E817" s="85"/>
      <c r="F817" s="86"/>
      <c r="G817" s="86"/>
      <c r="H817" s="2"/>
      <c r="I817" s="2"/>
      <c r="J817" s="2"/>
      <c r="K817" s="2"/>
      <c r="L817" s="2"/>
    </row>
    <row r="818" spans="4:12" ht="12" customHeight="1" x14ac:dyDescent="0.2">
      <c r="D818" s="85"/>
      <c r="E818" s="85"/>
      <c r="F818" s="86"/>
      <c r="G818" s="86"/>
      <c r="H818" s="2"/>
      <c r="I818" s="2"/>
      <c r="J818" s="2"/>
      <c r="K818" s="2"/>
      <c r="L818" s="2"/>
    </row>
    <row r="819" spans="4:12" ht="12" customHeight="1" x14ac:dyDescent="0.2">
      <c r="D819" s="85"/>
      <c r="E819" s="85"/>
      <c r="F819" s="86"/>
      <c r="G819" s="86"/>
    </row>
    <row r="820" spans="4:12" ht="12" customHeight="1" x14ac:dyDescent="0.2">
      <c r="D820" s="85"/>
      <c r="E820" s="85"/>
      <c r="F820" s="86"/>
      <c r="G820" s="86"/>
    </row>
    <row r="821" spans="4:12" ht="12" customHeight="1" x14ac:dyDescent="0.2">
      <c r="D821" s="85"/>
      <c r="E821" s="85"/>
      <c r="F821" s="86"/>
      <c r="G821" s="86"/>
    </row>
    <row r="822" spans="4:12" ht="12" customHeight="1" x14ac:dyDescent="0.2">
      <c r="D822" s="85"/>
      <c r="E822" s="85"/>
      <c r="F822" s="86"/>
      <c r="G822" s="86"/>
    </row>
    <row r="823" spans="4:12" ht="12" customHeight="1" x14ac:dyDescent="0.2">
      <c r="D823" s="85"/>
      <c r="E823" s="85"/>
      <c r="F823" s="86"/>
      <c r="G823" s="86"/>
    </row>
    <row r="824" spans="4:12" ht="12" customHeight="1" x14ac:dyDescent="0.2">
      <c r="D824" s="85"/>
      <c r="E824" s="85"/>
      <c r="F824" s="86"/>
      <c r="G824" s="86"/>
    </row>
    <row r="825" spans="4:12" ht="12" customHeight="1" x14ac:dyDescent="0.2">
      <c r="D825" s="85"/>
      <c r="E825" s="85"/>
      <c r="F825" s="86"/>
      <c r="G825" s="86"/>
    </row>
    <row r="826" spans="4:12" ht="12" customHeight="1" x14ac:dyDescent="0.2">
      <c r="D826" s="85"/>
      <c r="E826" s="85"/>
      <c r="F826" s="86"/>
      <c r="G826" s="86"/>
    </row>
    <row r="827" spans="4:12" ht="12" customHeight="1" x14ac:dyDescent="0.2">
      <c r="D827" s="85"/>
      <c r="E827" s="85"/>
      <c r="F827" s="86"/>
      <c r="G827" s="86"/>
    </row>
    <row r="828" spans="4:12" ht="12" customHeight="1" x14ac:dyDescent="0.2">
      <c r="D828" s="85"/>
      <c r="E828" s="85"/>
      <c r="F828" s="86"/>
      <c r="G828" s="86"/>
      <c r="H828" s="2"/>
      <c r="I828" s="2"/>
      <c r="J828" s="2"/>
      <c r="K828" s="2"/>
      <c r="L828" s="2"/>
    </row>
    <row r="829" spans="4:12" ht="12" customHeight="1" x14ac:dyDescent="0.2">
      <c r="D829" s="85"/>
      <c r="E829" s="85"/>
      <c r="F829" s="86"/>
      <c r="G829" s="86"/>
      <c r="H829" s="2"/>
      <c r="I829" s="2"/>
      <c r="J829" s="2"/>
      <c r="K829" s="2"/>
      <c r="L829" s="2"/>
    </row>
    <row r="830" spans="4:12" ht="12" customHeight="1" x14ac:dyDescent="0.2">
      <c r="D830" s="85"/>
      <c r="E830" s="85"/>
      <c r="F830" s="86"/>
      <c r="G830" s="86"/>
      <c r="H830" s="2"/>
      <c r="I830" s="2"/>
      <c r="J830" s="2"/>
      <c r="K830" s="2"/>
      <c r="L830" s="2"/>
    </row>
    <row r="831" spans="4:12" ht="12" customHeight="1" x14ac:dyDescent="0.2">
      <c r="D831" s="85"/>
      <c r="E831" s="85"/>
      <c r="F831" s="86"/>
      <c r="G831" s="86"/>
      <c r="H831" s="2"/>
      <c r="I831" s="2"/>
      <c r="J831" s="2"/>
      <c r="K831" s="2"/>
      <c r="L831" s="2"/>
    </row>
    <row r="832" spans="4:12" ht="12" customHeight="1" x14ac:dyDescent="0.2">
      <c r="D832" s="85"/>
      <c r="E832" s="85"/>
      <c r="F832" s="86"/>
      <c r="G832" s="86"/>
      <c r="H832" s="2"/>
      <c r="I832" s="2"/>
      <c r="J832" s="2"/>
      <c r="K832" s="2"/>
      <c r="L832" s="2"/>
    </row>
    <row r="833" spans="3:12" ht="12" customHeight="1" x14ac:dyDescent="0.2">
      <c r="D833" s="85"/>
      <c r="E833" s="85"/>
      <c r="F833" s="86"/>
      <c r="G833" s="86"/>
      <c r="H833" s="2"/>
      <c r="I833" s="2"/>
      <c r="J833" s="2"/>
      <c r="K833" s="2"/>
      <c r="L833" s="2"/>
    </row>
    <row r="834" spans="3:12" ht="12" customHeight="1" x14ac:dyDescent="0.2">
      <c r="D834" s="114"/>
      <c r="E834" s="114"/>
      <c r="F834" s="114"/>
      <c r="G834" s="114"/>
      <c r="H834" s="2"/>
      <c r="I834" s="2"/>
      <c r="J834" s="2"/>
      <c r="K834" s="2"/>
      <c r="L834" s="2"/>
    </row>
    <row r="835" spans="3:12" ht="12" customHeight="1" x14ac:dyDescent="0.2">
      <c r="D835" s="114"/>
      <c r="E835" s="114"/>
      <c r="F835" s="114"/>
      <c r="G835" s="86"/>
    </row>
    <row r="836" spans="3:12" ht="12" customHeight="1" x14ac:dyDescent="0.2">
      <c r="D836" s="114"/>
      <c r="E836" s="114"/>
      <c r="F836" s="114"/>
      <c r="G836" s="86"/>
    </row>
    <row r="837" spans="3:12" ht="12" customHeight="1" x14ac:dyDescent="0.2">
      <c r="D837" s="114"/>
      <c r="E837" s="114"/>
      <c r="F837" s="114"/>
      <c r="G837" s="114"/>
    </row>
    <row r="838" spans="3:12" ht="12" customHeight="1" x14ac:dyDescent="0.2">
      <c r="D838" s="114"/>
      <c r="E838" s="114"/>
      <c r="F838" s="114"/>
      <c r="G838" s="114"/>
    </row>
    <row r="839" spans="3:12" ht="12" customHeight="1" x14ac:dyDescent="0.2">
      <c r="D839" s="114"/>
      <c r="E839" s="114"/>
      <c r="F839" s="114"/>
      <c r="G839" s="114"/>
    </row>
    <row r="840" spans="3:12" ht="12" customHeight="1" x14ac:dyDescent="0.2">
      <c r="D840" s="114"/>
      <c r="E840" s="114"/>
      <c r="F840" s="114"/>
      <c r="G840" s="114"/>
    </row>
    <row r="841" spans="3:12" ht="12" customHeight="1" x14ac:dyDescent="0.2">
      <c r="D841" s="114"/>
      <c r="E841" s="114"/>
      <c r="F841" s="114"/>
      <c r="G841" s="114"/>
    </row>
    <row r="842" spans="3:12" ht="12" customHeight="1" x14ac:dyDescent="0.2">
      <c r="D842" s="114"/>
      <c r="E842" s="114"/>
      <c r="F842" s="114"/>
      <c r="G842" s="114"/>
    </row>
    <row r="843" spans="3:12" ht="12" customHeight="1" x14ac:dyDescent="0.2">
      <c r="D843" s="166"/>
      <c r="E843" s="166"/>
      <c r="F843" s="422"/>
      <c r="G843" s="422"/>
    </row>
    <row r="844" spans="3:12" ht="12" customHeight="1" x14ac:dyDescent="0.2">
      <c r="D844" s="166"/>
      <c r="E844" s="166"/>
      <c r="F844" s="167"/>
      <c r="G844" s="167"/>
    </row>
    <row r="845" spans="3:12" ht="12" customHeight="1" x14ac:dyDescent="0.2">
      <c r="C845" s="113"/>
      <c r="D845" s="166"/>
      <c r="E845" s="166"/>
      <c r="F845" s="167"/>
      <c r="G845" s="167"/>
    </row>
    <row r="846" spans="3:12" ht="12" customHeight="1" x14ac:dyDescent="0.2">
      <c r="C846" s="113"/>
      <c r="D846" s="113"/>
      <c r="E846" s="113"/>
      <c r="F846" s="113"/>
      <c r="G846" s="113"/>
    </row>
    <row r="847" spans="3:12" ht="12" customHeight="1" x14ac:dyDescent="0.2">
      <c r="C847" s="113"/>
      <c r="D847" s="113"/>
      <c r="E847" s="113"/>
      <c r="F847" s="113"/>
      <c r="G847" s="113"/>
    </row>
    <row r="848" spans="3:12" ht="12" customHeight="1" x14ac:dyDescent="0.2">
      <c r="C848" s="113"/>
      <c r="D848" s="113"/>
      <c r="E848" s="113"/>
      <c r="F848" s="113"/>
      <c r="G848" s="113"/>
    </row>
    <row r="849" spans="3:7" ht="12" customHeight="1" x14ac:dyDescent="0.2">
      <c r="C849" s="113"/>
      <c r="D849" s="166"/>
      <c r="E849" s="166"/>
      <c r="F849" s="167"/>
      <c r="G849" s="167"/>
    </row>
    <row r="850" spans="3:7" ht="12" customHeight="1" x14ac:dyDescent="0.2">
      <c r="C850" s="113"/>
      <c r="D850" s="7"/>
      <c r="E850" s="7"/>
      <c r="F850" s="168"/>
      <c r="G850" s="168"/>
    </row>
    <row r="851" spans="3:7" ht="12" customHeight="1" x14ac:dyDescent="0.2">
      <c r="C851" s="113"/>
    </row>
    <row r="852" spans="3:7" ht="12" customHeight="1" x14ac:dyDescent="0.2">
      <c r="C852" s="113"/>
      <c r="F852" s="2"/>
      <c r="G852" s="2"/>
    </row>
    <row r="853" spans="3:7" ht="12" customHeight="1" x14ac:dyDescent="0.2">
      <c r="C853" s="113"/>
      <c r="F853" s="2"/>
      <c r="G853" s="2"/>
    </row>
    <row r="854" spans="3:7" ht="12" customHeight="1" x14ac:dyDescent="0.2">
      <c r="C854" s="113"/>
      <c r="F854" s="2"/>
      <c r="G854" s="2"/>
    </row>
    <row r="855" spans="3:7" ht="12" customHeight="1" x14ac:dyDescent="0.2">
      <c r="C855" s="113"/>
      <c r="F855" s="2"/>
      <c r="G855" s="2"/>
    </row>
    <row r="856" spans="3:7" ht="12" customHeight="1" x14ac:dyDescent="0.2">
      <c r="C856" s="113"/>
      <c r="F856" s="2"/>
      <c r="G856" s="2"/>
    </row>
    <row r="857" spans="3:7" ht="12" customHeight="1" x14ac:dyDescent="0.2">
      <c r="C857" s="113"/>
      <c r="F857" s="2"/>
      <c r="G857" s="2"/>
    </row>
    <row r="858" spans="3:7" ht="12" customHeight="1" x14ac:dyDescent="0.2">
      <c r="C858" s="113"/>
      <c r="F858" s="2"/>
      <c r="G858" s="2"/>
    </row>
    <row r="859" spans="3:7" ht="12" customHeight="1" x14ac:dyDescent="0.2">
      <c r="C859" s="113"/>
      <c r="F859" s="2"/>
      <c r="G859" s="2"/>
    </row>
    <row r="860" spans="3:7" ht="12" customHeight="1" x14ac:dyDescent="0.2">
      <c r="C860" s="113"/>
      <c r="F860" s="2"/>
      <c r="G860" s="2"/>
    </row>
    <row r="861" spans="3:7" ht="12" customHeight="1" x14ac:dyDescent="0.2">
      <c r="F861" s="2"/>
      <c r="G861" s="2"/>
    </row>
    <row r="862" spans="3:7" ht="12" customHeight="1" x14ac:dyDescent="0.2">
      <c r="F862" s="2"/>
      <c r="G862" s="2"/>
    </row>
    <row r="863" spans="3:7" ht="12" customHeight="1" x14ac:dyDescent="0.2">
      <c r="F863" s="2"/>
      <c r="G863" s="2"/>
    </row>
    <row r="864" spans="3:7" ht="12" customHeight="1" x14ac:dyDescent="0.2">
      <c r="F864" s="2"/>
      <c r="G864" s="2"/>
    </row>
    <row r="865" spans="6:7" ht="12" customHeight="1" x14ac:dyDescent="0.2">
      <c r="F865" s="2"/>
      <c r="G865" s="2"/>
    </row>
    <row r="866" spans="6:7" ht="12" customHeight="1" x14ac:dyDescent="0.2">
      <c r="F866" s="2"/>
      <c r="G866" s="2"/>
    </row>
    <row r="867" spans="6:7" ht="12" customHeight="1" x14ac:dyDescent="0.2">
      <c r="F867" s="2"/>
      <c r="G867" s="2"/>
    </row>
    <row r="868" spans="6:7" ht="12" customHeight="1" x14ac:dyDescent="0.2">
      <c r="F868" s="2"/>
      <c r="G868" s="2"/>
    </row>
    <row r="869" spans="6:7" ht="12" customHeight="1" x14ac:dyDescent="0.2">
      <c r="F869" s="2"/>
      <c r="G869" s="2"/>
    </row>
    <row r="870" spans="6:7" ht="12" customHeight="1" x14ac:dyDescent="0.2">
      <c r="F870" s="2"/>
      <c r="G870" s="2"/>
    </row>
    <row r="871" spans="6:7" ht="12" customHeight="1" x14ac:dyDescent="0.2">
      <c r="F871" s="2"/>
      <c r="G871" s="2"/>
    </row>
    <row r="872" spans="6:7" ht="12" customHeight="1" x14ac:dyDescent="0.2">
      <c r="F872" s="2"/>
      <c r="G872" s="2"/>
    </row>
    <row r="873" spans="6:7" ht="12" customHeight="1" x14ac:dyDescent="0.2">
      <c r="F873" s="2"/>
      <c r="G873" s="2"/>
    </row>
    <row r="874" spans="6:7" ht="12" customHeight="1" x14ac:dyDescent="0.2">
      <c r="F874" s="2"/>
      <c r="G874" s="2"/>
    </row>
    <row r="875" spans="6:7" ht="12" customHeight="1" x14ac:dyDescent="0.2">
      <c r="F875" s="2"/>
      <c r="G875" s="2"/>
    </row>
    <row r="876" spans="6:7" ht="12" customHeight="1" x14ac:dyDescent="0.2">
      <c r="F876" s="2"/>
      <c r="G876" s="2"/>
    </row>
    <row r="877" spans="6:7" ht="12" customHeight="1" x14ac:dyDescent="0.2">
      <c r="F877" s="2"/>
      <c r="G877" s="2"/>
    </row>
    <row r="878" spans="6:7" ht="12" customHeight="1" x14ac:dyDescent="0.2">
      <c r="F878" s="2"/>
      <c r="G878" s="2"/>
    </row>
    <row r="879" spans="6:7" ht="12" customHeight="1" x14ac:dyDescent="0.2">
      <c r="F879" s="2"/>
      <c r="G879" s="2"/>
    </row>
    <row r="880" spans="6:7" ht="12" customHeight="1" x14ac:dyDescent="0.2">
      <c r="F880" s="2"/>
      <c r="G880" s="2"/>
    </row>
    <row r="881" spans="6:7" ht="12" customHeight="1" x14ac:dyDescent="0.2">
      <c r="F881" s="2"/>
      <c r="G881" s="2"/>
    </row>
    <row r="882" spans="6:7" ht="12" customHeight="1" x14ac:dyDescent="0.2">
      <c r="F882" s="2"/>
      <c r="G882" s="2"/>
    </row>
    <row r="883" spans="6:7" ht="12" customHeight="1" x14ac:dyDescent="0.2">
      <c r="F883" s="2"/>
      <c r="G883" s="2"/>
    </row>
    <row r="884" spans="6:7" ht="12" customHeight="1" x14ac:dyDescent="0.2">
      <c r="F884" s="2"/>
      <c r="G884" s="2"/>
    </row>
    <row r="885" spans="6:7" ht="12" customHeight="1" x14ac:dyDescent="0.2">
      <c r="F885" s="2"/>
      <c r="G885" s="2"/>
    </row>
    <row r="886" spans="6:7" ht="12" customHeight="1" x14ac:dyDescent="0.2">
      <c r="F886" s="2"/>
      <c r="G886" s="2"/>
    </row>
    <row r="887" spans="6:7" ht="12" customHeight="1" x14ac:dyDescent="0.2">
      <c r="F887" s="2"/>
      <c r="G887" s="2"/>
    </row>
    <row r="888" spans="6:7" ht="12" customHeight="1" x14ac:dyDescent="0.2">
      <c r="F888" s="2"/>
      <c r="G888" s="2"/>
    </row>
    <row r="889" spans="6:7" ht="12" customHeight="1" x14ac:dyDescent="0.2">
      <c r="F889" s="2"/>
      <c r="G889" s="2"/>
    </row>
    <row r="890" spans="6:7" ht="12" customHeight="1" x14ac:dyDescent="0.2">
      <c r="F890" s="2"/>
      <c r="G890" s="2"/>
    </row>
    <row r="891" spans="6:7" ht="12" customHeight="1" x14ac:dyDescent="0.2">
      <c r="F891" s="2"/>
      <c r="G891" s="2"/>
    </row>
    <row r="892" spans="6:7" ht="12" customHeight="1" x14ac:dyDescent="0.2">
      <c r="F892" s="2"/>
      <c r="G892" s="2"/>
    </row>
    <row r="893" spans="6:7" ht="12" customHeight="1" x14ac:dyDescent="0.2">
      <c r="F893" s="2"/>
      <c r="G893" s="2"/>
    </row>
    <row r="894" spans="6:7" ht="12" customHeight="1" x14ac:dyDescent="0.2">
      <c r="F894" s="2"/>
      <c r="G894" s="2"/>
    </row>
    <row r="895" spans="6:7" ht="12" customHeight="1" x14ac:dyDescent="0.2">
      <c r="F895" s="2"/>
      <c r="G895" s="2"/>
    </row>
    <row r="896" spans="6:7" ht="12" customHeight="1" x14ac:dyDescent="0.2">
      <c r="F896" s="2"/>
      <c r="G896" s="2"/>
    </row>
    <row r="897" spans="6:7" ht="12" customHeight="1" x14ac:dyDescent="0.2">
      <c r="F897" s="2"/>
      <c r="G897" s="2"/>
    </row>
    <row r="898" spans="6:7" ht="12" customHeight="1" x14ac:dyDescent="0.2"/>
    <row r="899" spans="6:7" ht="12" customHeight="1" x14ac:dyDescent="0.2"/>
    <row r="900" spans="6:7" ht="12" customHeight="1" x14ac:dyDescent="0.2"/>
    <row r="901" spans="6:7" ht="12" customHeight="1" x14ac:dyDescent="0.2"/>
    <row r="902" spans="6:7" ht="12" customHeight="1" x14ac:dyDescent="0.2"/>
    <row r="903" spans="6:7" ht="12" customHeight="1" x14ac:dyDescent="0.2"/>
    <row r="904" spans="6:7" ht="12" customHeight="1" x14ac:dyDescent="0.2"/>
    <row r="905" spans="6:7" ht="12" customHeight="1" x14ac:dyDescent="0.2"/>
    <row r="906" spans="6:7" ht="12" customHeight="1" x14ac:dyDescent="0.2"/>
    <row r="907" spans="6:7" ht="12" customHeight="1" x14ac:dyDescent="0.2"/>
    <row r="908" spans="6:7" ht="12" customHeight="1" x14ac:dyDescent="0.2"/>
    <row r="909" spans="6:7" ht="12" customHeight="1" x14ac:dyDescent="0.2"/>
    <row r="910" spans="6:7" ht="12" customHeight="1" x14ac:dyDescent="0.2"/>
    <row r="911" spans="6:7" ht="12" customHeight="1" x14ac:dyDescent="0.2"/>
    <row r="912" spans="6:7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</sheetData>
  <autoFilter ref="A1:Q111"/>
  <mergeCells count="133">
    <mergeCell ref="B799:B802"/>
    <mergeCell ref="F843:G843"/>
    <mergeCell ref="B741:G741"/>
    <mergeCell ref="B669:G669"/>
    <mergeCell ref="B670:G670"/>
    <mergeCell ref="B671:G671"/>
    <mergeCell ref="B672:G672"/>
    <mergeCell ref="B673:G673"/>
    <mergeCell ref="B653:B654"/>
    <mergeCell ref="B710:G710"/>
    <mergeCell ref="B711:G711"/>
    <mergeCell ref="B712:G712"/>
    <mergeCell ref="B713:G713"/>
    <mergeCell ref="B714:G714"/>
    <mergeCell ref="B727:G727"/>
    <mergeCell ref="B728:G728"/>
    <mergeCell ref="B729:G729"/>
    <mergeCell ref="B730:G730"/>
    <mergeCell ref="B731:G731"/>
    <mergeCell ref="B732:B733"/>
    <mergeCell ref="B739:G739"/>
    <mergeCell ref="B740:G740"/>
    <mergeCell ref="B742:G742"/>
    <mergeCell ref="B743:G743"/>
    <mergeCell ref="B566:B567"/>
    <mergeCell ref="B746:B747"/>
    <mergeCell ref="C746:C747"/>
    <mergeCell ref="D746:G746"/>
    <mergeCell ref="B648:G648"/>
    <mergeCell ref="B649:G649"/>
    <mergeCell ref="B650:G650"/>
    <mergeCell ref="B651:G651"/>
    <mergeCell ref="B652:G652"/>
    <mergeCell ref="B607:B608"/>
    <mergeCell ref="B701:B702"/>
    <mergeCell ref="B696:G696"/>
    <mergeCell ref="B697:G697"/>
    <mergeCell ref="B698:G698"/>
    <mergeCell ref="B699:G699"/>
    <mergeCell ref="B700:G700"/>
    <mergeCell ref="B674:B675"/>
    <mergeCell ref="B602:G602"/>
    <mergeCell ref="B603:G603"/>
    <mergeCell ref="B604:G604"/>
    <mergeCell ref="B605:G605"/>
    <mergeCell ref="B606:G606"/>
    <mergeCell ref="B715:B716"/>
    <mergeCell ref="B682:G682"/>
    <mergeCell ref="B561:G561"/>
    <mergeCell ref="B562:G562"/>
    <mergeCell ref="B563:G563"/>
    <mergeCell ref="B564:G564"/>
    <mergeCell ref="B565:G565"/>
    <mergeCell ref="B477:G477"/>
    <mergeCell ref="B478:G478"/>
    <mergeCell ref="B479:G479"/>
    <mergeCell ref="B480:G480"/>
    <mergeCell ref="B481:G481"/>
    <mergeCell ref="B482:B483"/>
    <mergeCell ref="B521:B522"/>
    <mergeCell ref="B516:G516"/>
    <mergeCell ref="B517:G517"/>
    <mergeCell ref="B518:G518"/>
    <mergeCell ref="B519:G519"/>
    <mergeCell ref="B520:G520"/>
    <mergeCell ref="B443:G443"/>
    <mergeCell ref="B444:G444"/>
    <mergeCell ref="B445:G445"/>
    <mergeCell ref="B446:G446"/>
    <mergeCell ref="B447:B448"/>
    <mergeCell ref="B476:G476"/>
    <mergeCell ref="B412:G412"/>
    <mergeCell ref="B413:G413"/>
    <mergeCell ref="B414:G414"/>
    <mergeCell ref="B415:G415"/>
    <mergeCell ref="B416:B417"/>
    <mergeCell ref="B442:G442"/>
    <mergeCell ref="B411:G411"/>
    <mergeCell ref="B379:G379"/>
    <mergeCell ref="B380:G380"/>
    <mergeCell ref="B381:B382"/>
    <mergeCell ref="B341:G341"/>
    <mergeCell ref="B342:B343"/>
    <mergeCell ref="B375:G375"/>
    <mergeCell ref="B376:G376"/>
    <mergeCell ref="B377:G377"/>
    <mergeCell ref="B378:G378"/>
    <mergeCell ref="B339:G339"/>
    <mergeCell ref="B340:G340"/>
    <mergeCell ref="B168:B169"/>
    <mergeCell ref="B276:H276"/>
    <mergeCell ref="B277:H277"/>
    <mergeCell ref="B278:G278"/>
    <mergeCell ref="B279:G279"/>
    <mergeCell ref="B227:B228"/>
    <mergeCell ref="B222:G222"/>
    <mergeCell ref="B223:G223"/>
    <mergeCell ref="B224:G224"/>
    <mergeCell ref="B225:G225"/>
    <mergeCell ref="B226:G226"/>
    <mergeCell ref="B57:G57"/>
    <mergeCell ref="B58:G58"/>
    <mergeCell ref="B59:G59"/>
    <mergeCell ref="B280:H280"/>
    <mergeCell ref="B281:B282"/>
    <mergeCell ref="B337:G337"/>
    <mergeCell ref="C6:C7"/>
    <mergeCell ref="G6:G7"/>
    <mergeCell ref="B338:G338"/>
    <mergeCell ref="B3:G3"/>
    <mergeCell ref="B683:G683"/>
    <mergeCell ref="B684:G684"/>
    <mergeCell ref="B685:G685"/>
    <mergeCell ref="B686:G686"/>
    <mergeCell ref="B687:B688"/>
    <mergeCell ref="B2:G2"/>
    <mergeCell ref="B4:G4"/>
    <mergeCell ref="B5:G5"/>
    <mergeCell ref="B6:B7"/>
    <mergeCell ref="B60:B61"/>
    <mergeCell ref="B163:G163"/>
    <mergeCell ref="B164:G164"/>
    <mergeCell ref="B114:G114"/>
    <mergeCell ref="B115:G115"/>
    <mergeCell ref="B116:G116"/>
    <mergeCell ref="B117:G117"/>
    <mergeCell ref="B118:G118"/>
    <mergeCell ref="B119:B120"/>
    <mergeCell ref="B165:G165"/>
    <mergeCell ref="B166:G166"/>
    <mergeCell ref="B167:G167"/>
    <mergeCell ref="B55:G55"/>
    <mergeCell ref="B56:G56"/>
  </mergeCells>
  <phoneticPr fontId="9" type="noConversion"/>
  <conditionalFormatting sqref="P2:P3">
    <cfRule type="cellIs" dxfId="12" priority="1" operator="lessThan">
      <formula>0</formula>
    </cfRule>
  </conditionalFormatting>
  <hyperlinks>
    <hyperlink ref="A770" location="Consolidado!A1" display="INICIO"/>
    <hyperlink ref="M1" location="Consolidado!A766" display="FINAL"/>
  </hyperlinks>
  <printOptions horizontalCentered="1"/>
  <pageMargins left="0.23622047244094491" right="0.23622047244094491" top="1.1811023622047245" bottom="0" header="0.59055118110236227" footer="0.31496062992125984"/>
  <pageSetup scale="74" orientation="portrait" r:id="rId1"/>
  <headerFooter alignWithMargins="0">
    <oddHeader>&amp;L&amp;G</oddHeader>
  </headerFooter>
  <rowBreaks count="22" manualBreakCount="22">
    <brk id="54" min="1" max="6" man="1"/>
    <brk id="113" min="1" max="6" man="1"/>
    <brk id="162" min="1" max="6" man="1"/>
    <brk id="221" min="1" max="6" man="1"/>
    <brk id="275" min="1" max="6" man="1"/>
    <brk id="336" min="1" max="6" man="1"/>
    <brk id="375" min="1" max="6" man="1"/>
    <brk id="410" min="1" max="6" man="1"/>
    <brk id="441" min="1" max="6" man="1"/>
    <brk id="476" min="1" max="6" man="1"/>
    <brk id="515" min="1" max="6" man="1"/>
    <brk id="560" min="1" max="6" man="1"/>
    <brk id="601" min="1" max="6" man="1"/>
    <brk id="647" min="1" max="6" man="1"/>
    <brk id="668" min="1" max="6" man="1"/>
    <brk id="681" min="1" max="6" man="1"/>
    <brk id="695" min="1" max="6" man="1"/>
    <brk id="709" min="1" max="6" man="1"/>
    <brk id="726" min="1" max="6" man="1"/>
    <brk id="738" min="1" max="6" man="1"/>
    <brk id="770" min="1" max="21" man="1"/>
    <brk id="780" min="1" max="21" man="1"/>
  </rowBreaks>
  <ignoredErrors>
    <ignoredError sqref="B749:B764" numberStoredAsText="1"/>
    <ignoredError sqref="D435 G765 G757" formula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L37"/>
  <sheetViews>
    <sheetView workbookViewId="0">
      <selection activeCell="A5" sqref="A5:E7"/>
    </sheetView>
  </sheetViews>
  <sheetFormatPr baseColWidth="10" defaultRowHeight="12.75" x14ac:dyDescent="0.2"/>
  <cols>
    <col min="1" max="1" width="19.28515625" customWidth="1"/>
    <col min="2" max="2" width="12.42578125" bestFit="1" customWidth="1"/>
    <col min="3" max="3" width="0.140625" customWidth="1"/>
    <col min="4" max="4" width="1.7109375" customWidth="1"/>
    <col min="5" max="5" width="15.42578125" customWidth="1"/>
    <col min="6" max="6" width="2" customWidth="1"/>
    <col min="7" max="9" width="12.42578125" bestFit="1" customWidth="1"/>
    <col min="10" max="10" width="14" bestFit="1" customWidth="1"/>
  </cols>
  <sheetData>
    <row r="2" spans="1:12" x14ac:dyDescent="0.2">
      <c r="B2" t="s">
        <v>801</v>
      </c>
      <c r="E2" t="s">
        <v>802</v>
      </c>
      <c r="G2" t="s">
        <v>803</v>
      </c>
    </row>
    <row r="3" spans="1:12" x14ac:dyDescent="0.2">
      <c r="A3" t="s">
        <v>800</v>
      </c>
      <c r="B3" s="13">
        <v>56239.360000000001</v>
      </c>
      <c r="E3" s="13">
        <f t="shared" ref="E3:E10" si="0">G3-B3</f>
        <v>6707.6399999999994</v>
      </c>
      <c r="G3" s="13">
        <v>62947</v>
      </c>
    </row>
    <row r="4" spans="1:12" x14ac:dyDescent="0.2">
      <c r="A4" t="s">
        <v>648</v>
      </c>
      <c r="B4" s="13">
        <v>55624.77</v>
      </c>
      <c r="C4" s="13">
        <f>B4-B3</f>
        <v>-614.59000000000378</v>
      </c>
      <c r="E4" s="13">
        <f t="shared" si="0"/>
        <v>7322.2300000000032</v>
      </c>
      <c r="F4" s="13"/>
      <c r="G4" s="13">
        <v>62947</v>
      </c>
      <c r="H4">
        <f>B3/B4</f>
        <v>1.011048854673916</v>
      </c>
    </row>
    <row r="5" spans="1:12" ht="15.75" x14ac:dyDescent="0.25">
      <c r="A5" t="s">
        <v>649</v>
      </c>
      <c r="B5" s="59">
        <v>56496.2</v>
      </c>
      <c r="C5" s="13">
        <f t="shared" ref="C5:C10" si="1">B5-B4</f>
        <v>871.43000000000029</v>
      </c>
      <c r="E5" s="13">
        <f t="shared" si="0"/>
        <v>6450.8000000000029</v>
      </c>
      <c r="F5" s="13"/>
      <c r="G5" s="13">
        <v>62947</v>
      </c>
      <c r="H5">
        <f t="shared" ref="H5:H11" si="2">B4/B5</f>
        <v>0.98457542277179699</v>
      </c>
    </row>
    <row r="6" spans="1:12" x14ac:dyDescent="0.2">
      <c r="A6" t="s">
        <v>650</v>
      </c>
      <c r="B6" s="13">
        <v>56022.17</v>
      </c>
      <c r="C6" s="13">
        <f t="shared" si="1"/>
        <v>-474.02999999999884</v>
      </c>
      <c r="E6" s="13">
        <f t="shared" si="0"/>
        <v>6924.8300000000017</v>
      </c>
      <c r="F6" s="13"/>
      <c r="G6" s="13">
        <v>62947</v>
      </c>
      <c r="H6">
        <f t="shared" si="2"/>
        <v>1.008461471592407</v>
      </c>
    </row>
    <row r="7" spans="1:12" x14ac:dyDescent="0.2">
      <c r="A7" t="s">
        <v>651</v>
      </c>
      <c r="B7" s="13">
        <v>56868.62</v>
      </c>
      <c r="C7" s="13">
        <f t="shared" si="1"/>
        <v>846.45000000000437</v>
      </c>
      <c r="E7" s="13">
        <f t="shared" si="0"/>
        <v>6078.3799999999974</v>
      </c>
      <c r="F7" s="13"/>
      <c r="G7" s="13">
        <v>62947</v>
      </c>
      <c r="H7">
        <f t="shared" si="2"/>
        <v>0.98511569297795509</v>
      </c>
    </row>
    <row r="8" spans="1:12" x14ac:dyDescent="0.2">
      <c r="A8" t="s">
        <v>652</v>
      </c>
      <c r="B8" s="13">
        <v>57477.22</v>
      </c>
      <c r="C8" s="13">
        <f t="shared" si="1"/>
        <v>608.59999999999854</v>
      </c>
      <c r="E8" s="13">
        <f t="shared" si="0"/>
        <v>5469.7799999999988</v>
      </c>
      <c r="F8" s="13"/>
      <c r="G8" s="13">
        <v>62947</v>
      </c>
      <c r="H8">
        <f t="shared" si="2"/>
        <v>0.98941145726950608</v>
      </c>
    </row>
    <row r="9" spans="1:12" x14ac:dyDescent="0.2">
      <c r="A9" t="s">
        <v>653</v>
      </c>
      <c r="B9" s="13">
        <v>57366.2</v>
      </c>
      <c r="C9" s="13">
        <f t="shared" si="1"/>
        <v>-111.02000000000407</v>
      </c>
      <c r="E9" s="13">
        <f t="shared" si="0"/>
        <v>5580.8000000000029</v>
      </c>
      <c r="F9" s="13"/>
      <c r="G9" s="13">
        <v>62947</v>
      </c>
      <c r="H9">
        <f t="shared" si="2"/>
        <v>1.0019352859349233</v>
      </c>
    </row>
    <row r="10" spans="1:12" x14ac:dyDescent="0.2">
      <c r="A10" t="s">
        <v>654</v>
      </c>
      <c r="B10" s="13">
        <v>57172.62</v>
      </c>
      <c r="C10" s="13">
        <f t="shared" si="1"/>
        <v>-193.57999999999447</v>
      </c>
      <c r="E10" s="13">
        <f t="shared" si="0"/>
        <v>5774.3799999999974</v>
      </c>
      <c r="F10" s="13"/>
      <c r="G10" s="13">
        <v>62947</v>
      </c>
      <c r="H10">
        <f t="shared" si="2"/>
        <v>1.0033858864610368</v>
      </c>
      <c r="I10">
        <v>590946.77</v>
      </c>
      <c r="J10">
        <v>30</v>
      </c>
      <c r="K10">
        <f>I10*J10</f>
        <v>17728403.100000001</v>
      </c>
      <c r="L10">
        <f>K10/36000</f>
        <v>492.45564166666674</v>
      </c>
    </row>
    <row r="11" spans="1:12" x14ac:dyDescent="0.2">
      <c r="A11" t="s">
        <v>655</v>
      </c>
      <c r="B11" s="13">
        <f>B10*H8</f>
        <v>56567.245270115709</v>
      </c>
      <c r="E11" s="13">
        <f t="shared" ref="E11:E14" si="3">G11-B11</f>
        <v>6379.754729884291</v>
      </c>
      <c r="G11" s="13">
        <v>62947</v>
      </c>
      <c r="H11">
        <f t="shared" si="2"/>
        <v>1.0107018598306061</v>
      </c>
      <c r="I11" s="13">
        <f>I10-B11</f>
        <v>534379.52472988435</v>
      </c>
    </row>
    <row r="12" spans="1:12" x14ac:dyDescent="0.2">
      <c r="A12" t="s">
        <v>656</v>
      </c>
      <c r="B12" s="13">
        <f t="shared" ref="B12:B14" si="4">B11*H9</f>
        <v>56676.719064264318</v>
      </c>
      <c r="E12" s="13">
        <f t="shared" si="3"/>
        <v>6270.2809357356819</v>
      </c>
      <c r="G12" s="13">
        <v>62947</v>
      </c>
      <c r="I12" s="13">
        <f t="shared" ref="I12:I14" si="5">I11-B12</f>
        <v>477702.80566562002</v>
      </c>
    </row>
    <row r="13" spans="1:12" x14ac:dyDescent="0.2">
      <c r="A13" t="s">
        <v>657</v>
      </c>
      <c r="B13" s="13">
        <f t="shared" si="4"/>
        <v>56868.619999999995</v>
      </c>
      <c r="E13" s="13">
        <f t="shared" si="3"/>
        <v>6078.3800000000047</v>
      </c>
      <c r="G13" s="13">
        <v>62947</v>
      </c>
      <c r="I13" s="13">
        <f t="shared" si="5"/>
        <v>420834.18566562003</v>
      </c>
    </row>
    <row r="14" spans="1:12" x14ac:dyDescent="0.2">
      <c r="A14" t="s">
        <v>658</v>
      </c>
      <c r="B14" s="13">
        <f t="shared" si="4"/>
        <v>57477.22</v>
      </c>
      <c r="E14" s="13">
        <f t="shared" si="3"/>
        <v>5469.7799999999988</v>
      </c>
      <c r="G14" s="13">
        <v>62947</v>
      </c>
      <c r="I14" s="13">
        <f t="shared" si="5"/>
        <v>363356.96566562005</v>
      </c>
    </row>
    <row r="16" spans="1:12" x14ac:dyDescent="0.2">
      <c r="A16">
        <v>2023</v>
      </c>
    </row>
    <row r="17" spans="1:9" x14ac:dyDescent="0.2">
      <c r="A17" t="s">
        <v>804</v>
      </c>
      <c r="B17" s="13">
        <f>$I$14/6</f>
        <v>60559.494277603342</v>
      </c>
      <c r="C17" s="1"/>
      <c r="E17" s="13">
        <f>G17-B17</f>
        <v>2387.5057223966578</v>
      </c>
      <c r="G17" s="13">
        <v>62947</v>
      </c>
    </row>
    <row r="18" spans="1:9" x14ac:dyDescent="0.2">
      <c r="A18" t="s">
        <v>805</v>
      </c>
      <c r="B18" s="13">
        <f t="shared" ref="B18:B22" si="6">$I$14/6</f>
        <v>60559.494277603342</v>
      </c>
      <c r="E18" s="13">
        <f t="shared" ref="E18:E22" si="7">G18-B18</f>
        <v>2387.5057223966578</v>
      </c>
      <c r="G18" s="13">
        <v>62947</v>
      </c>
    </row>
    <row r="19" spans="1:9" x14ac:dyDescent="0.2">
      <c r="A19" t="s">
        <v>806</v>
      </c>
      <c r="B19" s="13">
        <f t="shared" si="6"/>
        <v>60559.494277603342</v>
      </c>
      <c r="E19" s="13">
        <f t="shared" si="7"/>
        <v>2387.5057223966578</v>
      </c>
      <c r="G19" s="13">
        <v>62947</v>
      </c>
    </row>
    <row r="20" spans="1:9" x14ac:dyDescent="0.2">
      <c r="A20" t="s">
        <v>807</v>
      </c>
      <c r="B20" s="13">
        <f t="shared" si="6"/>
        <v>60559.494277603342</v>
      </c>
      <c r="E20" s="13">
        <f t="shared" si="7"/>
        <v>2387.5057223966578</v>
      </c>
      <c r="G20" s="13">
        <v>62947</v>
      </c>
    </row>
    <row r="21" spans="1:9" x14ac:dyDescent="0.2">
      <c r="A21" t="s">
        <v>808</v>
      </c>
      <c r="B21" s="13">
        <f t="shared" si="6"/>
        <v>60559.494277603342</v>
      </c>
      <c r="E21" s="13">
        <f t="shared" si="7"/>
        <v>2387.5057223966578</v>
      </c>
      <c r="G21" s="13">
        <v>62947</v>
      </c>
    </row>
    <row r="22" spans="1:9" x14ac:dyDescent="0.2">
      <c r="A22" t="s">
        <v>809</v>
      </c>
      <c r="B22" s="13">
        <f t="shared" si="6"/>
        <v>60559.494277603342</v>
      </c>
      <c r="E22" s="13">
        <f t="shared" si="7"/>
        <v>2387.5057223966578</v>
      </c>
      <c r="G22" s="13">
        <v>62947</v>
      </c>
    </row>
    <row r="23" spans="1:9" x14ac:dyDescent="0.2">
      <c r="B23" s="13">
        <f>SUM(B17:B22)</f>
        <v>363356.96566562005</v>
      </c>
      <c r="E23" s="13">
        <f>SUM(E17:E22)</f>
        <v>14325.034334379947</v>
      </c>
      <c r="G23" s="13">
        <f>SUM(G17:G22)</f>
        <v>377682</v>
      </c>
    </row>
    <row r="26" spans="1:9" x14ac:dyDescent="0.2">
      <c r="B26" t="s">
        <v>803</v>
      </c>
      <c r="H26" t="s">
        <v>801</v>
      </c>
      <c r="I26" t="s">
        <v>802</v>
      </c>
    </row>
    <row r="27" spans="1:9" x14ac:dyDescent="0.2">
      <c r="A27" t="s">
        <v>810</v>
      </c>
      <c r="B27" s="13">
        <v>19116.52</v>
      </c>
      <c r="E27" s="13">
        <f>B27*12</f>
        <v>229398.24</v>
      </c>
      <c r="G27" s="13">
        <f>13650/B27</f>
        <v>0.71404209552784714</v>
      </c>
      <c r="H27" s="13">
        <f>E27*G27</f>
        <v>163800</v>
      </c>
    </row>
    <row r="28" spans="1:9" x14ac:dyDescent="0.2">
      <c r="A28" t="s">
        <v>811</v>
      </c>
      <c r="B28" s="13">
        <v>9884.6299999999992</v>
      </c>
      <c r="E28" s="13">
        <f t="shared" ref="E28:E32" si="8">B28*12</f>
        <v>118615.56</v>
      </c>
      <c r="G28" s="13">
        <f>4500/B28</f>
        <v>0.45525224515232238</v>
      </c>
      <c r="H28" s="13">
        <f t="shared" ref="H28:H32" si="9">E28*G28</f>
        <v>54000</v>
      </c>
    </row>
    <row r="29" spans="1:9" x14ac:dyDescent="0.2">
      <c r="A29" t="s">
        <v>812</v>
      </c>
      <c r="B29" s="13">
        <v>4129.91</v>
      </c>
      <c r="E29" s="13">
        <f t="shared" si="8"/>
        <v>49558.92</v>
      </c>
      <c r="G29" s="13">
        <f>1700/B29</f>
        <v>0.41163124620149111</v>
      </c>
      <c r="H29" s="13">
        <f t="shared" si="9"/>
        <v>20400</v>
      </c>
    </row>
    <row r="30" spans="1:9" x14ac:dyDescent="0.2">
      <c r="A30" t="s">
        <v>813</v>
      </c>
      <c r="B30" s="13">
        <v>6819.58</v>
      </c>
      <c r="E30" s="13">
        <f t="shared" si="8"/>
        <v>81834.959999999992</v>
      </c>
      <c r="G30" s="13">
        <f>2600/B30</f>
        <v>0.38125515061044818</v>
      </c>
      <c r="H30" s="13">
        <f t="shared" si="9"/>
        <v>31200</v>
      </c>
    </row>
    <row r="31" spans="1:9" x14ac:dyDescent="0.2">
      <c r="A31" t="s">
        <v>814</v>
      </c>
      <c r="B31" s="13">
        <v>11365.97</v>
      </c>
      <c r="E31" s="13">
        <f t="shared" si="8"/>
        <v>136391.63999999998</v>
      </c>
      <c r="G31" s="13">
        <f>4700/B31</f>
        <v>0.41351508054305969</v>
      </c>
      <c r="H31" s="13">
        <f t="shared" si="9"/>
        <v>56399.999999999993</v>
      </c>
    </row>
    <row r="32" spans="1:9" x14ac:dyDescent="0.2">
      <c r="A32" t="s">
        <v>815</v>
      </c>
      <c r="B32" s="13">
        <v>7956.18</v>
      </c>
      <c r="E32" s="13">
        <f t="shared" si="8"/>
        <v>95474.16</v>
      </c>
      <c r="G32" s="13">
        <f>3000/B32</f>
        <v>0.37706537559482062</v>
      </c>
      <c r="H32" s="13">
        <f t="shared" si="9"/>
        <v>36000</v>
      </c>
    </row>
    <row r="33" spans="1:10" x14ac:dyDescent="0.2">
      <c r="A33" t="s">
        <v>816</v>
      </c>
      <c r="B33" s="13">
        <f>SUM(B27:B32)</f>
        <v>59272.79</v>
      </c>
      <c r="E33" s="13">
        <f>SUM(E27:E32)</f>
        <v>711273.48</v>
      </c>
      <c r="G33" t="s">
        <v>817</v>
      </c>
      <c r="H33" s="13">
        <f>SUM(H27:H32)</f>
        <v>361800</v>
      </c>
      <c r="I33" s="13">
        <f>E33-H33</f>
        <v>349473.48</v>
      </c>
    </row>
    <row r="35" spans="1:10" x14ac:dyDescent="0.2">
      <c r="E35" s="13">
        <f>G23+E33</f>
        <v>1088955.48</v>
      </c>
      <c r="G35" t="s">
        <v>818</v>
      </c>
      <c r="H35" s="13">
        <f>B23</f>
        <v>363356.96566562005</v>
      </c>
      <c r="I35" s="13">
        <f>E23</f>
        <v>14325.034334379947</v>
      </c>
    </row>
    <row r="37" spans="1:10" x14ac:dyDescent="0.2">
      <c r="H37" s="14">
        <f>H33+H35</f>
        <v>725156.96566562005</v>
      </c>
      <c r="I37" s="14">
        <f>I33+I35</f>
        <v>363798.51433437993</v>
      </c>
      <c r="J37" s="13">
        <f>H37+I37</f>
        <v>1088955.48</v>
      </c>
    </row>
  </sheetData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2:AD209"/>
  <sheetViews>
    <sheetView view="pageBreakPreview" zoomScale="85" zoomScaleNormal="70" zoomScaleSheetLayoutView="85" workbookViewId="0">
      <selection activeCell="A2" sqref="A2:N2"/>
    </sheetView>
  </sheetViews>
  <sheetFormatPr baseColWidth="10" defaultColWidth="11.42578125" defaultRowHeight="12.75" x14ac:dyDescent="0.2"/>
  <cols>
    <col min="1" max="1" width="10" style="1" customWidth="1"/>
    <col min="2" max="2" width="57.42578125" style="1" customWidth="1"/>
    <col min="3" max="3" width="19.7109375" style="1" hidden="1" customWidth="1"/>
    <col min="4" max="4" width="21.5703125" style="1" hidden="1" customWidth="1"/>
    <col min="5" max="5" width="17.28515625" style="1" hidden="1" customWidth="1"/>
    <col min="6" max="6" width="16.5703125" style="1" hidden="1" customWidth="1"/>
    <col min="7" max="7" width="17.28515625" style="1" hidden="1" customWidth="1"/>
    <col min="8" max="10" width="17.140625" style="1" hidden="1" customWidth="1"/>
    <col min="11" max="11" width="18.5703125" style="1" hidden="1" customWidth="1"/>
    <col min="12" max="12" width="18.5703125" style="1" customWidth="1"/>
    <col min="13" max="14" width="17.5703125" style="1" customWidth="1"/>
    <col min="15" max="15" width="13.85546875" style="1" customWidth="1"/>
    <col min="16" max="16" width="13.85546875" style="1" bestFit="1" customWidth="1"/>
    <col min="17" max="19" width="13.85546875" style="1" customWidth="1"/>
    <col min="20" max="21" width="17.85546875" style="1" customWidth="1"/>
    <col min="22" max="22" width="19.85546875" style="1" customWidth="1"/>
    <col min="23" max="23" width="12.5703125" style="1" customWidth="1"/>
    <col min="24" max="16384" width="11.42578125" style="1"/>
  </cols>
  <sheetData>
    <row r="2" spans="1:30" x14ac:dyDescent="0.2">
      <c r="A2" s="404" t="s">
        <v>835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</row>
    <row r="3" spans="1:30" x14ac:dyDescent="0.2">
      <c r="A3" s="423" t="s">
        <v>119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</row>
    <row r="4" spans="1:30" x14ac:dyDescent="0.2">
      <c r="A4" s="424" t="s">
        <v>196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</row>
    <row r="5" spans="1:30" ht="15.75" x14ac:dyDescent="0.2">
      <c r="A5" s="423" t="s">
        <v>860</v>
      </c>
      <c r="B5" s="425"/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</row>
    <row r="6" spans="1:30" ht="15.75" x14ac:dyDescent="0.25">
      <c r="A6" s="426" t="s">
        <v>499</v>
      </c>
      <c r="B6" s="426"/>
      <c r="C6" s="426"/>
      <c r="D6" s="426"/>
      <c r="E6" s="426"/>
      <c r="F6" s="426"/>
      <c r="G6" s="426"/>
      <c r="H6" s="426"/>
      <c r="I6" s="426"/>
      <c r="J6" s="426"/>
      <c r="K6" s="426"/>
      <c r="L6" s="426"/>
      <c r="M6" s="426"/>
      <c r="N6" s="426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</row>
    <row r="7" spans="1:30" ht="51.75" thickBot="1" x14ac:dyDescent="0.25">
      <c r="A7" s="170" t="s">
        <v>197</v>
      </c>
      <c r="B7" s="170" t="s">
        <v>0</v>
      </c>
      <c r="C7" s="170" t="s">
        <v>198</v>
      </c>
      <c r="D7" s="170" t="s">
        <v>199</v>
      </c>
      <c r="E7" s="171" t="s">
        <v>200</v>
      </c>
      <c r="F7" s="172" t="s">
        <v>201</v>
      </c>
      <c r="G7" s="172" t="s">
        <v>202</v>
      </c>
      <c r="H7" s="173" t="s">
        <v>203</v>
      </c>
      <c r="I7" s="173" t="s">
        <v>204</v>
      </c>
      <c r="J7" s="173" t="s">
        <v>205</v>
      </c>
      <c r="K7" s="173" t="s">
        <v>206</v>
      </c>
      <c r="L7" s="174" t="s">
        <v>139</v>
      </c>
      <c r="M7" s="174" t="s">
        <v>140</v>
      </c>
      <c r="N7" s="173" t="s">
        <v>207</v>
      </c>
    </row>
    <row r="8" spans="1:30" x14ac:dyDescent="0.2">
      <c r="A8" s="16">
        <v>1</v>
      </c>
      <c r="B8" s="17" t="s">
        <v>208</v>
      </c>
      <c r="C8" s="175"/>
      <c r="D8" s="175"/>
      <c r="E8" s="175"/>
      <c r="F8" s="18"/>
      <c r="G8" s="18"/>
      <c r="H8" s="18"/>
      <c r="I8" s="18"/>
      <c r="J8" s="18"/>
      <c r="K8" s="18"/>
      <c r="L8" s="18"/>
      <c r="M8" s="18"/>
      <c r="N8" s="18"/>
    </row>
    <row r="9" spans="1:30" x14ac:dyDescent="0.2">
      <c r="A9" s="176">
        <v>11</v>
      </c>
      <c r="B9" s="177" t="s">
        <v>209</v>
      </c>
      <c r="C9" s="178"/>
      <c r="D9" s="178"/>
      <c r="E9" s="178"/>
      <c r="F9" s="179"/>
      <c r="G9" s="179"/>
      <c r="H9" s="179"/>
      <c r="I9" s="179"/>
      <c r="J9" s="179"/>
      <c r="K9" s="179"/>
      <c r="L9" s="180">
        <f>L10</f>
        <v>0</v>
      </c>
      <c r="M9" s="180">
        <f>M10</f>
        <v>1033130.82</v>
      </c>
      <c r="N9" s="180">
        <f>L9+M9</f>
        <v>1033130.82</v>
      </c>
    </row>
    <row r="10" spans="1:30" x14ac:dyDescent="0.2">
      <c r="A10" s="181">
        <v>118</v>
      </c>
      <c r="B10" s="182" t="s">
        <v>209</v>
      </c>
      <c r="C10" s="183">
        <f>SUM(C12:C19)</f>
        <v>597584.93000000005</v>
      </c>
      <c r="D10" s="184"/>
      <c r="E10" s="183">
        <f t="shared" ref="E10:E19" si="0">C10+D10</f>
        <v>597584.93000000005</v>
      </c>
      <c r="F10" s="185"/>
      <c r="G10" s="185"/>
      <c r="H10" s="185"/>
      <c r="I10" s="185"/>
      <c r="J10" s="185"/>
      <c r="K10" s="185"/>
      <c r="L10" s="183">
        <f>ROUND(SUM(L12:L19),2)</f>
        <v>0</v>
      </c>
      <c r="M10" s="183">
        <f>ROUND(SUM(M12:M19),2)</f>
        <v>1033130.82</v>
      </c>
      <c r="N10" s="183">
        <f>L10+M10</f>
        <v>1033130.82</v>
      </c>
    </row>
    <row r="11" spans="1:30" x14ac:dyDescent="0.2">
      <c r="A11" s="186"/>
      <c r="B11" s="17" t="s">
        <v>210</v>
      </c>
      <c r="C11" s="30"/>
      <c r="D11" s="81"/>
      <c r="E11" s="81"/>
      <c r="F11" s="187"/>
      <c r="G11" s="187"/>
      <c r="H11" s="187"/>
      <c r="I11" s="27"/>
      <c r="J11" s="187"/>
      <c r="K11" s="187"/>
      <c r="L11" s="187"/>
      <c r="M11" s="27"/>
      <c r="N11" s="187"/>
    </row>
    <row r="12" spans="1:30" x14ac:dyDescent="0.2">
      <c r="A12" s="28" t="s">
        <v>57</v>
      </c>
      <c r="B12" s="29" t="s">
        <v>58</v>
      </c>
      <c r="C12" s="30">
        <v>526202.35</v>
      </c>
      <c r="D12" s="81"/>
      <c r="E12" s="30">
        <f t="shared" si="0"/>
        <v>526202.35</v>
      </c>
      <c r="F12" s="27"/>
      <c r="G12" s="27"/>
      <c r="H12" s="27"/>
      <c r="I12" s="27"/>
      <c r="J12" s="187"/>
      <c r="K12" s="187"/>
      <c r="L12" s="30">
        <v>0</v>
      </c>
      <c r="M12" s="30">
        <v>777160.55</v>
      </c>
      <c r="N12" s="27">
        <f>L12+M12</f>
        <v>777160.55</v>
      </c>
    </row>
    <row r="13" spans="1:30" x14ac:dyDescent="0.2">
      <c r="A13" s="28" t="s">
        <v>59</v>
      </c>
      <c r="B13" s="29" t="s">
        <v>60</v>
      </c>
      <c r="C13" s="30">
        <v>1631.8</v>
      </c>
      <c r="D13" s="81"/>
      <c r="E13" s="30">
        <f t="shared" si="0"/>
        <v>1631.8</v>
      </c>
      <c r="F13" s="27"/>
      <c r="G13" s="27"/>
      <c r="H13" s="27"/>
      <c r="I13" s="27"/>
      <c r="J13" s="187"/>
      <c r="K13" s="187"/>
      <c r="L13" s="30">
        <v>0</v>
      </c>
      <c r="M13" s="30">
        <v>132451.15</v>
      </c>
      <c r="N13" s="27">
        <f t="shared" ref="N13:N19" si="1">L13+M13</f>
        <v>132451.15</v>
      </c>
    </row>
    <row r="14" spans="1:30" x14ac:dyDescent="0.2">
      <c r="A14" s="186">
        <v>11803</v>
      </c>
      <c r="B14" s="29" t="s">
        <v>61</v>
      </c>
      <c r="C14" s="30"/>
      <c r="D14" s="81"/>
      <c r="E14" s="30">
        <f t="shared" si="0"/>
        <v>0</v>
      </c>
      <c r="F14" s="27"/>
      <c r="G14" s="27"/>
      <c r="H14" s="27"/>
      <c r="I14" s="27"/>
      <c r="J14" s="187"/>
      <c r="K14" s="187"/>
      <c r="L14" s="30">
        <v>0</v>
      </c>
      <c r="M14" s="30">
        <v>149.16</v>
      </c>
      <c r="N14" s="27">
        <f t="shared" si="1"/>
        <v>149.16</v>
      </c>
    </row>
    <row r="15" spans="1:30" x14ac:dyDescent="0.2">
      <c r="A15" s="28" t="s">
        <v>62</v>
      </c>
      <c r="B15" s="29" t="s">
        <v>63</v>
      </c>
      <c r="C15" s="30">
        <v>5420.05</v>
      </c>
      <c r="D15" s="81"/>
      <c r="E15" s="30">
        <f t="shared" si="0"/>
        <v>5420.05</v>
      </c>
      <c r="F15" s="27"/>
      <c r="G15" s="27"/>
      <c r="H15" s="27"/>
      <c r="I15" s="27"/>
      <c r="J15" s="187"/>
      <c r="K15" s="187"/>
      <c r="L15" s="30">
        <v>0</v>
      </c>
      <c r="M15" s="30">
        <v>78327.22</v>
      </c>
      <c r="N15" s="27">
        <f t="shared" si="1"/>
        <v>78327.22</v>
      </c>
    </row>
    <row r="16" spans="1:30" x14ac:dyDescent="0.2">
      <c r="A16" s="28" t="s">
        <v>64</v>
      </c>
      <c r="B16" s="29" t="s">
        <v>65</v>
      </c>
      <c r="C16" s="30">
        <v>8.89</v>
      </c>
      <c r="D16" s="81"/>
      <c r="E16" s="30">
        <f t="shared" si="0"/>
        <v>8.89</v>
      </c>
      <c r="F16" s="27"/>
      <c r="G16" s="27"/>
      <c r="H16" s="27"/>
      <c r="I16" s="27"/>
      <c r="J16" s="187"/>
      <c r="K16" s="187"/>
      <c r="L16" s="30">
        <v>0</v>
      </c>
      <c r="M16" s="30">
        <v>5180.92</v>
      </c>
      <c r="N16" s="27">
        <f t="shared" si="1"/>
        <v>5180.92</v>
      </c>
    </row>
    <row r="17" spans="1:15" x14ac:dyDescent="0.2">
      <c r="A17" s="28" t="s">
        <v>66</v>
      </c>
      <c r="B17" s="29" t="s">
        <v>67</v>
      </c>
      <c r="C17" s="30">
        <v>19739.580000000002</v>
      </c>
      <c r="D17" s="81"/>
      <c r="E17" s="30">
        <f t="shared" si="0"/>
        <v>19739.580000000002</v>
      </c>
      <c r="F17" s="27"/>
      <c r="G17" s="27"/>
      <c r="H17" s="27"/>
      <c r="I17" s="27"/>
      <c r="J17" s="187"/>
      <c r="K17" s="187"/>
      <c r="L17" s="30">
        <v>0</v>
      </c>
      <c r="M17" s="30">
        <v>28231.279999999999</v>
      </c>
      <c r="N17" s="27">
        <f t="shared" si="1"/>
        <v>28231.279999999999</v>
      </c>
    </row>
    <row r="18" spans="1:15" x14ac:dyDescent="0.2">
      <c r="A18" s="28" t="s">
        <v>68</v>
      </c>
      <c r="B18" s="29" t="s">
        <v>69</v>
      </c>
      <c r="C18" s="30">
        <v>10329.76</v>
      </c>
      <c r="D18" s="81"/>
      <c r="E18" s="30">
        <f t="shared" si="0"/>
        <v>10329.76</v>
      </c>
      <c r="F18" s="27"/>
      <c r="G18" s="27"/>
      <c r="H18" s="27"/>
      <c r="I18" s="27"/>
      <c r="J18" s="187"/>
      <c r="K18" s="187"/>
      <c r="L18" s="30">
        <v>0</v>
      </c>
      <c r="M18" s="30">
        <v>6604.43</v>
      </c>
      <c r="N18" s="27">
        <f t="shared" si="1"/>
        <v>6604.43</v>
      </c>
    </row>
    <row r="19" spans="1:15" x14ac:dyDescent="0.2">
      <c r="A19" s="28" t="s">
        <v>70</v>
      </c>
      <c r="B19" s="29" t="s">
        <v>71</v>
      </c>
      <c r="C19" s="30">
        <v>34252.5</v>
      </c>
      <c r="D19" s="81"/>
      <c r="E19" s="30">
        <f t="shared" si="0"/>
        <v>34252.5</v>
      </c>
      <c r="F19" s="27"/>
      <c r="G19" s="27"/>
      <c r="H19" s="27"/>
      <c r="I19" s="27"/>
      <c r="J19" s="187"/>
      <c r="K19" s="187"/>
      <c r="L19" s="30">
        <v>0</v>
      </c>
      <c r="M19" s="30">
        <v>5026.1099999999997</v>
      </c>
      <c r="N19" s="27">
        <f t="shared" si="1"/>
        <v>5026.1099999999997</v>
      </c>
      <c r="O19" s="2"/>
    </row>
    <row r="20" spans="1:15" x14ac:dyDescent="0.2">
      <c r="A20" s="28"/>
      <c r="B20" s="29"/>
      <c r="C20" s="30"/>
      <c r="D20" s="81"/>
      <c r="E20" s="81"/>
      <c r="F20" s="27"/>
      <c r="G20" s="27"/>
      <c r="H20" s="27"/>
      <c r="I20" s="27"/>
      <c r="J20" s="187"/>
      <c r="K20" s="187"/>
      <c r="L20" s="187"/>
      <c r="M20" s="27"/>
      <c r="N20" s="27"/>
      <c r="O20" s="2"/>
    </row>
    <row r="21" spans="1:15" x14ac:dyDescent="0.2">
      <c r="A21" s="188">
        <v>12</v>
      </c>
      <c r="B21" s="189" t="s">
        <v>211</v>
      </c>
      <c r="C21" s="190"/>
      <c r="D21" s="178"/>
      <c r="E21" s="178"/>
      <c r="F21" s="180"/>
      <c r="G21" s="180"/>
      <c r="H21" s="180"/>
      <c r="I21" s="180"/>
      <c r="J21" s="191"/>
      <c r="K21" s="191"/>
      <c r="L21" s="180">
        <f>L22+L39</f>
        <v>0</v>
      </c>
      <c r="M21" s="180">
        <f>M22+M39</f>
        <v>2585016.46</v>
      </c>
      <c r="N21" s="180">
        <f t="shared" ref="N21:N37" si="2">L21+M21</f>
        <v>2585016.46</v>
      </c>
      <c r="O21" s="2"/>
    </row>
    <row r="22" spans="1:15" x14ac:dyDescent="0.2">
      <c r="A22" s="192">
        <v>121</v>
      </c>
      <c r="B22" s="193" t="s">
        <v>212</v>
      </c>
      <c r="C22" s="183">
        <f>SUM(C23:C37)</f>
        <v>1218227.8900000001</v>
      </c>
      <c r="D22" s="184"/>
      <c r="E22" s="183">
        <f>C22+D22</f>
        <v>1218227.8900000001</v>
      </c>
      <c r="F22" s="183"/>
      <c r="G22" s="183"/>
      <c r="H22" s="183"/>
      <c r="I22" s="183"/>
      <c r="J22" s="194"/>
      <c r="K22" s="194"/>
      <c r="L22" s="183">
        <f>SUM(L23:L37)</f>
        <v>0</v>
      </c>
      <c r="M22" s="183">
        <f>ROUND(SUM(M23:M37),2)</f>
        <v>2342664.61</v>
      </c>
      <c r="N22" s="183">
        <f t="shared" si="2"/>
        <v>2342664.61</v>
      </c>
    </row>
    <row r="23" spans="1:15" x14ac:dyDescent="0.2">
      <c r="A23" s="28" t="s">
        <v>72</v>
      </c>
      <c r="B23" s="29" t="s">
        <v>213</v>
      </c>
      <c r="C23" s="30">
        <v>29471.360000000001</v>
      </c>
      <c r="D23" s="81"/>
      <c r="E23" s="30">
        <f t="shared" ref="E23:E37" si="3">C23+D23</f>
        <v>29471.360000000001</v>
      </c>
      <c r="F23" s="27"/>
      <c r="G23" s="27"/>
      <c r="H23" s="27"/>
      <c r="I23" s="27"/>
      <c r="J23" s="187"/>
      <c r="K23" s="187"/>
      <c r="L23" s="30">
        <v>0</v>
      </c>
      <c r="M23" s="30">
        <v>3261.91</v>
      </c>
      <c r="N23" s="27">
        <f t="shared" si="2"/>
        <v>3261.91</v>
      </c>
    </row>
    <row r="24" spans="1:15" x14ac:dyDescent="0.2">
      <c r="A24" s="28" t="s">
        <v>73</v>
      </c>
      <c r="B24" s="29" t="s">
        <v>214</v>
      </c>
      <c r="C24" s="30">
        <v>408.71</v>
      </c>
      <c r="D24" s="81"/>
      <c r="E24" s="30">
        <f t="shared" si="3"/>
        <v>408.71</v>
      </c>
      <c r="F24" s="27"/>
      <c r="G24" s="27"/>
      <c r="H24" s="27"/>
      <c r="I24" s="27"/>
      <c r="J24" s="187"/>
      <c r="K24" s="187"/>
      <c r="L24" s="30">
        <v>0</v>
      </c>
      <c r="M24" s="30">
        <v>70130.78</v>
      </c>
      <c r="N24" s="27">
        <f t="shared" si="2"/>
        <v>70130.78</v>
      </c>
    </row>
    <row r="25" spans="1:15" x14ac:dyDescent="0.2">
      <c r="A25" s="28" t="s">
        <v>74</v>
      </c>
      <c r="B25" s="29" t="s">
        <v>75</v>
      </c>
      <c r="C25" s="30">
        <v>142142.26</v>
      </c>
      <c r="D25" s="81"/>
      <c r="E25" s="30">
        <f t="shared" si="3"/>
        <v>142142.26</v>
      </c>
      <c r="F25" s="27"/>
      <c r="G25" s="27"/>
      <c r="H25" s="27"/>
      <c r="I25" s="27"/>
      <c r="J25" s="187"/>
      <c r="K25" s="187"/>
      <c r="L25" s="30">
        <v>0</v>
      </c>
      <c r="M25" s="30">
        <v>315008.7</v>
      </c>
      <c r="N25" s="27">
        <f t="shared" si="2"/>
        <v>315008.7</v>
      </c>
    </row>
    <row r="26" spans="1:15" x14ac:dyDescent="0.2">
      <c r="A26" s="28" t="s">
        <v>76</v>
      </c>
      <c r="B26" s="29" t="s">
        <v>77</v>
      </c>
      <c r="C26" s="30">
        <v>353738.18</v>
      </c>
      <c r="D26" s="81"/>
      <c r="E26" s="30">
        <f t="shared" si="3"/>
        <v>353738.18</v>
      </c>
      <c r="F26" s="27"/>
      <c r="G26" s="27"/>
      <c r="H26" s="27"/>
      <c r="I26" s="27"/>
      <c r="J26" s="187"/>
      <c r="K26" s="187"/>
      <c r="L26" s="30">
        <v>0</v>
      </c>
      <c r="M26" s="30">
        <v>635685.94999999995</v>
      </c>
      <c r="N26" s="27">
        <f t="shared" si="2"/>
        <v>635685.94999999995</v>
      </c>
    </row>
    <row r="27" spans="1:15" x14ac:dyDescent="0.2">
      <c r="A27" s="28">
        <v>12110</v>
      </c>
      <c r="B27" s="29" t="s">
        <v>78</v>
      </c>
      <c r="C27" s="30">
        <v>11201.51</v>
      </c>
      <c r="D27" s="81"/>
      <c r="E27" s="30">
        <f t="shared" si="3"/>
        <v>11201.51</v>
      </c>
      <c r="F27" s="27"/>
      <c r="G27" s="27"/>
      <c r="H27" s="27"/>
      <c r="I27" s="27"/>
      <c r="J27" s="187"/>
      <c r="K27" s="187"/>
      <c r="L27" s="30">
        <v>0</v>
      </c>
      <c r="M27" s="30">
        <v>15318.16</v>
      </c>
      <c r="N27" s="27">
        <f t="shared" si="2"/>
        <v>15318.16</v>
      </c>
    </row>
    <row r="28" spans="1:15" x14ac:dyDescent="0.2">
      <c r="A28" s="28" t="s">
        <v>79</v>
      </c>
      <c r="B28" s="29" t="s">
        <v>80</v>
      </c>
      <c r="C28" s="30">
        <v>7697.52</v>
      </c>
      <c r="D28" s="81"/>
      <c r="E28" s="30">
        <f t="shared" si="3"/>
        <v>7697.52</v>
      </c>
      <c r="F28" s="27"/>
      <c r="G28" s="27"/>
      <c r="H28" s="27"/>
      <c r="I28" s="27"/>
      <c r="J28" s="187"/>
      <c r="K28" s="187"/>
      <c r="L28" s="30">
        <v>0</v>
      </c>
      <c r="M28" s="30">
        <v>454.76</v>
      </c>
      <c r="N28" s="27">
        <f t="shared" si="2"/>
        <v>454.76</v>
      </c>
    </row>
    <row r="29" spans="1:15" x14ac:dyDescent="0.2">
      <c r="A29" s="28" t="s">
        <v>81</v>
      </c>
      <c r="B29" s="29" t="s">
        <v>82</v>
      </c>
      <c r="C29" s="30">
        <v>258980.79</v>
      </c>
      <c r="D29" s="81"/>
      <c r="E29" s="30">
        <f t="shared" si="3"/>
        <v>258980.79</v>
      </c>
      <c r="F29" s="27"/>
      <c r="G29" s="27"/>
      <c r="H29" s="27"/>
      <c r="I29" s="27"/>
      <c r="J29" s="187"/>
      <c r="K29" s="187"/>
      <c r="L29" s="30">
        <v>0</v>
      </c>
      <c r="M29" s="30">
        <v>544195.81999999995</v>
      </c>
      <c r="N29" s="27">
        <f t="shared" si="2"/>
        <v>544195.81999999995</v>
      </c>
    </row>
    <row r="30" spans="1:15" x14ac:dyDescent="0.2">
      <c r="A30" s="28" t="s">
        <v>83</v>
      </c>
      <c r="B30" s="29" t="s">
        <v>84</v>
      </c>
      <c r="C30" s="30">
        <v>1252.3499999999999</v>
      </c>
      <c r="D30" s="81"/>
      <c r="E30" s="30">
        <f t="shared" si="3"/>
        <v>1252.3499999999999</v>
      </c>
      <c r="F30" s="27"/>
      <c r="G30" s="27"/>
      <c r="H30" s="27"/>
      <c r="I30" s="27"/>
      <c r="J30" s="187"/>
      <c r="K30" s="187"/>
      <c r="L30" s="30">
        <v>0</v>
      </c>
      <c r="M30" s="30">
        <v>9.2799999999999994</v>
      </c>
      <c r="N30" s="27">
        <f t="shared" si="2"/>
        <v>9.2799999999999994</v>
      </c>
    </row>
    <row r="31" spans="1:15" x14ac:dyDescent="0.2">
      <c r="A31" s="28" t="s">
        <v>85</v>
      </c>
      <c r="B31" s="29" t="s">
        <v>86</v>
      </c>
      <c r="C31" s="195">
        <v>117526.17</v>
      </c>
      <c r="D31" s="81"/>
      <c r="E31" s="30">
        <f t="shared" si="3"/>
        <v>117526.17</v>
      </c>
      <c r="F31" s="27"/>
      <c r="G31" s="27"/>
      <c r="H31" s="27"/>
      <c r="I31" s="27"/>
      <c r="J31" s="187"/>
      <c r="K31" s="187"/>
      <c r="L31" s="30">
        <v>0</v>
      </c>
      <c r="M31" s="195">
        <v>159294.32</v>
      </c>
      <c r="N31" s="27">
        <f t="shared" si="2"/>
        <v>159294.32</v>
      </c>
    </row>
    <row r="32" spans="1:15" x14ac:dyDescent="0.2">
      <c r="A32" s="28" t="s">
        <v>87</v>
      </c>
      <c r="B32" s="29" t="s">
        <v>88</v>
      </c>
      <c r="C32" s="30">
        <v>120289.03</v>
      </c>
      <c r="D32" s="81"/>
      <c r="E32" s="30">
        <f t="shared" si="3"/>
        <v>120289.03</v>
      </c>
      <c r="F32" s="27"/>
      <c r="G32" s="27"/>
      <c r="H32" s="27"/>
      <c r="I32" s="27"/>
      <c r="J32" s="187"/>
      <c r="K32" s="187"/>
      <c r="L32" s="30">
        <v>0</v>
      </c>
      <c r="M32" s="30">
        <v>182046.49</v>
      </c>
      <c r="N32" s="27">
        <f t="shared" si="2"/>
        <v>182046.49</v>
      </c>
    </row>
    <row r="33" spans="1:15" x14ac:dyDescent="0.2">
      <c r="A33" s="28" t="s">
        <v>89</v>
      </c>
      <c r="B33" s="29" t="s">
        <v>90</v>
      </c>
      <c r="C33" s="30">
        <v>80168.98</v>
      </c>
      <c r="D33" s="81"/>
      <c r="E33" s="30">
        <f t="shared" si="3"/>
        <v>80168.98</v>
      </c>
      <c r="F33" s="27"/>
      <c r="G33" s="27"/>
      <c r="H33" s="27"/>
      <c r="I33" s="27"/>
      <c r="J33" s="187"/>
      <c r="K33" s="187"/>
      <c r="L33" s="30">
        <v>0</v>
      </c>
      <c r="M33" s="30">
        <v>172903.62</v>
      </c>
      <c r="N33" s="27">
        <f t="shared" si="2"/>
        <v>172903.62</v>
      </c>
    </row>
    <row r="34" spans="1:15" x14ac:dyDescent="0.2">
      <c r="A34" s="28" t="s">
        <v>91</v>
      </c>
      <c r="B34" s="29" t="s">
        <v>92</v>
      </c>
      <c r="C34" s="30">
        <v>34033.870000000003</v>
      </c>
      <c r="D34" s="81"/>
      <c r="E34" s="30">
        <f t="shared" si="3"/>
        <v>34033.870000000003</v>
      </c>
      <c r="F34" s="27"/>
      <c r="G34" s="27"/>
      <c r="H34" s="27"/>
      <c r="I34" s="27"/>
      <c r="J34" s="187"/>
      <c r="K34" s="187"/>
      <c r="L34" s="30">
        <v>0</v>
      </c>
      <c r="M34" s="30">
        <v>169251.23</v>
      </c>
      <c r="N34" s="27">
        <f t="shared" si="2"/>
        <v>169251.23</v>
      </c>
    </row>
    <row r="35" spans="1:15" x14ac:dyDescent="0.2">
      <c r="A35" s="28" t="s">
        <v>350</v>
      </c>
      <c r="B35" s="29" t="s">
        <v>351</v>
      </c>
      <c r="C35" s="30">
        <v>34034.870000000003</v>
      </c>
      <c r="D35" s="81"/>
      <c r="E35" s="30">
        <f>C35+D35</f>
        <v>34034.870000000003</v>
      </c>
      <c r="F35" s="27"/>
      <c r="G35" s="27"/>
      <c r="H35" s="27"/>
      <c r="I35" s="27"/>
      <c r="J35" s="187"/>
      <c r="K35" s="187"/>
      <c r="L35" s="30">
        <v>0</v>
      </c>
      <c r="M35" s="30">
        <v>292.27999999999997</v>
      </c>
      <c r="N35" s="27">
        <f t="shared" si="2"/>
        <v>292.27999999999997</v>
      </c>
    </row>
    <row r="36" spans="1:15" x14ac:dyDescent="0.2">
      <c r="A36" s="28" t="s">
        <v>93</v>
      </c>
      <c r="B36" s="29" t="s">
        <v>94</v>
      </c>
      <c r="C36" s="30">
        <v>22626.91</v>
      </c>
      <c r="D36" s="81"/>
      <c r="E36" s="30">
        <f t="shared" si="3"/>
        <v>22626.91</v>
      </c>
      <c r="F36" s="27"/>
      <c r="G36" s="27"/>
      <c r="H36" s="27"/>
      <c r="I36" s="27"/>
      <c r="J36" s="187"/>
      <c r="K36" s="187"/>
      <c r="L36" s="30">
        <v>0</v>
      </c>
      <c r="M36" s="30">
        <v>58947.35</v>
      </c>
      <c r="N36" s="27">
        <f t="shared" si="2"/>
        <v>58947.35</v>
      </c>
    </row>
    <row r="37" spans="1:15" x14ac:dyDescent="0.2">
      <c r="A37" s="28" t="s">
        <v>95</v>
      </c>
      <c r="B37" s="29" t="s">
        <v>96</v>
      </c>
      <c r="C37" s="30">
        <v>4655.38</v>
      </c>
      <c r="D37" s="81"/>
      <c r="E37" s="30">
        <f t="shared" si="3"/>
        <v>4655.38</v>
      </c>
      <c r="F37" s="27"/>
      <c r="G37" s="27"/>
      <c r="H37" s="27"/>
      <c r="I37" s="27"/>
      <c r="J37" s="187"/>
      <c r="K37" s="187"/>
      <c r="L37" s="30">
        <v>0</v>
      </c>
      <c r="M37" s="30">
        <v>15863.96</v>
      </c>
      <c r="N37" s="27">
        <f t="shared" si="2"/>
        <v>15863.96</v>
      </c>
      <c r="O37" s="2"/>
    </row>
    <row r="38" spans="1:15" x14ac:dyDescent="0.2">
      <c r="A38" s="28"/>
      <c r="B38" s="29"/>
      <c r="C38" s="30"/>
      <c r="D38" s="81"/>
      <c r="E38" s="81"/>
      <c r="F38" s="27"/>
      <c r="G38" s="27"/>
      <c r="H38" s="27"/>
      <c r="I38" s="27"/>
      <c r="J38" s="187"/>
      <c r="K38" s="187"/>
      <c r="L38" s="187"/>
      <c r="M38" s="27"/>
      <c r="N38" s="27"/>
      <c r="O38" s="2"/>
    </row>
    <row r="39" spans="1:15" x14ac:dyDescent="0.2">
      <c r="A39" s="192">
        <v>122</v>
      </c>
      <c r="B39" s="193" t="s">
        <v>215</v>
      </c>
      <c r="C39" s="183">
        <f>SUM(C40:C41)</f>
        <v>115631.58</v>
      </c>
      <c r="D39" s="184"/>
      <c r="E39" s="183">
        <f>C39</f>
        <v>115631.58</v>
      </c>
      <c r="F39" s="183"/>
      <c r="G39" s="183"/>
      <c r="H39" s="183"/>
      <c r="I39" s="183"/>
      <c r="J39" s="194"/>
      <c r="K39" s="194"/>
      <c r="L39" s="183">
        <f>L40+L41</f>
        <v>0</v>
      </c>
      <c r="M39" s="183">
        <f>ROUND(SUM(M40:M41),2)</f>
        <v>242351.85</v>
      </c>
      <c r="N39" s="183">
        <f>L39+M39</f>
        <v>242351.85</v>
      </c>
      <c r="O39" s="2"/>
    </row>
    <row r="40" spans="1:15" x14ac:dyDescent="0.2">
      <c r="A40" s="28" t="s">
        <v>97</v>
      </c>
      <c r="B40" s="29" t="s">
        <v>98</v>
      </c>
      <c r="C40" s="30">
        <v>115623.88</v>
      </c>
      <c r="D40" s="81"/>
      <c r="E40" s="30">
        <f>C40+D40</f>
        <v>115623.88</v>
      </c>
      <c r="F40" s="27"/>
      <c r="G40" s="27"/>
      <c r="H40" s="27"/>
      <c r="I40" s="27"/>
      <c r="J40" s="187"/>
      <c r="K40" s="187"/>
      <c r="L40" s="30">
        <v>0</v>
      </c>
      <c r="M40" s="30">
        <v>242301.52</v>
      </c>
      <c r="N40" s="27">
        <f>L40+M40</f>
        <v>242301.52</v>
      </c>
    </row>
    <row r="41" spans="1:15" x14ac:dyDescent="0.2">
      <c r="A41" s="28" t="s">
        <v>216</v>
      </c>
      <c r="B41" s="29" t="s">
        <v>217</v>
      </c>
      <c r="C41" s="30">
        <v>7.7</v>
      </c>
      <c r="D41" s="81"/>
      <c r="E41" s="30">
        <f>C41+D41</f>
        <v>7.7</v>
      </c>
      <c r="F41" s="27"/>
      <c r="G41" s="27"/>
      <c r="H41" s="27"/>
      <c r="I41" s="27"/>
      <c r="J41" s="187"/>
      <c r="K41" s="187"/>
      <c r="L41" s="30">
        <v>0</v>
      </c>
      <c r="M41" s="30">
        <v>50.33</v>
      </c>
      <c r="N41" s="27">
        <f>L41+M41</f>
        <v>50.33</v>
      </c>
    </row>
    <row r="42" spans="1:15" x14ac:dyDescent="0.2">
      <c r="A42" s="28"/>
      <c r="B42" s="29"/>
      <c r="C42" s="30"/>
      <c r="D42" s="81"/>
      <c r="E42" s="81"/>
      <c r="F42" s="27"/>
      <c r="G42" s="27"/>
      <c r="H42" s="27"/>
      <c r="I42" s="27"/>
      <c r="J42" s="187"/>
      <c r="K42" s="187"/>
      <c r="L42" s="187"/>
      <c r="M42" s="27"/>
      <c r="N42" s="27"/>
      <c r="O42" s="2"/>
    </row>
    <row r="43" spans="1:15" ht="18" x14ac:dyDescent="0.25">
      <c r="A43" s="188">
        <v>15</v>
      </c>
      <c r="B43" s="189" t="s">
        <v>218</v>
      </c>
      <c r="C43" s="190"/>
      <c r="D43" s="196"/>
      <c r="E43" s="178"/>
      <c r="F43" s="197"/>
      <c r="G43" s="197"/>
      <c r="H43" s="197"/>
      <c r="I43" s="197"/>
      <c r="J43" s="179"/>
      <c r="K43" s="179"/>
      <c r="L43" s="180">
        <f>L44+L55+L59</f>
        <v>0</v>
      </c>
      <c r="M43" s="180">
        <f>M44+M55+M59</f>
        <v>193520.96</v>
      </c>
      <c r="N43" s="180">
        <f t="shared" ref="N43:N53" si="4">L43+M43</f>
        <v>193520.96</v>
      </c>
    </row>
    <row r="44" spans="1:15" x14ac:dyDescent="0.2">
      <c r="A44" s="192">
        <v>153</v>
      </c>
      <c r="B44" s="193" t="s">
        <v>219</v>
      </c>
      <c r="C44" s="183">
        <f>SUM(C45:C53)</f>
        <v>49148.07</v>
      </c>
      <c r="D44" s="184"/>
      <c r="E44" s="183">
        <f>SUM(E45:E53)</f>
        <v>49148.07</v>
      </c>
      <c r="F44" s="198"/>
      <c r="G44" s="198"/>
      <c r="H44" s="198"/>
      <c r="I44" s="198"/>
      <c r="J44" s="185"/>
      <c r="K44" s="185"/>
      <c r="L44" s="183">
        <f>SUM(L45:L53)</f>
        <v>0</v>
      </c>
      <c r="M44" s="183">
        <f>ROUND(SUM(M45:M53),2)</f>
        <v>69284.479999999996</v>
      </c>
      <c r="N44" s="183">
        <f t="shared" si="4"/>
        <v>69284.479999999996</v>
      </c>
      <c r="O44" s="2"/>
    </row>
    <row r="45" spans="1:15" x14ac:dyDescent="0.2">
      <c r="A45" s="28" t="s">
        <v>99</v>
      </c>
      <c r="B45" s="29" t="s">
        <v>100</v>
      </c>
      <c r="C45" s="30">
        <v>24.09</v>
      </c>
      <c r="D45" s="81"/>
      <c r="E45" s="30">
        <f t="shared" ref="E45:E53" si="5">C45+D45</f>
        <v>24.09</v>
      </c>
      <c r="F45" s="27"/>
      <c r="G45" s="27"/>
      <c r="H45" s="27"/>
      <c r="I45" s="27"/>
      <c r="J45" s="187"/>
      <c r="K45" s="187"/>
      <c r="L45" s="30">
        <v>0</v>
      </c>
      <c r="M45" s="30">
        <v>22003.02</v>
      </c>
      <c r="N45" s="27">
        <f t="shared" si="4"/>
        <v>22003.02</v>
      </c>
      <c r="O45" s="2"/>
    </row>
    <row r="46" spans="1:15" x14ac:dyDescent="0.2">
      <c r="A46" s="28" t="s">
        <v>101</v>
      </c>
      <c r="B46" s="29" t="s">
        <v>102</v>
      </c>
      <c r="C46" s="30">
        <v>688.66</v>
      </c>
      <c r="D46" s="81"/>
      <c r="E46" s="30">
        <f t="shared" si="5"/>
        <v>688.66</v>
      </c>
      <c r="F46" s="27"/>
      <c r="G46" s="27"/>
      <c r="H46" s="27"/>
      <c r="I46" s="27"/>
      <c r="J46" s="187"/>
      <c r="K46" s="187"/>
      <c r="L46" s="30">
        <v>0</v>
      </c>
      <c r="M46" s="30">
        <v>35071.050000000003</v>
      </c>
      <c r="N46" s="27">
        <f t="shared" si="4"/>
        <v>35071.050000000003</v>
      </c>
      <c r="O46" s="2"/>
    </row>
    <row r="47" spans="1:15" x14ac:dyDescent="0.2">
      <c r="A47" s="28" t="s">
        <v>220</v>
      </c>
      <c r="B47" s="29" t="s">
        <v>221</v>
      </c>
      <c r="C47" s="30"/>
      <c r="D47" s="81"/>
      <c r="E47" s="30">
        <f t="shared" si="5"/>
        <v>0</v>
      </c>
      <c r="F47" s="27"/>
      <c r="G47" s="27"/>
      <c r="H47" s="27"/>
      <c r="I47" s="27"/>
      <c r="J47" s="187"/>
      <c r="K47" s="187"/>
      <c r="L47" s="30">
        <v>0</v>
      </c>
      <c r="M47" s="30">
        <v>15.3</v>
      </c>
      <c r="N47" s="27">
        <f t="shared" si="4"/>
        <v>15.3</v>
      </c>
      <c r="O47" s="2"/>
    </row>
    <row r="48" spans="1:15" x14ac:dyDescent="0.2">
      <c r="A48" s="28">
        <v>15308</v>
      </c>
      <c r="B48" s="29" t="s">
        <v>103</v>
      </c>
      <c r="C48" s="30">
        <v>33.25</v>
      </c>
      <c r="D48" s="81"/>
      <c r="E48" s="30">
        <f t="shared" si="5"/>
        <v>33.25</v>
      </c>
      <c r="F48" s="27"/>
      <c r="G48" s="27"/>
      <c r="H48" s="27"/>
      <c r="I48" s="27"/>
      <c r="J48" s="187"/>
      <c r="K48" s="187"/>
      <c r="L48" s="30">
        <v>0</v>
      </c>
      <c r="M48" s="30">
        <v>0.91</v>
      </c>
      <c r="N48" s="27">
        <f t="shared" si="4"/>
        <v>0.91</v>
      </c>
      <c r="O48" s="2"/>
    </row>
    <row r="49" spans="1:16" x14ac:dyDescent="0.2">
      <c r="A49" s="28">
        <v>15310</v>
      </c>
      <c r="B49" s="29" t="s">
        <v>385</v>
      </c>
      <c r="C49" s="30"/>
      <c r="D49" s="81"/>
      <c r="E49" s="30"/>
      <c r="F49" s="27"/>
      <c r="G49" s="27"/>
      <c r="H49" s="27"/>
      <c r="I49" s="27"/>
      <c r="J49" s="187"/>
      <c r="K49" s="187"/>
      <c r="L49" s="30">
        <v>0</v>
      </c>
      <c r="M49" s="30">
        <v>0</v>
      </c>
      <c r="N49" s="27">
        <f t="shared" si="4"/>
        <v>0</v>
      </c>
      <c r="O49" s="2"/>
      <c r="P49" s="3">
        <f>M43+M21+M9</f>
        <v>3811668.2399999998</v>
      </c>
    </row>
    <row r="50" spans="1:16" x14ac:dyDescent="0.2">
      <c r="A50" s="28" t="s">
        <v>104</v>
      </c>
      <c r="B50" s="29" t="s">
        <v>105</v>
      </c>
      <c r="C50" s="30">
        <v>705.53</v>
      </c>
      <c r="D50" s="81"/>
      <c r="E50" s="30">
        <f t="shared" si="5"/>
        <v>705.53</v>
      </c>
      <c r="F50" s="27"/>
      <c r="G50" s="27"/>
      <c r="H50" s="27"/>
      <c r="I50" s="27"/>
      <c r="J50" s="187"/>
      <c r="K50" s="187"/>
      <c r="L50" s="30">
        <v>0</v>
      </c>
      <c r="M50" s="30">
        <v>17.399999999999999</v>
      </c>
      <c r="N50" s="27">
        <f t="shared" si="4"/>
        <v>17.399999999999999</v>
      </c>
      <c r="O50" s="2"/>
    </row>
    <row r="51" spans="1:16" x14ac:dyDescent="0.2">
      <c r="A51" s="28" t="s">
        <v>222</v>
      </c>
      <c r="B51" s="29" t="s">
        <v>223</v>
      </c>
      <c r="C51" s="30"/>
      <c r="D51" s="81"/>
      <c r="E51" s="30">
        <f t="shared" si="5"/>
        <v>0</v>
      </c>
      <c r="F51" s="27"/>
      <c r="G51" s="27"/>
      <c r="H51" s="27"/>
      <c r="I51" s="27"/>
      <c r="J51" s="187"/>
      <c r="K51" s="187"/>
      <c r="L51" s="30">
        <v>0</v>
      </c>
      <c r="M51" s="30">
        <v>29</v>
      </c>
      <c r="N51" s="27">
        <f t="shared" si="4"/>
        <v>29</v>
      </c>
    </row>
    <row r="52" spans="1:16" x14ac:dyDescent="0.2">
      <c r="A52" s="28" t="s">
        <v>224</v>
      </c>
      <c r="B52" s="29" t="s">
        <v>225</v>
      </c>
      <c r="C52" s="30"/>
      <c r="D52" s="81"/>
      <c r="E52" s="30">
        <f t="shared" si="5"/>
        <v>0</v>
      </c>
      <c r="F52" s="27"/>
      <c r="G52" s="27"/>
      <c r="H52" s="27"/>
      <c r="I52" s="27"/>
      <c r="J52" s="187"/>
      <c r="K52" s="187"/>
      <c r="L52" s="30">
        <v>0</v>
      </c>
      <c r="M52" s="30">
        <v>7823.92</v>
      </c>
      <c r="N52" s="27">
        <f t="shared" si="4"/>
        <v>7823.92</v>
      </c>
    </row>
    <row r="53" spans="1:16" x14ac:dyDescent="0.2">
      <c r="A53" s="28" t="s">
        <v>106</v>
      </c>
      <c r="B53" s="29" t="s">
        <v>107</v>
      </c>
      <c r="C53" s="30">
        <v>47696.54</v>
      </c>
      <c r="D53" s="81"/>
      <c r="E53" s="30">
        <f t="shared" si="5"/>
        <v>47696.54</v>
      </c>
      <c r="F53" s="27"/>
      <c r="G53" s="27"/>
      <c r="H53" s="27"/>
      <c r="I53" s="27"/>
      <c r="J53" s="187"/>
      <c r="K53" s="187"/>
      <c r="L53" s="30">
        <v>0</v>
      </c>
      <c r="M53" s="27">
        <v>4323.88</v>
      </c>
      <c r="N53" s="27">
        <f t="shared" si="4"/>
        <v>4323.88</v>
      </c>
      <c r="O53" s="2"/>
    </row>
    <row r="54" spans="1:16" x14ac:dyDescent="0.2">
      <c r="A54" s="28"/>
      <c r="B54" s="29"/>
      <c r="C54" s="30"/>
      <c r="D54" s="81"/>
      <c r="E54" s="81"/>
      <c r="F54" s="27"/>
      <c r="G54" s="27"/>
      <c r="H54" s="27"/>
      <c r="I54" s="27"/>
      <c r="J54" s="187"/>
      <c r="K54" s="187"/>
      <c r="L54" s="187"/>
      <c r="M54" s="81"/>
      <c r="N54" s="27"/>
      <c r="O54" s="2"/>
    </row>
    <row r="55" spans="1:16" x14ac:dyDescent="0.2">
      <c r="A55" s="192">
        <v>154</v>
      </c>
      <c r="B55" s="193" t="s">
        <v>226</v>
      </c>
      <c r="C55" s="199"/>
      <c r="D55" s="184"/>
      <c r="E55" s="184"/>
      <c r="F55" s="198"/>
      <c r="G55" s="198"/>
      <c r="H55" s="198"/>
      <c r="I55" s="198"/>
      <c r="J55" s="185"/>
      <c r="K55" s="185"/>
      <c r="L55" s="183">
        <f>SUM(L56:L57)</f>
        <v>0</v>
      </c>
      <c r="M55" s="183">
        <f>ROUND(SUM(M56:M57),2)</f>
        <v>182.31</v>
      </c>
      <c r="N55" s="183">
        <f>L55+M55</f>
        <v>182.31</v>
      </c>
      <c r="O55" s="2"/>
    </row>
    <row r="56" spans="1:16" x14ac:dyDescent="0.2">
      <c r="A56" s="28" t="s">
        <v>227</v>
      </c>
      <c r="B56" s="29" t="s">
        <v>228</v>
      </c>
      <c r="C56" s="30"/>
      <c r="D56" s="81"/>
      <c r="E56" s="30">
        <f>C56+D56</f>
        <v>0</v>
      </c>
      <c r="F56" s="27"/>
      <c r="G56" s="27"/>
      <c r="H56" s="27"/>
      <c r="I56" s="27"/>
      <c r="J56" s="187"/>
      <c r="K56" s="187"/>
      <c r="L56" s="27">
        <v>0</v>
      </c>
      <c r="M56" s="27">
        <v>58.01</v>
      </c>
      <c r="N56" s="27">
        <f>L56+M56</f>
        <v>58.01</v>
      </c>
      <c r="O56" s="2"/>
    </row>
    <row r="57" spans="1:16" x14ac:dyDescent="0.2">
      <c r="A57" s="28" t="s">
        <v>229</v>
      </c>
      <c r="B57" s="29" t="s">
        <v>230</v>
      </c>
      <c r="C57" s="30"/>
      <c r="D57" s="81"/>
      <c r="E57" s="30">
        <f>C57+D57</f>
        <v>0</v>
      </c>
      <c r="F57" s="27"/>
      <c r="G57" s="27"/>
      <c r="H57" s="27"/>
      <c r="I57" s="27"/>
      <c r="J57" s="187"/>
      <c r="K57" s="187"/>
      <c r="L57" s="27">
        <v>0</v>
      </c>
      <c r="M57" s="27">
        <v>124.3</v>
      </c>
      <c r="N57" s="27">
        <f>L57+M57</f>
        <v>124.3</v>
      </c>
      <c r="O57" s="2"/>
    </row>
    <row r="58" spans="1:16" x14ac:dyDescent="0.2">
      <c r="A58" s="28"/>
      <c r="B58" s="29"/>
      <c r="C58" s="30"/>
      <c r="D58" s="81"/>
      <c r="E58" s="81"/>
      <c r="F58" s="27"/>
      <c r="G58" s="27"/>
      <c r="H58" s="27"/>
      <c r="I58" s="27"/>
      <c r="J58" s="187"/>
      <c r="K58" s="187"/>
      <c r="L58" s="187"/>
      <c r="M58" s="27"/>
      <c r="N58" s="27"/>
      <c r="O58" s="2"/>
      <c r="P58" s="2">
        <f>M59+M55+M44+M22+M10+M39</f>
        <v>3811668.2399999998</v>
      </c>
    </row>
    <row r="59" spans="1:16" x14ac:dyDescent="0.2">
      <c r="A59" s="192">
        <v>157</v>
      </c>
      <c r="B59" s="193" t="s">
        <v>231</v>
      </c>
      <c r="C59" s="183">
        <f>C61</f>
        <v>8984.99</v>
      </c>
      <c r="D59" s="184"/>
      <c r="E59" s="183">
        <f>E61</f>
        <v>8984.99</v>
      </c>
      <c r="F59" s="198"/>
      <c r="G59" s="198"/>
      <c r="H59" s="198"/>
      <c r="I59" s="198"/>
      <c r="J59" s="185"/>
      <c r="K59" s="185"/>
      <c r="L59" s="183">
        <f>L61</f>
        <v>0</v>
      </c>
      <c r="M59" s="183">
        <f>ROUND(SUM(M60:M61),2)</f>
        <v>124054.17</v>
      </c>
      <c r="N59" s="183">
        <f>L59+M59</f>
        <v>124054.17</v>
      </c>
      <c r="O59" s="2"/>
      <c r="P59" s="2"/>
    </row>
    <row r="60" spans="1:16" x14ac:dyDescent="0.2">
      <c r="A60" s="28">
        <v>15703</v>
      </c>
      <c r="B60" s="29" t="s">
        <v>386</v>
      </c>
      <c r="C60" s="30">
        <v>8983.99</v>
      </c>
      <c r="D60" s="81"/>
      <c r="E60" s="30">
        <f>C60+D60</f>
        <v>8983.99</v>
      </c>
      <c r="F60" s="27"/>
      <c r="G60" s="27"/>
      <c r="H60" s="27"/>
      <c r="I60" s="27"/>
      <c r="J60" s="187"/>
      <c r="K60" s="187"/>
      <c r="L60" s="30">
        <v>0</v>
      </c>
      <c r="M60" s="30">
        <v>7421.73</v>
      </c>
      <c r="N60" s="27">
        <f>L60+M60</f>
        <v>7421.73</v>
      </c>
      <c r="O60" s="2"/>
    </row>
    <row r="61" spans="1:16" x14ac:dyDescent="0.2">
      <c r="A61" s="28" t="s">
        <v>108</v>
      </c>
      <c r="B61" s="29" t="s">
        <v>109</v>
      </c>
      <c r="C61" s="30">
        <v>8984.99</v>
      </c>
      <c r="D61" s="81"/>
      <c r="E61" s="30">
        <f>C61+D61</f>
        <v>8984.99</v>
      </c>
      <c r="F61" s="27"/>
      <c r="G61" s="27"/>
      <c r="H61" s="27"/>
      <c r="I61" s="27"/>
      <c r="J61" s="187"/>
      <c r="K61" s="187"/>
      <c r="L61" s="30">
        <v>0</v>
      </c>
      <c r="M61" s="30">
        <v>116632.44</v>
      </c>
      <c r="N61" s="27">
        <f>L61+M61</f>
        <v>116632.44</v>
      </c>
      <c r="O61" s="2"/>
    </row>
    <row r="62" spans="1:16" x14ac:dyDescent="0.2">
      <c r="A62" s="28"/>
      <c r="B62" s="29"/>
      <c r="C62" s="30"/>
      <c r="D62" s="81"/>
      <c r="E62" s="81"/>
      <c r="F62" s="27"/>
      <c r="G62" s="27"/>
      <c r="H62" s="27"/>
      <c r="I62" s="27"/>
      <c r="J62" s="187"/>
      <c r="K62" s="187"/>
      <c r="L62" s="187"/>
      <c r="M62" s="27"/>
      <c r="N62" s="27"/>
    </row>
    <row r="63" spans="1:16" x14ac:dyDescent="0.2">
      <c r="A63" s="28">
        <v>3</v>
      </c>
      <c r="B63" s="29" t="s">
        <v>232</v>
      </c>
      <c r="C63" s="30"/>
      <c r="D63" s="81"/>
      <c r="E63" s="81"/>
      <c r="F63" s="27"/>
      <c r="G63" s="27"/>
      <c r="H63" s="27"/>
      <c r="I63" s="27"/>
      <c r="J63" s="187"/>
      <c r="K63" s="187"/>
      <c r="L63" s="200"/>
      <c r="M63" s="27"/>
      <c r="N63" s="27"/>
    </row>
    <row r="64" spans="1:16" x14ac:dyDescent="0.2">
      <c r="A64" s="188">
        <v>32</v>
      </c>
      <c r="B64" s="189" t="s">
        <v>110</v>
      </c>
      <c r="C64" s="190"/>
      <c r="D64" s="178"/>
      <c r="E64" s="190">
        <f>C64+D64</f>
        <v>0</v>
      </c>
      <c r="F64" s="197"/>
      <c r="G64" s="197"/>
      <c r="H64" s="197"/>
      <c r="I64" s="197"/>
      <c r="J64" s="179"/>
      <c r="K64" s="179"/>
      <c r="L64" s="201">
        <f>+L69+L65</f>
        <v>417799.7</v>
      </c>
      <c r="M64" s="180">
        <f>M65+M69</f>
        <v>6061244.2200000007</v>
      </c>
      <c r="N64" s="180">
        <f>L64+M64</f>
        <v>6479043.9200000009</v>
      </c>
    </row>
    <row r="65" spans="1:22" x14ac:dyDescent="0.2">
      <c r="A65" s="192">
        <v>321</v>
      </c>
      <c r="B65" s="193" t="s">
        <v>233</v>
      </c>
      <c r="C65" s="199"/>
      <c r="D65" s="184"/>
      <c r="E65" s="199">
        <f>C65+D65</f>
        <v>0</v>
      </c>
      <c r="F65" s="198"/>
      <c r="G65" s="198"/>
      <c r="H65" s="198"/>
      <c r="I65" s="198"/>
      <c r="J65" s="185"/>
      <c r="K65" s="185"/>
      <c r="L65" s="202">
        <f>SUM(L66:L67)</f>
        <v>417799.7</v>
      </c>
      <c r="M65" s="183">
        <f>ROUND(SUM(M66:M67),2)</f>
        <v>3061244.22</v>
      </c>
      <c r="N65" s="183">
        <f>L65+M65</f>
        <v>3479043.9200000004</v>
      </c>
    </row>
    <row r="66" spans="1:22" x14ac:dyDescent="0.2">
      <c r="A66" s="28">
        <v>32101</v>
      </c>
      <c r="B66" s="29" t="s">
        <v>234</v>
      </c>
      <c r="C66" s="30"/>
      <c r="D66" s="81"/>
      <c r="E66" s="30">
        <f>C66+D66</f>
        <v>0</v>
      </c>
      <c r="F66" s="27"/>
      <c r="G66" s="27"/>
      <c r="H66" s="27"/>
      <c r="I66" s="27"/>
      <c r="J66" s="187"/>
      <c r="K66" s="187"/>
      <c r="L66" s="200"/>
      <c r="M66" s="27">
        <v>15600</v>
      </c>
      <c r="N66" s="27">
        <f>L66+M66</f>
        <v>15600</v>
      </c>
    </row>
    <row r="67" spans="1:22" x14ac:dyDescent="0.2">
      <c r="A67" s="28">
        <v>32102</v>
      </c>
      <c r="B67" s="29" t="s">
        <v>235</v>
      </c>
      <c r="C67" s="30"/>
      <c r="D67" s="81"/>
      <c r="E67" s="30">
        <f>C67+D67</f>
        <v>0</v>
      </c>
      <c r="F67" s="27"/>
      <c r="G67" s="27"/>
      <c r="H67" s="27"/>
      <c r="I67" s="27"/>
      <c r="J67" s="187"/>
      <c r="K67" s="187"/>
      <c r="L67" s="200">
        <f>L181+M181+N181+P181+O181</f>
        <v>417799.7</v>
      </c>
      <c r="M67" s="27">
        <f>Q181+R181+T181+U181+S181</f>
        <v>3045644.22</v>
      </c>
      <c r="N67" s="203">
        <f>L67+M67</f>
        <v>3463443.9200000004</v>
      </c>
    </row>
    <row r="68" spans="1:22" x14ac:dyDescent="0.2">
      <c r="A68" s="28"/>
      <c r="B68" s="29"/>
      <c r="C68" s="30"/>
      <c r="D68" s="81"/>
      <c r="E68" s="81"/>
      <c r="F68" s="27"/>
      <c r="G68" s="27"/>
      <c r="H68" s="27"/>
      <c r="I68" s="27"/>
      <c r="J68" s="187"/>
      <c r="K68" s="187"/>
      <c r="L68" s="200"/>
      <c r="M68" s="27" t="s">
        <v>253</v>
      </c>
      <c r="N68" s="27"/>
    </row>
    <row r="69" spans="1:22" x14ac:dyDescent="0.2">
      <c r="A69" s="192">
        <v>322</v>
      </c>
      <c r="B69" s="193" t="s">
        <v>358</v>
      </c>
      <c r="C69" s="183">
        <f>C70</f>
        <v>512507</v>
      </c>
      <c r="D69" s="184"/>
      <c r="E69" s="183">
        <f>C69</f>
        <v>512507</v>
      </c>
      <c r="F69" s="198"/>
      <c r="G69" s="198"/>
      <c r="H69" s="198"/>
      <c r="I69" s="198"/>
      <c r="J69" s="185"/>
      <c r="K69" s="185"/>
      <c r="L69" s="202">
        <f>L70</f>
        <v>0</v>
      </c>
      <c r="M69" s="183">
        <f>M70</f>
        <v>3000000</v>
      </c>
      <c r="N69" s="183">
        <f>L69+M69</f>
        <v>3000000</v>
      </c>
    </row>
    <row r="70" spans="1:22" x14ac:dyDescent="0.2">
      <c r="A70" s="28">
        <v>32201</v>
      </c>
      <c r="B70" s="29" t="s">
        <v>358</v>
      </c>
      <c r="C70" s="30">
        <v>512507</v>
      </c>
      <c r="D70" s="81"/>
      <c r="E70" s="30">
        <f>C70+D70</f>
        <v>512507</v>
      </c>
      <c r="F70" s="27"/>
      <c r="G70" s="27"/>
      <c r="H70" s="27"/>
      <c r="I70" s="27"/>
      <c r="J70" s="27"/>
      <c r="K70" s="27"/>
      <c r="L70" s="30">
        <f>L185</f>
        <v>0</v>
      </c>
      <c r="M70" s="30">
        <v>3000000</v>
      </c>
      <c r="N70" s="27">
        <f>L70+M70</f>
        <v>3000000</v>
      </c>
    </row>
    <row r="71" spans="1:22" x14ac:dyDescent="0.2">
      <c r="A71" s="204"/>
      <c r="B71" s="205"/>
      <c r="C71" s="30"/>
      <c r="D71" s="81"/>
      <c r="E71" s="81"/>
      <c r="F71" s="27"/>
      <c r="G71" s="27"/>
      <c r="H71" s="27"/>
      <c r="I71" s="27"/>
      <c r="J71" s="187"/>
      <c r="K71" s="187"/>
      <c r="L71" s="187"/>
      <c r="M71" s="27"/>
      <c r="N71" s="27"/>
    </row>
    <row r="72" spans="1:22" x14ac:dyDescent="0.2">
      <c r="A72" s="204"/>
      <c r="B72" s="206" t="s">
        <v>236</v>
      </c>
      <c r="C72" s="41">
        <f>C10+C22+C39+C44+C59+C69</f>
        <v>2502084.4600000004</v>
      </c>
      <c r="D72" s="81"/>
      <c r="E72" s="41">
        <f>E10+E22+E39+E44+E59+E69</f>
        <v>2502084.4600000004</v>
      </c>
      <c r="F72" s="207"/>
      <c r="G72" s="207"/>
      <c r="H72" s="207"/>
      <c r="I72" s="207"/>
      <c r="J72" s="207"/>
      <c r="K72" s="207"/>
      <c r="L72" s="187"/>
      <c r="M72" s="41"/>
      <c r="N72" s="27"/>
    </row>
    <row r="73" spans="1:22" x14ac:dyDescent="0.2">
      <c r="A73" s="204"/>
      <c r="B73" s="206" t="s">
        <v>237</v>
      </c>
      <c r="C73" s="81"/>
      <c r="D73" s="81"/>
      <c r="E73" s="81"/>
      <c r="F73" s="187"/>
      <c r="G73" s="187"/>
      <c r="H73" s="187"/>
      <c r="I73" s="27"/>
      <c r="J73" s="187"/>
      <c r="K73" s="187"/>
      <c r="L73" s="187"/>
      <c r="M73" s="187"/>
      <c r="N73" s="27"/>
    </row>
    <row r="74" spans="1:22" x14ac:dyDescent="0.2">
      <c r="A74" s="188">
        <v>16</v>
      </c>
      <c r="B74" s="208" t="s">
        <v>113</v>
      </c>
      <c r="C74" s="178"/>
      <c r="D74" s="178"/>
      <c r="E74" s="178"/>
      <c r="F74" s="191"/>
      <c r="G74" s="191"/>
      <c r="H74" s="191"/>
      <c r="I74" s="180"/>
      <c r="J74" s="191"/>
      <c r="K74" s="191"/>
      <c r="L74" s="180">
        <f>L75+L77</f>
        <v>787874.85</v>
      </c>
      <c r="M74" s="180">
        <f>+M75+M77</f>
        <v>0</v>
      </c>
      <c r="N74" s="180">
        <f>L74+M74</f>
        <v>787874.85</v>
      </c>
    </row>
    <row r="75" spans="1:22" x14ac:dyDescent="0.2">
      <c r="A75" s="192">
        <v>162</v>
      </c>
      <c r="B75" s="209" t="s">
        <v>238</v>
      </c>
      <c r="C75" s="184"/>
      <c r="D75" s="184"/>
      <c r="E75" s="184"/>
      <c r="F75" s="194"/>
      <c r="G75" s="194"/>
      <c r="H75" s="194"/>
      <c r="I75" s="183"/>
      <c r="J75" s="194"/>
      <c r="K75" s="194"/>
      <c r="L75" s="183">
        <f>+L76</f>
        <v>0</v>
      </c>
      <c r="M75" s="183">
        <f>+M76</f>
        <v>0</v>
      </c>
      <c r="N75" s="183">
        <f>L75+M75</f>
        <v>0</v>
      </c>
    </row>
    <row r="76" spans="1:22" x14ac:dyDescent="0.2">
      <c r="A76" s="204">
        <v>16201</v>
      </c>
      <c r="B76" s="210" t="s">
        <v>239</v>
      </c>
      <c r="C76" s="30"/>
      <c r="D76" s="41">
        <v>440857.8</v>
      </c>
      <c r="E76" s="41">
        <f>C76+D76</f>
        <v>440857.8</v>
      </c>
      <c r="F76" s="27"/>
      <c r="G76" s="27"/>
      <c r="H76" s="27"/>
      <c r="I76" s="27"/>
      <c r="J76" s="187"/>
      <c r="K76" s="187"/>
      <c r="L76" s="30">
        <v>0</v>
      </c>
      <c r="M76" s="27">
        <v>0</v>
      </c>
      <c r="N76" s="27">
        <f>L76+M76</f>
        <v>0</v>
      </c>
      <c r="O76" s="1">
        <v>657989.35</v>
      </c>
      <c r="P76" s="2"/>
      <c r="Q76" s="2"/>
      <c r="R76" s="2"/>
      <c r="S76" s="2"/>
      <c r="T76" s="1" t="s">
        <v>363</v>
      </c>
    </row>
    <row r="77" spans="1:22" x14ac:dyDescent="0.2">
      <c r="A77" s="192">
        <v>163</v>
      </c>
      <c r="B77" s="209" t="s">
        <v>240</v>
      </c>
      <c r="C77" s="199"/>
      <c r="D77" s="184"/>
      <c r="E77" s="184"/>
      <c r="F77" s="198"/>
      <c r="G77" s="198"/>
      <c r="H77" s="198"/>
      <c r="I77" s="198"/>
      <c r="J77" s="185"/>
      <c r="K77" s="185"/>
      <c r="L77" s="199">
        <f>L78</f>
        <v>787874.85</v>
      </c>
      <c r="M77" s="199">
        <f>M78</f>
        <v>0</v>
      </c>
      <c r="N77" s="199">
        <f>L77+M77</f>
        <v>787874.85</v>
      </c>
      <c r="T77" s="1" t="s">
        <v>361</v>
      </c>
    </row>
    <row r="78" spans="1:22" ht="15.75" x14ac:dyDescent="0.25">
      <c r="A78" s="204">
        <v>16307</v>
      </c>
      <c r="B78" s="211" t="s">
        <v>663</v>
      </c>
      <c r="C78" s="81"/>
      <c r="D78" s="81"/>
      <c r="E78" s="81"/>
      <c r="F78" s="187"/>
      <c r="G78" s="187"/>
      <c r="H78" s="187"/>
      <c r="I78" s="27"/>
      <c r="J78" s="187"/>
      <c r="K78" s="187"/>
      <c r="L78" s="27">
        <f>O184</f>
        <v>787874.85</v>
      </c>
      <c r="M78" s="27">
        <v>0</v>
      </c>
      <c r="N78" s="27">
        <f>L78+M78</f>
        <v>787874.85</v>
      </c>
      <c r="P78" s="1">
        <v>25</v>
      </c>
      <c r="T78" s="2">
        <f>L76/12</f>
        <v>0</v>
      </c>
      <c r="U78" s="2"/>
      <c r="V78" s="2"/>
    </row>
    <row r="79" spans="1:22" ht="15.75" x14ac:dyDescent="0.25">
      <c r="A79" s="28"/>
      <c r="B79" s="211"/>
      <c r="C79" s="81"/>
      <c r="D79" s="81"/>
      <c r="E79" s="81"/>
      <c r="F79" s="187"/>
      <c r="G79" s="187"/>
      <c r="H79" s="187"/>
      <c r="I79" s="27"/>
      <c r="J79" s="187"/>
      <c r="K79" s="187"/>
      <c r="L79" s="81"/>
      <c r="M79" s="187"/>
      <c r="N79" s="27"/>
      <c r="P79" s="1">
        <v>75</v>
      </c>
      <c r="T79" s="2">
        <f>L82/12</f>
        <v>0</v>
      </c>
      <c r="U79" s="2"/>
      <c r="V79" s="2"/>
    </row>
    <row r="80" spans="1:22" ht="15.75" x14ac:dyDescent="0.25">
      <c r="A80" s="188">
        <v>22</v>
      </c>
      <c r="B80" s="212" t="s">
        <v>241</v>
      </c>
      <c r="C80" s="178"/>
      <c r="D80" s="178"/>
      <c r="E80" s="178"/>
      <c r="F80" s="191"/>
      <c r="G80" s="191"/>
      <c r="H80" s="191"/>
      <c r="I80" s="180"/>
      <c r="J80" s="191"/>
      <c r="K80" s="191"/>
      <c r="L80" s="213">
        <f>L81+L85</f>
        <v>711273.48</v>
      </c>
      <c r="M80" s="213">
        <f>M81+M85</f>
        <v>0</v>
      </c>
      <c r="N80" s="213">
        <f>L80+M80</f>
        <v>711273.48</v>
      </c>
      <c r="T80" s="2">
        <f>T78+T79</f>
        <v>0</v>
      </c>
      <c r="U80" s="2"/>
      <c r="V80" s="2"/>
    </row>
    <row r="81" spans="1:25" ht="16.5" x14ac:dyDescent="0.3">
      <c r="A81" s="192">
        <v>222</v>
      </c>
      <c r="B81" s="214" t="s">
        <v>242</v>
      </c>
      <c r="C81" s="184"/>
      <c r="D81" s="184"/>
      <c r="E81" s="184"/>
      <c r="F81" s="194"/>
      <c r="G81" s="194"/>
      <c r="H81" s="194"/>
      <c r="I81" s="183"/>
      <c r="J81" s="194"/>
      <c r="K81" s="194"/>
      <c r="L81" s="183">
        <f>SUM(L82:L83)</f>
        <v>711273.48</v>
      </c>
      <c r="M81" s="183">
        <f>+M82</f>
        <v>0</v>
      </c>
      <c r="N81" s="183">
        <f>L81+M81</f>
        <v>711273.48</v>
      </c>
    </row>
    <row r="82" spans="1:25" x14ac:dyDescent="0.2">
      <c r="A82" s="28">
        <v>22201</v>
      </c>
      <c r="B82" s="215" t="s">
        <v>601</v>
      </c>
      <c r="C82" s="30"/>
      <c r="D82" s="41">
        <v>1322568</v>
      </c>
      <c r="E82" s="41">
        <f>C82+D82</f>
        <v>1322568</v>
      </c>
      <c r="F82" s="27"/>
      <c r="G82" s="27"/>
      <c r="H82" s="27"/>
      <c r="I82" s="27"/>
      <c r="J82" s="187"/>
      <c r="K82" s="187"/>
      <c r="L82" s="30">
        <f>L184</f>
        <v>0</v>
      </c>
      <c r="M82" s="27">
        <v>0</v>
      </c>
      <c r="N82" s="27">
        <f>L82+M82</f>
        <v>0</v>
      </c>
      <c r="O82" s="1">
        <v>1973968.04</v>
      </c>
      <c r="P82" s="2"/>
      <c r="Q82" s="2"/>
      <c r="R82" s="2"/>
      <c r="S82" s="2"/>
    </row>
    <row r="83" spans="1:25" x14ac:dyDescent="0.2">
      <c r="A83" s="28">
        <v>22207</v>
      </c>
      <c r="B83" s="215" t="s">
        <v>618</v>
      </c>
      <c r="C83" s="30"/>
      <c r="D83" s="41"/>
      <c r="E83" s="41"/>
      <c r="F83" s="27"/>
      <c r="G83" s="27"/>
      <c r="H83" s="27"/>
      <c r="I83" s="27"/>
      <c r="J83" s="187"/>
      <c r="K83" s="187"/>
      <c r="L83" s="30">
        <f>L188</f>
        <v>711273.48</v>
      </c>
      <c r="M83" s="27">
        <v>0</v>
      </c>
      <c r="N83" s="27">
        <f>L83+M83</f>
        <v>711273.48</v>
      </c>
      <c r="P83" s="2"/>
      <c r="Q83" s="2"/>
      <c r="R83" s="2"/>
      <c r="S83" s="2"/>
    </row>
    <row r="84" spans="1:25" x14ac:dyDescent="0.2">
      <c r="A84" s="28"/>
      <c r="B84" s="215"/>
      <c r="C84" s="30"/>
      <c r="D84" s="81"/>
      <c r="E84" s="81"/>
      <c r="F84" s="27"/>
      <c r="G84" s="27"/>
      <c r="H84" s="27"/>
      <c r="I84" s="27"/>
      <c r="J84" s="187"/>
      <c r="K84" s="187"/>
      <c r="L84" s="187"/>
      <c r="M84" s="27"/>
      <c r="N84" s="27"/>
    </row>
    <row r="85" spans="1:25" ht="16.5" x14ac:dyDescent="0.3">
      <c r="A85" s="192">
        <v>223</v>
      </c>
      <c r="B85" s="214" t="s">
        <v>243</v>
      </c>
      <c r="C85" s="199"/>
      <c r="D85" s="184"/>
      <c r="E85" s="184"/>
      <c r="F85" s="198"/>
      <c r="G85" s="198"/>
      <c r="H85" s="198"/>
      <c r="I85" s="198"/>
      <c r="J85" s="185"/>
      <c r="K85" s="185"/>
      <c r="L85" s="183">
        <f>L86</f>
        <v>0</v>
      </c>
      <c r="M85" s="183">
        <f>M86</f>
        <v>0</v>
      </c>
      <c r="N85" s="183">
        <f>L85+M85</f>
        <v>0</v>
      </c>
    </row>
    <row r="86" spans="1:25" ht="15.75" x14ac:dyDescent="0.25">
      <c r="A86" s="28">
        <v>22302</v>
      </c>
      <c r="B86" s="211" t="s">
        <v>116</v>
      </c>
      <c r="C86" s="81"/>
      <c r="D86" s="81"/>
      <c r="E86" s="81"/>
      <c r="F86" s="187"/>
      <c r="G86" s="187"/>
      <c r="H86" s="187"/>
      <c r="I86" s="27"/>
      <c r="J86" s="187"/>
      <c r="K86" s="187"/>
      <c r="L86" s="27">
        <v>0</v>
      </c>
      <c r="M86" s="27">
        <v>0</v>
      </c>
      <c r="N86" s="27">
        <f>L86+M86</f>
        <v>0</v>
      </c>
    </row>
    <row r="87" spans="1:25" ht="15.75" x14ac:dyDescent="0.25">
      <c r="A87" s="28"/>
      <c r="B87" s="211"/>
      <c r="C87" s="81"/>
      <c r="D87" s="81"/>
      <c r="E87" s="81"/>
      <c r="F87" s="187"/>
      <c r="G87" s="187"/>
      <c r="H87" s="187"/>
      <c r="I87" s="27"/>
      <c r="J87" s="187"/>
      <c r="K87" s="187"/>
      <c r="L87" s="187"/>
      <c r="M87" s="187"/>
      <c r="N87" s="27"/>
    </row>
    <row r="88" spans="1:25" ht="15.75" x14ac:dyDescent="0.25">
      <c r="A88" s="28">
        <v>3</v>
      </c>
      <c r="B88" s="216" t="s">
        <v>232</v>
      </c>
      <c r="C88" s="81"/>
      <c r="D88" s="81"/>
      <c r="E88" s="81"/>
      <c r="F88" s="187"/>
      <c r="G88" s="187"/>
      <c r="H88" s="187"/>
      <c r="I88" s="27"/>
      <c r="J88" s="187"/>
      <c r="K88" s="187"/>
      <c r="L88" s="27"/>
      <c r="M88" s="27"/>
      <c r="N88" s="27"/>
    </row>
    <row r="89" spans="1:25" ht="15.75" x14ac:dyDescent="0.25">
      <c r="A89" s="188">
        <v>31</v>
      </c>
      <c r="B89" s="212" t="s">
        <v>244</v>
      </c>
      <c r="C89" s="178"/>
      <c r="D89" s="178"/>
      <c r="E89" s="178"/>
      <c r="F89" s="179"/>
      <c r="G89" s="179"/>
      <c r="H89" s="179"/>
      <c r="I89" s="197"/>
      <c r="J89" s="179"/>
      <c r="K89" s="179"/>
      <c r="L89" s="197">
        <f>L90</f>
        <v>0</v>
      </c>
      <c r="M89" s="197">
        <f>M90</f>
        <v>0</v>
      </c>
      <c r="N89" s="197">
        <f>L89+M89</f>
        <v>0</v>
      </c>
    </row>
    <row r="90" spans="1:25" ht="15.75" x14ac:dyDescent="0.25">
      <c r="A90" s="192">
        <v>313</v>
      </c>
      <c r="B90" s="217" t="s">
        <v>245</v>
      </c>
      <c r="C90" s="184"/>
      <c r="D90" s="184"/>
      <c r="E90" s="184"/>
      <c r="F90" s="185"/>
      <c r="G90" s="185"/>
      <c r="H90" s="185"/>
      <c r="I90" s="198"/>
      <c r="J90" s="185"/>
      <c r="K90" s="185"/>
      <c r="L90" s="198">
        <f>L91</f>
        <v>0</v>
      </c>
      <c r="M90" s="198">
        <f>M91</f>
        <v>0</v>
      </c>
      <c r="N90" s="198">
        <f>L90+M90</f>
        <v>0</v>
      </c>
    </row>
    <row r="91" spans="1:25" ht="13.5" thickBot="1" x14ac:dyDescent="0.25">
      <c r="A91" s="218">
        <v>31308</v>
      </c>
      <c r="B91" s="219" t="s">
        <v>246</v>
      </c>
      <c r="C91" s="220"/>
      <c r="D91" s="220"/>
      <c r="E91" s="220"/>
      <c r="F91" s="221"/>
      <c r="G91" s="221"/>
      <c r="H91" s="221"/>
      <c r="I91" s="222"/>
      <c r="J91" s="221"/>
      <c r="K91" s="221"/>
      <c r="L91" s="222">
        <v>0</v>
      </c>
      <c r="M91" s="222">
        <v>0</v>
      </c>
      <c r="N91" s="222">
        <f>L91+M91</f>
        <v>0</v>
      </c>
    </row>
    <row r="92" spans="1:25" x14ac:dyDescent="0.2">
      <c r="A92" s="39"/>
      <c r="B92" s="223" t="s">
        <v>247</v>
      </c>
      <c r="C92" s="224"/>
      <c r="D92" s="175"/>
      <c r="E92" s="175"/>
      <c r="F92" s="225"/>
      <c r="G92" s="225"/>
      <c r="H92" s="225"/>
      <c r="I92" s="225"/>
      <c r="J92" s="226"/>
      <c r="K92" s="226"/>
      <c r="L92" s="227">
        <f>L74+L80+L64+L89</f>
        <v>1916948.03</v>
      </c>
      <c r="M92" s="227">
        <f>M10+M22+M39+M44+M59+M69+M65+M55+M75+M77+M81+M85+M90</f>
        <v>9872912.4600000009</v>
      </c>
      <c r="N92" s="227">
        <f>M92+L92</f>
        <v>11789860.49</v>
      </c>
    </row>
    <row r="94" spans="1:25" x14ac:dyDescent="0.2">
      <c r="L94" s="1" t="s">
        <v>596</v>
      </c>
      <c r="M94" s="1" t="s">
        <v>597</v>
      </c>
      <c r="N94" s="1" t="s">
        <v>600</v>
      </c>
      <c r="O94" s="1" t="s">
        <v>663</v>
      </c>
      <c r="P94" s="1" t="s">
        <v>614</v>
      </c>
      <c r="Q94" s="1" t="s">
        <v>598</v>
      </c>
      <c r="R94" s="1" t="s">
        <v>625</v>
      </c>
      <c r="S94" s="1" t="s">
        <v>798</v>
      </c>
      <c r="T94" s="1" t="s">
        <v>624</v>
      </c>
      <c r="U94" s="1" t="s">
        <v>533</v>
      </c>
    </row>
    <row r="95" spans="1:25" x14ac:dyDescent="0.2">
      <c r="L95" s="4">
        <v>151.97</v>
      </c>
      <c r="M95" s="228"/>
      <c r="N95" s="4">
        <v>3298.6</v>
      </c>
      <c r="O95" s="4">
        <v>248.5</v>
      </c>
      <c r="P95" s="3">
        <v>2079.0300000000002</v>
      </c>
      <c r="Q95" s="4">
        <v>150107.68</v>
      </c>
      <c r="R95" s="3">
        <v>7558.59</v>
      </c>
      <c r="S95" s="3">
        <v>58790.1</v>
      </c>
      <c r="T95" s="229">
        <v>65.62</v>
      </c>
      <c r="U95" s="3"/>
      <c r="V95" s="230"/>
      <c r="W95" s="231"/>
      <c r="X95" s="232"/>
      <c r="Y95" s="233"/>
    </row>
    <row r="96" spans="1:25" x14ac:dyDescent="0.2">
      <c r="L96" s="4">
        <v>232.87</v>
      </c>
      <c r="M96" s="3"/>
      <c r="N96" s="4">
        <v>427.08</v>
      </c>
      <c r="O96" s="4">
        <v>69331.16</v>
      </c>
      <c r="P96" s="3">
        <v>2825.93</v>
      </c>
      <c r="Q96" s="4">
        <v>245.2</v>
      </c>
      <c r="R96" s="3">
        <v>794.29</v>
      </c>
      <c r="S96" s="3"/>
      <c r="T96" s="4">
        <v>2581476.7599999998</v>
      </c>
      <c r="U96" s="3"/>
      <c r="V96" s="230"/>
      <c r="W96" s="231"/>
      <c r="X96" s="232"/>
    </row>
    <row r="97" spans="12:24" x14ac:dyDescent="0.2">
      <c r="L97" s="4">
        <v>547.74</v>
      </c>
      <c r="M97" s="3"/>
      <c r="N97" s="4">
        <v>718.51</v>
      </c>
      <c r="O97" s="4">
        <v>1751.98</v>
      </c>
      <c r="P97" s="3">
        <v>6.73</v>
      </c>
      <c r="Q97" s="4">
        <v>245.2</v>
      </c>
      <c r="R97" s="234">
        <v>379.29</v>
      </c>
      <c r="S97" s="3"/>
      <c r="T97" s="4"/>
      <c r="U97" s="3"/>
      <c r="V97" s="230"/>
      <c r="W97" s="231"/>
      <c r="X97" s="232"/>
    </row>
    <row r="98" spans="12:24" x14ac:dyDescent="0.2">
      <c r="L98" s="4">
        <v>23.19</v>
      </c>
      <c r="M98" s="3"/>
      <c r="N98" s="229">
        <v>8763.15</v>
      </c>
      <c r="O98" s="4">
        <v>77068.05</v>
      </c>
      <c r="P98" s="3">
        <v>188.09</v>
      </c>
      <c r="Q98" s="4">
        <v>90.86</v>
      </c>
      <c r="R98" s="3">
        <v>1618.81</v>
      </c>
      <c r="S98" s="3"/>
      <c r="T98" s="4"/>
      <c r="U98" s="3"/>
      <c r="V98" s="230"/>
      <c r="W98" s="235"/>
      <c r="X98" s="232"/>
    </row>
    <row r="99" spans="12:24" x14ac:dyDescent="0.2">
      <c r="L99" s="4">
        <v>2884.05</v>
      </c>
      <c r="M99" s="3"/>
      <c r="N99" s="4"/>
      <c r="O99" s="4">
        <v>34758.480000000003</v>
      </c>
      <c r="P99" s="3">
        <v>27741.07</v>
      </c>
      <c r="Q99" s="4">
        <v>43.32</v>
      </c>
      <c r="R99" s="3"/>
      <c r="S99" s="3"/>
      <c r="T99" s="4"/>
      <c r="U99" s="3"/>
      <c r="V99" s="230"/>
      <c r="W99" s="235"/>
      <c r="X99" s="232"/>
    </row>
    <row r="100" spans="12:24" x14ac:dyDescent="0.2">
      <c r="L100" s="4">
        <v>198.59</v>
      </c>
      <c r="M100" s="3"/>
      <c r="N100" s="4"/>
      <c r="O100" s="4">
        <v>26571.29</v>
      </c>
      <c r="P100" s="3">
        <v>4842.2</v>
      </c>
      <c r="Q100" s="4">
        <v>38.96</v>
      </c>
      <c r="R100" s="3"/>
      <c r="S100" s="3"/>
      <c r="T100" s="4"/>
      <c r="U100" s="3"/>
      <c r="V100" s="230"/>
      <c r="W100" s="235"/>
      <c r="X100" s="232"/>
    </row>
    <row r="101" spans="12:24" x14ac:dyDescent="0.2">
      <c r="L101" s="4">
        <v>140.80000000000001</v>
      </c>
      <c r="M101" s="3"/>
      <c r="N101" s="4"/>
      <c r="O101" s="4">
        <v>16003.39</v>
      </c>
      <c r="P101" s="3">
        <v>950.64</v>
      </c>
      <c r="Q101" s="4">
        <v>559.62</v>
      </c>
      <c r="R101" s="3"/>
      <c r="S101" s="3"/>
      <c r="T101" s="4"/>
      <c r="U101" s="3"/>
      <c r="V101" s="230"/>
      <c r="W101" s="235"/>
      <c r="X101" s="232"/>
    </row>
    <row r="102" spans="12:24" x14ac:dyDescent="0.2">
      <c r="L102" s="4">
        <v>188.61</v>
      </c>
      <c r="M102" s="3"/>
      <c r="N102" s="4"/>
      <c r="O102" s="4">
        <v>378.39</v>
      </c>
      <c r="P102" s="3">
        <v>248.59</v>
      </c>
      <c r="Q102" s="4">
        <v>186.44</v>
      </c>
      <c r="R102" s="3"/>
      <c r="S102" s="3"/>
      <c r="T102" s="4"/>
      <c r="U102" s="3"/>
      <c r="V102" s="230"/>
      <c r="W102" s="235"/>
      <c r="X102" s="232"/>
    </row>
    <row r="103" spans="12:24" x14ac:dyDescent="0.2">
      <c r="L103" s="4">
        <v>2613.4299999999998</v>
      </c>
      <c r="M103" s="3"/>
      <c r="N103" s="4"/>
      <c r="O103" s="4">
        <v>230.04</v>
      </c>
      <c r="P103" s="3">
        <v>383.32</v>
      </c>
      <c r="Q103" s="229">
        <v>330.15</v>
      </c>
      <c r="R103" s="3"/>
      <c r="S103" s="3"/>
      <c r="T103" s="4"/>
      <c r="U103" s="3"/>
      <c r="V103" s="230"/>
      <c r="W103" s="235"/>
      <c r="X103" s="232"/>
    </row>
    <row r="104" spans="12:24" x14ac:dyDescent="0.2">
      <c r="L104" s="4">
        <v>365.47</v>
      </c>
      <c r="M104" s="3"/>
      <c r="N104" s="4"/>
      <c r="O104" s="4">
        <v>8573.59</v>
      </c>
      <c r="P104" s="3">
        <v>248.59</v>
      </c>
      <c r="Q104" s="4">
        <v>283.11</v>
      </c>
      <c r="R104" s="3"/>
      <c r="S104" s="3"/>
      <c r="T104" s="4"/>
      <c r="U104" s="3"/>
      <c r="V104" s="3"/>
      <c r="W104" s="3"/>
    </row>
    <row r="105" spans="12:24" x14ac:dyDescent="0.2">
      <c r="L105" s="4">
        <v>336.89</v>
      </c>
      <c r="M105" s="3"/>
      <c r="N105" s="4"/>
      <c r="O105" s="4">
        <v>15918.59</v>
      </c>
      <c r="P105" s="3">
        <v>3210.64</v>
      </c>
      <c r="Q105" s="4">
        <v>49077.21</v>
      </c>
      <c r="R105" s="3"/>
      <c r="S105" s="3"/>
      <c r="T105" s="4"/>
      <c r="U105" s="234"/>
      <c r="V105" s="3"/>
      <c r="W105" s="3"/>
    </row>
    <row r="106" spans="12:24" x14ac:dyDescent="0.2">
      <c r="L106" s="4">
        <v>1271.4000000000001</v>
      </c>
      <c r="M106" s="3"/>
      <c r="N106" s="4"/>
      <c r="O106" s="4">
        <v>5</v>
      </c>
      <c r="P106" s="3">
        <v>2217.1999999999998</v>
      </c>
      <c r="Q106" s="4">
        <v>67430.990000000005</v>
      </c>
      <c r="R106" s="3"/>
      <c r="S106" s="3"/>
      <c r="T106" s="4"/>
      <c r="U106" s="3"/>
      <c r="V106" s="3"/>
      <c r="W106" s="3"/>
    </row>
    <row r="107" spans="12:24" x14ac:dyDescent="0.2">
      <c r="L107" s="4">
        <v>16.850000000000001</v>
      </c>
      <c r="M107" s="3"/>
      <c r="N107" s="4"/>
      <c r="O107" s="4">
        <v>816.97</v>
      </c>
      <c r="P107" s="3">
        <v>1302.3900000000001</v>
      </c>
      <c r="Q107" s="4">
        <v>83.4</v>
      </c>
      <c r="R107" s="3"/>
      <c r="S107" s="3"/>
      <c r="T107" s="4"/>
      <c r="U107" s="3"/>
      <c r="V107" s="3"/>
      <c r="W107" s="3"/>
    </row>
    <row r="108" spans="12:24" x14ac:dyDescent="0.2">
      <c r="L108" s="4">
        <v>614.91</v>
      </c>
      <c r="M108" s="3"/>
      <c r="N108" s="4"/>
      <c r="O108" s="4">
        <v>618.54</v>
      </c>
      <c r="P108" s="3">
        <v>1183.96</v>
      </c>
      <c r="Q108" s="4">
        <v>329</v>
      </c>
      <c r="R108" s="3"/>
      <c r="S108" s="3"/>
      <c r="T108" s="4"/>
      <c r="U108" s="3"/>
      <c r="V108" s="3"/>
      <c r="W108" s="3"/>
    </row>
    <row r="109" spans="12:24" x14ac:dyDescent="0.2">
      <c r="L109" s="4">
        <v>240.38</v>
      </c>
      <c r="M109" s="3"/>
      <c r="N109" s="4"/>
      <c r="O109" s="4">
        <v>5338.59</v>
      </c>
      <c r="P109" s="3">
        <v>1227.98</v>
      </c>
      <c r="Q109" s="4">
        <v>229.17</v>
      </c>
      <c r="R109" s="3"/>
      <c r="S109" s="3"/>
      <c r="T109" s="4"/>
      <c r="U109" s="3"/>
      <c r="V109" s="3"/>
      <c r="W109" s="3"/>
    </row>
    <row r="110" spans="12:24" x14ac:dyDescent="0.2">
      <c r="L110" s="4">
        <v>480.63</v>
      </c>
      <c r="N110" s="4"/>
      <c r="O110" s="4">
        <v>2833.33</v>
      </c>
      <c r="P110" s="3">
        <v>7945.03</v>
      </c>
      <c r="Q110" s="4">
        <v>44.53</v>
      </c>
      <c r="R110" s="3"/>
      <c r="S110" s="3"/>
      <c r="T110" s="4"/>
      <c r="U110" s="3"/>
      <c r="V110" s="3"/>
      <c r="W110" s="3"/>
    </row>
    <row r="111" spans="12:24" x14ac:dyDescent="0.2">
      <c r="L111" s="4">
        <v>21.66</v>
      </c>
      <c r="N111" s="4"/>
      <c r="O111" s="4">
        <v>1902.54</v>
      </c>
      <c r="P111" s="3">
        <v>8639.86</v>
      </c>
      <c r="Q111" s="4">
        <v>5.98</v>
      </c>
      <c r="R111" s="3"/>
      <c r="S111" s="3"/>
      <c r="T111" s="4"/>
      <c r="U111" s="3"/>
      <c r="V111" s="3"/>
      <c r="W111" s="3"/>
    </row>
    <row r="112" spans="12:24" x14ac:dyDescent="0.2">
      <c r="L112" s="4">
        <v>493.48</v>
      </c>
      <c r="N112" s="4"/>
      <c r="O112" s="4">
        <v>223.59</v>
      </c>
      <c r="P112" s="3">
        <v>433.33</v>
      </c>
      <c r="Q112" s="4">
        <v>109.38</v>
      </c>
      <c r="R112" s="3"/>
      <c r="S112" s="3"/>
      <c r="T112" s="4"/>
      <c r="U112" s="3"/>
      <c r="V112" s="3"/>
      <c r="W112" s="3"/>
    </row>
    <row r="113" spans="12:23" x14ac:dyDescent="0.2">
      <c r="L113" s="4">
        <v>8.32</v>
      </c>
      <c r="N113" s="4"/>
      <c r="O113" s="4">
        <v>9820.69</v>
      </c>
      <c r="P113" s="3">
        <v>7533.29</v>
      </c>
      <c r="Q113" s="4">
        <v>46.56</v>
      </c>
      <c r="R113" s="3"/>
      <c r="S113" s="3"/>
      <c r="T113" s="4"/>
      <c r="U113" s="3"/>
      <c r="V113" s="3"/>
      <c r="W113" s="3"/>
    </row>
    <row r="114" spans="12:23" x14ac:dyDescent="0.2">
      <c r="L114" s="4">
        <v>12.92</v>
      </c>
      <c r="N114" s="4"/>
      <c r="O114" s="4">
        <v>9199.1</v>
      </c>
      <c r="P114" s="3"/>
      <c r="Q114" s="4">
        <v>3.68</v>
      </c>
      <c r="R114" s="3"/>
      <c r="S114" s="3"/>
      <c r="T114" s="4"/>
      <c r="U114" s="3"/>
      <c r="V114" s="3"/>
      <c r="W114" s="3"/>
    </row>
    <row r="115" spans="12:23" x14ac:dyDescent="0.2">
      <c r="L115" s="4">
        <v>948.96</v>
      </c>
      <c r="N115" s="4"/>
      <c r="O115" s="4">
        <v>197.09</v>
      </c>
      <c r="P115" s="3"/>
      <c r="Q115" s="4">
        <v>305.27999999999997</v>
      </c>
      <c r="R115" s="3"/>
      <c r="S115" s="3"/>
      <c r="T115" s="4"/>
      <c r="U115" s="3"/>
      <c r="V115" s="3"/>
      <c r="W115" s="3"/>
    </row>
    <row r="116" spans="12:23" x14ac:dyDescent="0.2">
      <c r="L116" s="4">
        <v>424.85</v>
      </c>
      <c r="N116" s="4"/>
      <c r="O116" s="4">
        <v>774.79</v>
      </c>
      <c r="Q116" s="4">
        <v>7667.81</v>
      </c>
      <c r="R116" s="3"/>
      <c r="S116" s="3"/>
      <c r="T116" s="4"/>
      <c r="U116" s="3"/>
      <c r="V116" s="3"/>
      <c r="W116" s="3"/>
    </row>
    <row r="117" spans="12:23" x14ac:dyDescent="0.2">
      <c r="L117" s="4">
        <v>200.17</v>
      </c>
      <c r="N117" s="4"/>
      <c r="O117" s="4">
        <v>10.28</v>
      </c>
      <c r="P117" s="3"/>
      <c r="Q117" s="4">
        <v>10</v>
      </c>
      <c r="R117" s="3"/>
      <c r="S117" s="3"/>
      <c r="T117" s="4"/>
      <c r="U117" s="3"/>
      <c r="V117" s="3"/>
      <c r="W117" s="3"/>
    </row>
    <row r="118" spans="12:23" x14ac:dyDescent="0.2">
      <c r="L118" s="4">
        <v>686.79</v>
      </c>
      <c r="N118" s="4"/>
      <c r="O118" s="4">
        <v>6501.46</v>
      </c>
      <c r="P118" s="3"/>
      <c r="Q118" s="4">
        <v>488.82</v>
      </c>
      <c r="R118" s="3"/>
      <c r="S118" s="3"/>
      <c r="T118" s="4"/>
      <c r="U118" s="3"/>
      <c r="V118" s="3"/>
      <c r="W118" s="3"/>
    </row>
    <row r="119" spans="12:23" x14ac:dyDescent="0.2">
      <c r="L119" s="4">
        <v>11.66</v>
      </c>
      <c r="N119" s="4"/>
      <c r="O119" s="4">
        <v>9245.73</v>
      </c>
      <c r="P119" s="3"/>
      <c r="Q119" s="4">
        <v>300.95</v>
      </c>
      <c r="R119" s="3"/>
      <c r="S119" s="3"/>
      <c r="T119" s="4"/>
      <c r="U119" s="3"/>
      <c r="V119" s="3"/>
      <c r="W119" s="3"/>
    </row>
    <row r="120" spans="12:23" x14ac:dyDescent="0.2">
      <c r="L120" s="4">
        <v>249.35</v>
      </c>
      <c r="N120" s="4"/>
      <c r="O120" s="4">
        <v>5119.34</v>
      </c>
      <c r="P120" s="234"/>
      <c r="Q120" s="4" t="s">
        <v>626</v>
      </c>
      <c r="R120" s="3"/>
      <c r="S120" s="3"/>
      <c r="T120" s="4"/>
      <c r="U120" s="3"/>
      <c r="V120" s="3"/>
      <c r="W120" s="3"/>
    </row>
    <row r="121" spans="12:23" x14ac:dyDescent="0.2">
      <c r="L121" s="4">
        <v>741.04</v>
      </c>
      <c r="N121" s="4"/>
      <c r="O121" s="4">
        <v>5000</v>
      </c>
      <c r="P121" s="3"/>
      <c r="Q121" s="4">
        <v>119.86</v>
      </c>
      <c r="R121" s="3"/>
      <c r="S121" s="3"/>
      <c r="T121" s="4"/>
      <c r="U121" s="3"/>
      <c r="V121" s="3"/>
      <c r="W121" s="3"/>
    </row>
    <row r="122" spans="12:23" x14ac:dyDescent="0.2">
      <c r="L122" s="4">
        <v>183.23</v>
      </c>
      <c r="N122" s="4"/>
      <c r="O122" s="4">
        <v>5000</v>
      </c>
      <c r="P122" s="3"/>
      <c r="Q122" s="4">
        <v>315.38</v>
      </c>
      <c r="R122" s="3"/>
      <c r="S122" s="3"/>
      <c r="T122" s="4"/>
      <c r="U122" s="3"/>
      <c r="V122" s="3"/>
      <c r="W122" s="3"/>
    </row>
    <row r="123" spans="12:23" x14ac:dyDescent="0.2">
      <c r="L123" s="4">
        <v>473.68</v>
      </c>
      <c r="N123" s="4"/>
      <c r="O123" s="4"/>
      <c r="P123" s="3"/>
      <c r="Q123" s="4">
        <v>11905.74</v>
      </c>
      <c r="R123" s="3"/>
      <c r="S123" s="3"/>
      <c r="T123" s="4"/>
      <c r="U123" s="3"/>
      <c r="V123" s="3"/>
      <c r="W123" s="3"/>
    </row>
    <row r="124" spans="12:23" x14ac:dyDescent="0.2">
      <c r="L124" s="4">
        <v>1162.1300000000001</v>
      </c>
      <c r="N124" s="4"/>
      <c r="O124" s="4"/>
      <c r="P124" s="3"/>
      <c r="Q124" s="4">
        <v>3423.86</v>
      </c>
      <c r="R124" s="3"/>
      <c r="S124" s="3"/>
      <c r="T124" s="4"/>
      <c r="U124" s="3"/>
      <c r="V124" s="3"/>
      <c r="W124" s="3"/>
    </row>
    <row r="125" spans="12:23" x14ac:dyDescent="0.2">
      <c r="L125" s="4">
        <v>8.07</v>
      </c>
      <c r="N125" s="4"/>
      <c r="O125" s="4"/>
      <c r="P125" s="3"/>
      <c r="Q125" s="4">
        <v>2.36</v>
      </c>
      <c r="R125" s="3"/>
      <c r="S125" s="3"/>
      <c r="T125" s="4"/>
      <c r="U125" s="3"/>
      <c r="V125" s="3"/>
      <c r="W125" s="3"/>
    </row>
    <row r="126" spans="12:23" x14ac:dyDescent="0.2">
      <c r="L126" s="4">
        <v>30.96</v>
      </c>
      <c r="N126" s="4"/>
      <c r="O126" s="4"/>
      <c r="P126" s="3"/>
      <c r="Q126" s="4">
        <v>3094</v>
      </c>
      <c r="R126" s="3"/>
      <c r="S126" s="3"/>
      <c r="T126" s="4"/>
      <c r="U126" s="3"/>
      <c r="V126" s="3"/>
      <c r="W126" s="3"/>
    </row>
    <row r="127" spans="12:23" x14ac:dyDescent="0.2">
      <c r="L127" s="4">
        <v>10.06</v>
      </c>
      <c r="N127" s="4"/>
      <c r="O127" s="4"/>
      <c r="P127" s="3"/>
      <c r="Q127" s="4">
        <v>3221.47</v>
      </c>
      <c r="R127" s="3"/>
      <c r="S127" s="3"/>
      <c r="T127" s="4"/>
      <c r="U127" s="3"/>
      <c r="V127" s="3"/>
      <c r="W127" s="3"/>
    </row>
    <row r="128" spans="12:23" x14ac:dyDescent="0.2">
      <c r="L128" s="4">
        <v>16.37</v>
      </c>
      <c r="N128" s="4"/>
      <c r="O128" s="4"/>
      <c r="P128" s="3"/>
      <c r="Q128" s="4">
        <v>12959.35</v>
      </c>
      <c r="R128" s="3"/>
      <c r="S128" s="3"/>
      <c r="T128" s="4"/>
      <c r="U128" s="3"/>
      <c r="V128" s="3"/>
      <c r="W128" s="3"/>
    </row>
    <row r="129" spans="12:23" x14ac:dyDescent="0.2">
      <c r="L129" s="4">
        <v>264.14</v>
      </c>
      <c r="N129" s="4"/>
      <c r="O129" s="4"/>
      <c r="P129" s="3"/>
      <c r="Q129" s="4">
        <v>292.67</v>
      </c>
      <c r="R129" s="3"/>
      <c r="S129" s="3"/>
      <c r="T129" s="4"/>
      <c r="U129" s="3"/>
      <c r="V129" s="3"/>
      <c r="W129" s="3"/>
    </row>
    <row r="130" spans="12:23" x14ac:dyDescent="0.2">
      <c r="L130" s="4">
        <v>877.49</v>
      </c>
      <c r="M130" s="3"/>
      <c r="N130" s="4"/>
      <c r="O130" s="4"/>
      <c r="P130" s="3"/>
      <c r="Q130" s="4">
        <v>1098.92</v>
      </c>
      <c r="R130" s="3"/>
      <c r="S130" s="3"/>
      <c r="T130" s="4"/>
      <c r="U130" s="3"/>
      <c r="V130" s="3"/>
      <c r="W130" s="3"/>
    </row>
    <row r="131" spans="12:23" x14ac:dyDescent="0.2">
      <c r="L131" s="4">
        <v>163.89</v>
      </c>
      <c r="M131" s="3"/>
      <c r="N131" s="4"/>
      <c r="O131" s="4"/>
      <c r="P131" s="3"/>
      <c r="Q131" s="4">
        <v>5728.96</v>
      </c>
      <c r="R131" s="3"/>
      <c r="S131" s="3"/>
      <c r="T131" s="4"/>
      <c r="U131" s="3"/>
      <c r="V131" s="3"/>
      <c r="W131" s="3"/>
    </row>
    <row r="132" spans="12:23" x14ac:dyDescent="0.2">
      <c r="L132" s="4">
        <v>22.09</v>
      </c>
      <c r="M132" s="3"/>
      <c r="N132" s="4"/>
      <c r="O132" s="4"/>
      <c r="P132" s="3"/>
      <c r="Q132" s="4">
        <v>3484.1</v>
      </c>
      <c r="R132" s="3"/>
      <c r="S132" s="3"/>
      <c r="T132" s="4"/>
      <c r="U132" s="3"/>
      <c r="V132" s="3"/>
      <c r="W132" s="3"/>
    </row>
    <row r="133" spans="12:23" x14ac:dyDescent="0.2">
      <c r="L133" s="4">
        <v>395.68</v>
      </c>
      <c r="M133" s="3"/>
      <c r="N133" s="4"/>
      <c r="O133" s="4"/>
      <c r="P133" s="3"/>
      <c r="Q133" s="4">
        <v>18.829999999999998</v>
      </c>
      <c r="R133" s="3"/>
      <c r="S133" s="3"/>
      <c r="T133" s="4"/>
      <c r="U133" s="3"/>
      <c r="V133" s="3"/>
      <c r="W133" s="3"/>
    </row>
    <row r="134" spans="12:23" x14ac:dyDescent="0.2">
      <c r="L134" s="4">
        <v>154.09</v>
      </c>
      <c r="M134" s="3"/>
      <c r="N134" s="4"/>
      <c r="O134" s="4"/>
      <c r="P134" s="3"/>
      <c r="Q134" s="4">
        <v>14856.52</v>
      </c>
      <c r="R134" s="3"/>
      <c r="S134" s="3"/>
      <c r="T134" s="4"/>
      <c r="U134" s="3"/>
      <c r="V134" s="3"/>
      <c r="W134" s="3"/>
    </row>
    <row r="135" spans="12:23" x14ac:dyDescent="0.2">
      <c r="L135" s="4">
        <v>6.64</v>
      </c>
      <c r="M135" s="3"/>
      <c r="N135" s="4"/>
      <c r="O135" s="4"/>
      <c r="P135" s="3"/>
      <c r="Q135" s="4">
        <v>198.59</v>
      </c>
      <c r="R135" s="3"/>
      <c r="S135" s="3"/>
      <c r="T135" s="4"/>
      <c r="U135" s="3"/>
      <c r="V135" s="3"/>
      <c r="W135" s="3"/>
    </row>
    <row r="136" spans="12:23" x14ac:dyDescent="0.2">
      <c r="L136" s="4">
        <v>8.39</v>
      </c>
      <c r="M136" s="3"/>
      <c r="N136" s="4"/>
      <c r="O136" s="4"/>
      <c r="P136" s="3"/>
      <c r="Q136" s="4">
        <v>14998.58</v>
      </c>
      <c r="R136" s="3"/>
      <c r="S136" s="3"/>
      <c r="T136" s="4"/>
      <c r="U136" s="3"/>
      <c r="V136" s="3"/>
      <c r="W136" s="3"/>
    </row>
    <row r="137" spans="12:23" x14ac:dyDescent="0.2">
      <c r="L137" s="4">
        <v>28.8</v>
      </c>
      <c r="M137" s="3"/>
      <c r="N137" s="4"/>
      <c r="O137" s="4"/>
      <c r="P137" s="3"/>
      <c r="Q137" s="4">
        <v>13763.86</v>
      </c>
      <c r="R137" s="3"/>
      <c r="S137" s="3"/>
      <c r="T137" s="4"/>
      <c r="U137" s="3"/>
      <c r="V137" s="3"/>
      <c r="W137" s="3"/>
    </row>
    <row r="138" spans="12:23" x14ac:dyDescent="0.2">
      <c r="L138" s="4">
        <v>31.3</v>
      </c>
      <c r="M138" s="3"/>
      <c r="N138" s="4"/>
      <c r="O138" s="4"/>
      <c r="P138" s="3"/>
      <c r="Q138" s="4"/>
      <c r="R138" s="3"/>
      <c r="S138" s="3"/>
      <c r="T138" s="4"/>
      <c r="U138" s="3"/>
      <c r="V138" s="3"/>
      <c r="W138" s="3"/>
    </row>
    <row r="139" spans="12:23" x14ac:dyDescent="0.2">
      <c r="L139" s="4"/>
      <c r="M139" s="3"/>
      <c r="N139" s="4"/>
      <c r="O139" s="4"/>
      <c r="P139" s="3"/>
      <c r="Q139" s="4">
        <v>8057.75</v>
      </c>
      <c r="R139" s="3"/>
      <c r="S139" s="3"/>
      <c r="T139" s="4"/>
      <c r="U139" s="3"/>
      <c r="V139" s="3"/>
      <c r="W139" s="3"/>
    </row>
    <row r="140" spans="12:23" x14ac:dyDescent="0.2">
      <c r="L140" s="4"/>
      <c r="M140" s="3"/>
      <c r="N140" s="4"/>
      <c r="O140" s="4"/>
      <c r="P140" s="3"/>
      <c r="Q140" s="4">
        <v>18967.14</v>
      </c>
      <c r="R140" s="3"/>
      <c r="S140" s="3"/>
      <c r="T140" s="4"/>
      <c r="U140" s="3"/>
      <c r="V140" s="3"/>
      <c r="W140" s="3"/>
    </row>
    <row r="141" spans="12:23" x14ac:dyDescent="0.2">
      <c r="L141" s="4"/>
      <c r="M141" s="3"/>
      <c r="N141" s="4"/>
      <c r="O141" s="4"/>
      <c r="P141" s="3"/>
      <c r="Q141" s="4">
        <v>123.7</v>
      </c>
      <c r="R141" s="3"/>
      <c r="S141" s="3"/>
      <c r="T141" s="4"/>
      <c r="U141" s="3"/>
      <c r="V141" s="3"/>
      <c r="W141" s="3"/>
    </row>
    <row r="142" spans="12:23" x14ac:dyDescent="0.2">
      <c r="L142" s="4"/>
      <c r="M142" s="3"/>
      <c r="N142" s="4"/>
      <c r="O142" s="4"/>
      <c r="P142" s="3"/>
      <c r="Q142" s="4">
        <v>7.47</v>
      </c>
      <c r="R142" s="3"/>
      <c r="S142" s="3"/>
      <c r="T142" s="4"/>
      <c r="U142" s="3"/>
      <c r="V142" s="3"/>
      <c r="W142" s="3"/>
    </row>
    <row r="143" spans="12:23" x14ac:dyDescent="0.2">
      <c r="L143" s="4"/>
      <c r="M143" s="3"/>
      <c r="N143" s="4"/>
      <c r="O143" s="4"/>
      <c r="P143" s="3"/>
      <c r="Q143" s="4">
        <v>58.35</v>
      </c>
      <c r="R143" s="3"/>
      <c r="S143" s="3"/>
      <c r="T143" s="4"/>
      <c r="U143" s="3"/>
      <c r="V143" s="3"/>
      <c r="W143" s="3"/>
    </row>
    <row r="144" spans="12:23" x14ac:dyDescent="0.2">
      <c r="L144" s="4"/>
      <c r="M144" s="3"/>
      <c r="N144" s="4"/>
      <c r="O144" s="4"/>
      <c r="P144" s="3"/>
      <c r="Q144" s="4"/>
      <c r="R144" s="3"/>
      <c r="S144" s="3"/>
      <c r="T144" s="4"/>
      <c r="U144" s="3"/>
      <c r="V144" s="3"/>
      <c r="W144" s="3"/>
    </row>
    <row r="145" spans="12:23" x14ac:dyDescent="0.2">
      <c r="L145" s="4"/>
      <c r="M145" s="3"/>
      <c r="N145" s="4"/>
      <c r="O145" s="4"/>
      <c r="P145" s="3"/>
      <c r="Q145" s="4"/>
      <c r="R145" s="3"/>
      <c r="S145" s="3"/>
      <c r="T145" s="4"/>
      <c r="U145" s="3"/>
      <c r="V145" s="3"/>
      <c r="W145" s="3"/>
    </row>
    <row r="146" spans="12:23" x14ac:dyDescent="0.2">
      <c r="L146" s="4"/>
      <c r="M146" s="3"/>
      <c r="N146" s="4"/>
      <c r="O146" s="4"/>
      <c r="P146" s="3"/>
      <c r="Q146" s="4"/>
      <c r="R146" s="3"/>
      <c r="S146" s="3"/>
      <c r="T146" s="4"/>
      <c r="U146" s="3"/>
      <c r="V146" s="3"/>
      <c r="W146" s="3"/>
    </row>
    <row r="147" spans="12:23" x14ac:dyDescent="0.2">
      <c r="L147" s="4"/>
      <c r="M147" s="3"/>
      <c r="N147" s="4"/>
      <c r="O147" s="4"/>
      <c r="P147" s="3"/>
      <c r="Q147" s="4"/>
      <c r="R147" s="3"/>
      <c r="S147" s="3"/>
      <c r="T147" s="4"/>
      <c r="U147" s="3"/>
      <c r="V147" s="3"/>
      <c r="W147" s="3"/>
    </row>
    <row r="148" spans="12:23" x14ac:dyDescent="0.2">
      <c r="L148" s="4"/>
      <c r="M148" s="3"/>
      <c r="N148" s="4"/>
      <c r="O148" s="4"/>
      <c r="P148" s="3"/>
      <c r="Q148" s="4"/>
      <c r="R148" s="3"/>
      <c r="S148" s="3"/>
      <c r="T148" s="4"/>
      <c r="U148" s="3"/>
      <c r="V148" s="3"/>
      <c r="W148" s="3"/>
    </row>
    <row r="149" spans="12:23" x14ac:dyDescent="0.2">
      <c r="L149" s="4"/>
      <c r="M149" s="3"/>
      <c r="N149" s="4"/>
      <c r="O149" s="4"/>
      <c r="P149" s="3"/>
      <c r="Q149" s="4"/>
      <c r="R149" s="3"/>
      <c r="S149" s="3"/>
      <c r="T149" s="4"/>
      <c r="U149" s="3"/>
      <c r="V149" s="3"/>
      <c r="W149" s="3"/>
    </row>
    <row r="150" spans="12:23" x14ac:dyDescent="0.2">
      <c r="L150" s="4"/>
      <c r="M150" s="3"/>
      <c r="N150" s="4"/>
      <c r="O150" s="4"/>
      <c r="P150" s="3"/>
      <c r="Q150" s="4"/>
      <c r="R150" s="3"/>
      <c r="S150" s="3"/>
      <c r="T150" s="4"/>
      <c r="U150" s="3"/>
      <c r="V150" s="3"/>
      <c r="W150" s="3"/>
    </row>
    <row r="151" spans="12:23" x14ac:dyDescent="0.2">
      <c r="L151" s="4"/>
      <c r="M151" s="3"/>
      <c r="N151" s="4"/>
      <c r="O151" s="4"/>
      <c r="P151" s="3"/>
      <c r="Q151" s="4"/>
      <c r="R151" s="3"/>
      <c r="S151" s="3"/>
      <c r="T151" s="4"/>
      <c r="U151" s="3"/>
      <c r="V151" s="3"/>
      <c r="W151" s="3"/>
    </row>
    <row r="152" spans="12:23" x14ac:dyDescent="0.2">
      <c r="L152" s="4"/>
      <c r="M152" s="3"/>
      <c r="N152" s="4"/>
      <c r="O152" s="4"/>
      <c r="P152" s="3"/>
      <c r="Q152" s="4"/>
      <c r="R152" s="3"/>
      <c r="S152" s="3"/>
      <c r="T152" s="4"/>
      <c r="U152" s="3"/>
      <c r="V152" s="3"/>
      <c r="W152" s="3"/>
    </row>
    <row r="153" spans="12:23" x14ac:dyDescent="0.2">
      <c r="L153" s="4"/>
      <c r="M153" s="3"/>
      <c r="N153" s="4"/>
      <c r="O153" s="4"/>
      <c r="P153" s="3"/>
      <c r="Q153" s="4"/>
      <c r="R153" s="3"/>
      <c r="S153" s="3"/>
      <c r="T153" s="4"/>
      <c r="U153" s="3"/>
      <c r="V153" s="3"/>
      <c r="W153" s="3"/>
    </row>
    <row r="154" spans="12:23" x14ac:dyDescent="0.2">
      <c r="L154" s="4"/>
      <c r="M154" s="3"/>
      <c r="N154" s="4"/>
      <c r="O154" s="4"/>
      <c r="P154" s="3"/>
      <c r="Q154" s="4"/>
      <c r="R154" s="3"/>
      <c r="S154" s="3"/>
      <c r="T154" s="4"/>
      <c r="U154" s="3"/>
      <c r="V154" s="3"/>
      <c r="W154" s="3"/>
    </row>
    <row r="155" spans="12:23" x14ac:dyDescent="0.2">
      <c r="L155" s="4"/>
      <c r="M155" s="3"/>
      <c r="N155" s="4"/>
      <c r="O155" s="4"/>
      <c r="P155" s="3"/>
      <c r="Q155" s="4"/>
      <c r="R155" s="3"/>
      <c r="S155" s="3"/>
      <c r="T155" s="4"/>
      <c r="U155" s="3"/>
      <c r="V155" s="3"/>
      <c r="W155" s="3"/>
    </row>
    <row r="156" spans="12:23" x14ac:dyDescent="0.2">
      <c r="L156" s="4"/>
      <c r="M156" s="3"/>
      <c r="N156" s="4"/>
      <c r="O156" s="4"/>
      <c r="P156" s="3"/>
      <c r="Q156" s="4"/>
      <c r="R156" s="3"/>
      <c r="S156" s="3"/>
      <c r="T156" s="4"/>
      <c r="U156" s="3"/>
      <c r="V156" s="3"/>
      <c r="W156" s="3"/>
    </row>
    <row r="157" spans="12:23" x14ac:dyDescent="0.2">
      <c r="L157" s="4"/>
      <c r="M157" s="3"/>
      <c r="N157" s="4"/>
      <c r="O157" s="4"/>
      <c r="P157" s="3"/>
      <c r="Q157" s="4"/>
      <c r="R157" s="3"/>
      <c r="S157" s="3"/>
      <c r="T157" s="4"/>
      <c r="U157" s="3"/>
      <c r="V157" s="3"/>
      <c r="W157" s="3"/>
    </row>
    <row r="158" spans="12:23" x14ac:dyDescent="0.2">
      <c r="L158" s="4"/>
      <c r="M158" s="3"/>
      <c r="N158" s="4"/>
      <c r="O158" s="4"/>
      <c r="P158" s="3"/>
      <c r="Q158" s="4"/>
      <c r="R158" s="3"/>
      <c r="S158" s="3"/>
      <c r="T158" s="4"/>
      <c r="U158" s="3"/>
      <c r="V158" s="3"/>
      <c r="W158" s="3"/>
    </row>
    <row r="159" spans="12:23" x14ac:dyDescent="0.2">
      <c r="L159" s="4"/>
      <c r="M159" s="3"/>
      <c r="N159" s="4"/>
      <c r="O159" s="4"/>
      <c r="P159" s="3"/>
      <c r="Q159" s="4"/>
      <c r="R159" s="3"/>
      <c r="S159" s="3"/>
      <c r="T159" s="4"/>
      <c r="U159" s="3"/>
      <c r="V159" s="3"/>
      <c r="W159" s="3"/>
    </row>
    <row r="160" spans="12:23" x14ac:dyDescent="0.2">
      <c r="L160" s="229"/>
      <c r="M160" s="3"/>
      <c r="N160" s="4"/>
      <c r="O160" s="4"/>
      <c r="P160" s="3"/>
      <c r="Q160" s="4"/>
      <c r="R160" s="3"/>
      <c r="S160" s="3"/>
      <c r="T160" s="4"/>
      <c r="U160" s="3"/>
      <c r="V160" s="3"/>
      <c r="W160" s="3"/>
    </row>
    <row r="161" spans="12:24" x14ac:dyDescent="0.2">
      <c r="L161" s="4"/>
      <c r="M161" s="3"/>
      <c r="N161" s="4"/>
      <c r="O161" s="4"/>
      <c r="P161" s="3"/>
      <c r="Q161" s="4"/>
      <c r="R161" s="3"/>
      <c r="S161" s="3"/>
      <c r="T161" s="4"/>
      <c r="U161" s="3"/>
      <c r="V161" s="3"/>
      <c r="W161" s="3"/>
    </row>
    <row r="162" spans="12:24" x14ac:dyDescent="0.2">
      <c r="L162" s="4"/>
      <c r="M162" s="3"/>
      <c r="N162" s="4"/>
      <c r="O162" s="4"/>
      <c r="P162" s="3"/>
      <c r="Q162" s="4"/>
      <c r="R162" s="3"/>
      <c r="S162" s="3"/>
      <c r="T162" s="4"/>
      <c r="U162" s="3"/>
      <c r="V162" s="3"/>
      <c r="W162" s="3"/>
    </row>
    <row r="163" spans="12:24" x14ac:dyDescent="0.2">
      <c r="L163" s="4"/>
      <c r="M163" s="3"/>
      <c r="N163" s="4"/>
      <c r="O163" s="4"/>
      <c r="P163" s="3"/>
      <c r="Q163" s="4"/>
      <c r="R163" s="3"/>
      <c r="S163" s="3"/>
      <c r="T163" s="4"/>
      <c r="U163" s="3"/>
      <c r="V163" s="3"/>
      <c r="W163" s="3"/>
    </row>
    <row r="164" spans="12:24" x14ac:dyDescent="0.2">
      <c r="L164" s="4"/>
      <c r="M164" s="3"/>
      <c r="N164" s="4"/>
      <c r="O164" s="4"/>
      <c r="P164" s="3"/>
      <c r="Q164" s="4"/>
      <c r="R164" s="3"/>
      <c r="S164" s="3"/>
      <c r="T164" s="4"/>
      <c r="U164" s="3"/>
      <c r="V164" s="3"/>
      <c r="W164" s="3"/>
    </row>
    <row r="165" spans="12:24" x14ac:dyDescent="0.2">
      <c r="L165" s="4"/>
      <c r="M165" s="3"/>
      <c r="N165" s="4"/>
      <c r="O165" s="4"/>
      <c r="P165" s="3"/>
      <c r="Q165" s="4"/>
      <c r="R165" s="3"/>
      <c r="S165" s="3"/>
      <c r="T165" s="4"/>
      <c r="U165" s="3"/>
      <c r="V165" s="3"/>
      <c r="W165" s="3"/>
    </row>
    <row r="166" spans="12:24" x14ac:dyDescent="0.2">
      <c r="L166" s="4"/>
      <c r="M166" s="3"/>
      <c r="N166" s="4"/>
      <c r="O166" s="4"/>
      <c r="P166" s="3"/>
      <c r="Q166" s="4"/>
      <c r="R166" s="3"/>
      <c r="S166" s="3"/>
      <c r="T166" s="4"/>
      <c r="U166" s="3"/>
      <c r="V166" s="3"/>
      <c r="W166" s="3"/>
    </row>
    <row r="167" spans="12:24" x14ac:dyDescent="0.2">
      <c r="L167" s="4"/>
      <c r="M167" s="3"/>
      <c r="N167" s="4"/>
      <c r="O167" s="4"/>
      <c r="P167" s="3"/>
      <c r="Q167" s="4"/>
      <c r="R167" s="3"/>
      <c r="S167" s="3"/>
      <c r="T167" s="4"/>
      <c r="U167" s="3"/>
      <c r="V167" s="3"/>
      <c r="W167" s="3"/>
    </row>
    <row r="168" spans="12:24" x14ac:dyDescent="0.2">
      <c r="L168" s="4"/>
      <c r="M168" s="3"/>
      <c r="N168" s="4"/>
      <c r="O168" s="4"/>
      <c r="P168" s="3"/>
      <c r="Q168" s="4"/>
      <c r="R168" s="3"/>
      <c r="S168" s="3"/>
      <c r="T168" s="4"/>
      <c r="U168" s="3"/>
      <c r="V168" s="3"/>
      <c r="W168" s="3"/>
    </row>
    <row r="169" spans="12:24" x14ac:dyDescent="0.2">
      <c r="L169" s="4"/>
      <c r="M169" s="3"/>
      <c r="N169" s="4"/>
      <c r="O169" s="4"/>
      <c r="P169" s="3"/>
      <c r="Q169" s="4"/>
      <c r="R169" s="3"/>
      <c r="S169" s="3"/>
      <c r="T169" s="4"/>
      <c r="U169" s="3"/>
      <c r="V169" s="3"/>
      <c r="W169" s="3"/>
    </row>
    <row r="170" spans="12:24" x14ac:dyDescent="0.2">
      <c r="L170" s="4"/>
      <c r="M170" s="3"/>
      <c r="N170" s="4"/>
      <c r="O170" s="4"/>
      <c r="P170" s="3"/>
      <c r="Q170" s="4"/>
      <c r="R170" s="3"/>
      <c r="S170" s="3"/>
      <c r="T170" s="4"/>
      <c r="U170" s="3"/>
      <c r="V170" s="3"/>
      <c r="W170" s="3"/>
    </row>
    <row r="171" spans="12:24" x14ac:dyDescent="0.2">
      <c r="L171" s="4"/>
      <c r="M171" s="3"/>
      <c r="N171" s="4"/>
      <c r="O171" s="4"/>
      <c r="P171" s="3"/>
      <c r="Q171" s="4"/>
      <c r="R171" s="3"/>
      <c r="S171" s="3"/>
      <c r="T171" s="4"/>
      <c r="U171" s="3"/>
      <c r="V171" s="3"/>
      <c r="W171" s="3"/>
    </row>
    <row r="172" spans="12:24" x14ac:dyDescent="0.2">
      <c r="L172" s="4"/>
      <c r="M172" s="3"/>
      <c r="N172" s="4"/>
      <c r="O172" s="4"/>
      <c r="P172" s="3"/>
      <c r="Q172" s="4"/>
      <c r="R172" s="3"/>
      <c r="S172" s="3"/>
      <c r="T172" s="4"/>
      <c r="U172" s="3"/>
      <c r="V172" s="3"/>
      <c r="W172" s="3"/>
    </row>
    <row r="173" spans="12:24" x14ac:dyDescent="0.2">
      <c r="L173" s="4"/>
      <c r="M173" s="3"/>
      <c r="N173" s="4"/>
      <c r="O173" s="4"/>
      <c r="P173" s="3"/>
      <c r="Q173" s="4"/>
      <c r="R173" s="3"/>
      <c r="S173" s="3"/>
      <c r="T173" s="4"/>
      <c r="U173" s="3"/>
      <c r="V173" s="3"/>
      <c r="W173" s="3"/>
    </row>
    <row r="174" spans="12:24" x14ac:dyDescent="0.2">
      <c r="L174" s="4"/>
      <c r="M174" s="3"/>
      <c r="N174" s="4"/>
      <c r="O174" s="4"/>
      <c r="P174" s="3"/>
      <c r="Q174" s="4"/>
      <c r="R174" s="3"/>
      <c r="S174" s="3"/>
      <c r="T174" s="4"/>
      <c r="U174" s="3"/>
      <c r="V174" s="3"/>
      <c r="W174" s="3"/>
    </row>
    <row r="175" spans="12:24" x14ac:dyDescent="0.2">
      <c r="L175" s="4"/>
      <c r="M175" s="3"/>
      <c r="N175" s="4"/>
      <c r="O175" s="4"/>
      <c r="P175" s="3"/>
      <c r="Q175" s="4"/>
      <c r="R175" s="3"/>
      <c r="S175" s="3"/>
      <c r="T175" s="4"/>
      <c r="U175" s="3"/>
      <c r="V175" s="3"/>
      <c r="W175" s="3"/>
    </row>
    <row r="176" spans="12:24" ht="12.75" customHeight="1" x14ac:dyDescent="0.2">
      <c r="L176" s="4"/>
      <c r="M176" s="3"/>
      <c r="N176" s="4"/>
      <c r="O176" s="4"/>
      <c r="P176" s="3"/>
      <c r="Q176" s="4"/>
      <c r="R176" s="3"/>
      <c r="S176" s="3"/>
      <c r="T176" s="4"/>
      <c r="U176" s="3"/>
      <c r="V176" s="3"/>
      <c r="W176" s="3"/>
      <c r="X176" s="10" t="s">
        <v>599</v>
      </c>
    </row>
    <row r="177" spans="2:24" x14ac:dyDescent="0.2">
      <c r="L177" s="236">
        <f t="shared" ref="L177:T177" si="6">SUM(L95:L176)</f>
        <v>17943.989999999998</v>
      </c>
      <c r="M177" s="236">
        <f t="shared" si="6"/>
        <v>0</v>
      </c>
      <c r="N177" s="236">
        <f t="shared" si="6"/>
        <v>13207.34</v>
      </c>
      <c r="O177" s="236">
        <f t="shared" si="6"/>
        <v>313440.50000000012</v>
      </c>
      <c r="P177" s="236">
        <f t="shared" si="6"/>
        <v>73207.869999999981</v>
      </c>
      <c r="Q177" s="236">
        <f t="shared" si="6"/>
        <v>394960.75999999995</v>
      </c>
      <c r="R177" s="236">
        <f t="shared" si="6"/>
        <v>10350.980000000001</v>
      </c>
      <c r="S177" s="236">
        <f t="shared" si="6"/>
        <v>58790.1</v>
      </c>
      <c r="T177" s="236">
        <f t="shared" si="6"/>
        <v>2581542.38</v>
      </c>
      <c r="U177" s="236">
        <f>SUM(U95:U176)</f>
        <v>0</v>
      </c>
      <c r="V177" s="236"/>
      <c r="W177" s="236"/>
      <c r="X177" s="237">
        <f>L177+M177+Q177+U177</f>
        <v>412904.74999999994</v>
      </c>
    </row>
    <row r="178" spans="2:24" x14ac:dyDescent="0.2">
      <c r="M178" s="236"/>
      <c r="N178" s="236"/>
      <c r="O178" s="236"/>
      <c r="P178" s="236"/>
      <c r="Q178" s="236"/>
      <c r="R178" s="236"/>
      <c r="S178" s="236"/>
      <c r="T178" s="236"/>
      <c r="U178" s="236"/>
      <c r="V178" s="236"/>
      <c r="W178" s="236"/>
      <c r="X178" s="237"/>
    </row>
    <row r="179" spans="2:24" x14ac:dyDescent="0.2">
      <c r="V179" s="3"/>
    </row>
    <row r="180" spans="2:24" x14ac:dyDescent="0.2">
      <c r="B180" s="238" t="s">
        <v>644</v>
      </c>
      <c r="L180" s="239"/>
      <c r="M180" s="239"/>
      <c r="N180" s="239"/>
      <c r="O180" s="239"/>
      <c r="P180" s="240"/>
      <c r="Q180" s="240"/>
      <c r="R180" s="240"/>
      <c r="S180" s="240"/>
      <c r="T180" s="240"/>
      <c r="U180" s="240"/>
      <c r="V180" s="3"/>
    </row>
    <row r="181" spans="2:24" x14ac:dyDescent="0.2">
      <c r="L181" s="3">
        <f>ROUND(L177-L180,2)</f>
        <v>17943.990000000002</v>
      </c>
      <c r="M181" s="3">
        <f t="shared" ref="M181:T181" si="7">ROUND(M177-M180,2)</f>
        <v>0</v>
      </c>
      <c r="N181" s="3">
        <f t="shared" si="7"/>
        <v>13207.34</v>
      </c>
      <c r="O181" s="3">
        <f t="shared" si="7"/>
        <v>313440.5</v>
      </c>
      <c r="P181" s="3">
        <f>ROUND(P177-P180,2)</f>
        <v>73207.87</v>
      </c>
      <c r="Q181" s="3">
        <f t="shared" si="7"/>
        <v>394960.76</v>
      </c>
      <c r="R181" s="3">
        <f t="shared" si="7"/>
        <v>10350.98</v>
      </c>
      <c r="S181" s="3">
        <f t="shared" si="7"/>
        <v>58790.1</v>
      </c>
      <c r="T181" s="3">
        <f t="shared" si="7"/>
        <v>2581542.38</v>
      </c>
      <c r="U181" s="4">
        <f>U177+U179-U180</f>
        <v>0</v>
      </c>
      <c r="V181" s="3"/>
    </row>
    <row r="182" spans="2:24" ht="13.5" thickBot="1" x14ac:dyDescent="0.25">
      <c r="P182" s="1">
        <v>35</v>
      </c>
      <c r="Q182" s="1" t="s">
        <v>646</v>
      </c>
      <c r="R182" s="1">
        <v>70</v>
      </c>
      <c r="S182" s="1">
        <v>70</v>
      </c>
      <c r="T182" s="1">
        <v>68</v>
      </c>
      <c r="U182" s="1">
        <v>70</v>
      </c>
      <c r="V182" s="3"/>
    </row>
    <row r="183" spans="2:24" ht="13.5" thickBot="1" x14ac:dyDescent="0.25">
      <c r="L183" s="241"/>
      <c r="M183" s="242" t="s">
        <v>645</v>
      </c>
      <c r="N183" s="242"/>
      <c r="O183" s="242"/>
      <c r="P183" s="243"/>
      <c r="V183" s="3"/>
      <c r="W183" s="3"/>
    </row>
    <row r="184" spans="2:24" x14ac:dyDescent="0.2">
      <c r="B184" s="145" t="s">
        <v>862</v>
      </c>
      <c r="L184" s="9"/>
      <c r="N184" s="9"/>
      <c r="O184" s="244">
        <f>(65656.24*11)+65656.21</f>
        <v>787874.85</v>
      </c>
      <c r="P184" s="9"/>
      <c r="V184" s="3"/>
      <c r="W184" s="3"/>
    </row>
    <row r="185" spans="2:24" x14ac:dyDescent="0.2">
      <c r="B185" s="245" t="s">
        <v>647</v>
      </c>
      <c r="L185" s="246"/>
      <c r="V185" s="3"/>
    </row>
    <row r="186" spans="2:24" x14ac:dyDescent="0.2">
      <c r="L186" s="4">
        <f>L181-L182</f>
        <v>17943.990000000002</v>
      </c>
      <c r="M186" s="247">
        <f>M181-M182</f>
        <v>0</v>
      </c>
      <c r="N186" s="4">
        <f>N181-N182</f>
        <v>13207.34</v>
      </c>
      <c r="O186" s="4"/>
      <c r="V186" s="3"/>
    </row>
    <row r="187" spans="2:24" x14ac:dyDescent="0.2">
      <c r="U187" s="3"/>
    </row>
    <row r="188" spans="2:24" x14ac:dyDescent="0.2">
      <c r="B188" s="145" t="s">
        <v>863</v>
      </c>
      <c r="L188" s="4">
        <f>59272.79*12</f>
        <v>711273.48</v>
      </c>
      <c r="Q188" s="3">
        <f>L181+N181+O181+O184</f>
        <v>1132466.68</v>
      </c>
      <c r="U188" s="3"/>
    </row>
    <row r="189" spans="2:24" x14ac:dyDescent="0.2">
      <c r="B189" s="145" t="s">
        <v>864</v>
      </c>
      <c r="O189" s="244">
        <f>31780.87*12</f>
        <v>381370.44</v>
      </c>
      <c r="U189" s="3"/>
    </row>
    <row r="190" spans="2:24" x14ac:dyDescent="0.2">
      <c r="U190" s="3"/>
    </row>
    <row r="191" spans="2:24" x14ac:dyDescent="0.2">
      <c r="U191" s="3"/>
    </row>
    <row r="192" spans="2:24" x14ac:dyDescent="0.2">
      <c r="U192" s="3"/>
    </row>
    <row r="193" spans="12:21" x14ac:dyDescent="0.2">
      <c r="L193" s="1" t="s">
        <v>861</v>
      </c>
      <c r="U193" s="3"/>
    </row>
    <row r="194" spans="12:21" x14ac:dyDescent="0.2">
      <c r="L194" s="1">
        <v>2019</v>
      </c>
      <c r="M194" s="9">
        <v>2074244.2</v>
      </c>
      <c r="U194" s="3"/>
    </row>
    <row r="195" spans="12:21" x14ac:dyDescent="0.2">
      <c r="L195" s="1">
        <v>2020</v>
      </c>
      <c r="M195" s="9">
        <v>2035487</v>
      </c>
      <c r="U195" s="3"/>
    </row>
    <row r="196" spans="12:21" x14ac:dyDescent="0.2">
      <c r="L196" s="1">
        <v>2021</v>
      </c>
      <c r="M196" s="9">
        <v>2966904.7</v>
      </c>
      <c r="U196" s="3"/>
    </row>
    <row r="197" spans="12:21" x14ac:dyDescent="0.2">
      <c r="L197" s="1">
        <v>2022</v>
      </c>
      <c r="M197" s="9">
        <v>3375965.8</v>
      </c>
      <c r="U197" s="3"/>
    </row>
    <row r="198" spans="12:21" x14ac:dyDescent="0.2">
      <c r="L198" s="1">
        <v>2023</v>
      </c>
      <c r="M198" s="9">
        <v>2195366</v>
      </c>
      <c r="N198" s="9">
        <v>3293049</v>
      </c>
      <c r="U198" s="3"/>
    </row>
    <row r="199" spans="12:21" x14ac:dyDescent="0.2">
      <c r="M199" s="9"/>
      <c r="U199" s="3"/>
    </row>
    <row r="200" spans="12:21" x14ac:dyDescent="0.2">
      <c r="U200" s="3"/>
    </row>
    <row r="201" spans="12:21" x14ac:dyDescent="0.2">
      <c r="U201" s="3"/>
    </row>
    <row r="202" spans="12:21" x14ac:dyDescent="0.2">
      <c r="U202" s="3"/>
    </row>
    <row r="203" spans="12:21" x14ac:dyDescent="0.2">
      <c r="U203" s="3"/>
    </row>
    <row r="204" spans="12:21" x14ac:dyDescent="0.2">
      <c r="U204" s="3"/>
    </row>
    <row r="205" spans="12:21" x14ac:dyDescent="0.2">
      <c r="U205" s="3"/>
    </row>
    <row r="206" spans="12:21" x14ac:dyDescent="0.2">
      <c r="U206" s="3"/>
    </row>
    <row r="207" spans="12:21" x14ac:dyDescent="0.2">
      <c r="U207" s="3"/>
    </row>
    <row r="208" spans="12:21" ht="13.5" thickBot="1" x14ac:dyDescent="0.25">
      <c r="U208" s="248"/>
    </row>
    <row r="209" spans="21:21" ht="13.5" thickTop="1" x14ac:dyDescent="0.2">
      <c r="U209" s="3">
        <f>SUM(U95:U208)</f>
        <v>70</v>
      </c>
    </row>
  </sheetData>
  <mergeCells count="5">
    <mergeCell ref="A2:N2"/>
    <mergeCell ref="A3:N3"/>
    <mergeCell ref="A4:N4"/>
    <mergeCell ref="A5:N5"/>
    <mergeCell ref="A6:N6"/>
  </mergeCells>
  <phoneticPr fontId="4" type="noConversion"/>
  <printOptions horizontalCentered="1"/>
  <pageMargins left="0.59055118110236227" right="0.59055118110236227" top="1.1811023622047245" bottom="0" header="0.59055118110236227" footer="0"/>
  <pageSetup scale="72" orientation="portrait" r:id="rId1"/>
  <headerFooter>
    <oddHeader>&amp;L&amp;G</oddHeader>
  </headerFooter>
  <rowBreaks count="2" manualBreakCount="2">
    <brk id="70" max="13" man="1"/>
    <brk id="92" max="16383" man="1"/>
  </rowBreaks>
  <ignoredErrors>
    <ignoredError sqref="A45:A53 A12:A19 A23:A37 A56:A57 A40:A41 A61" numberStoredAsText="1"/>
  </ignoredErrors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/>
  <dimension ref="A1:S2512"/>
  <sheetViews>
    <sheetView view="pageBreakPreview" zoomScaleNormal="115" zoomScaleSheetLayoutView="100" workbookViewId="0"/>
  </sheetViews>
  <sheetFormatPr baseColWidth="10" defaultColWidth="11.42578125" defaultRowHeight="15" customHeight="1" x14ac:dyDescent="0.2"/>
  <cols>
    <col min="1" max="1" width="4.85546875" style="147" customWidth="1"/>
    <col min="2" max="2" width="4.140625" style="147" customWidth="1"/>
    <col min="3" max="3" width="9" style="147" customWidth="1"/>
    <col min="4" max="4" width="48" style="147" customWidth="1"/>
    <col min="5" max="5" width="16.42578125" style="147" customWidth="1"/>
    <col min="6" max="6" width="14.85546875" style="147" hidden="1" customWidth="1"/>
    <col min="7" max="7" width="17.5703125" style="147" customWidth="1"/>
    <col min="8" max="8" width="19.140625" style="147" customWidth="1"/>
    <col min="9" max="13" width="16.28515625" style="147" hidden="1" customWidth="1"/>
    <col min="14" max="14" width="1.42578125" style="147" hidden="1" customWidth="1"/>
    <col min="15" max="15" width="15.85546875" style="252" customWidth="1"/>
    <col min="16" max="16" width="18.5703125" style="147" hidden="1" customWidth="1"/>
    <col min="17" max="17" width="15.5703125" style="147" customWidth="1"/>
    <col min="18" max="18" width="14.7109375" style="147" customWidth="1"/>
    <col min="19" max="19" width="12.85546875" style="147" bestFit="1" customWidth="1"/>
    <col min="20" max="16384" width="11.42578125" style="147"/>
  </cols>
  <sheetData>
    <row r="1" spans="1:17" ht="15" customHeight="1" x14ac:dyDescent="0.2">
      <c r="A1" s="249" t="s">
        <v>387</v>
      </c>
      <c r="B1" s="147" t="s">
        <v>387</v>
      </c>
      <c r="H1" s="250"/>
      <c r="O1" s="251" t="s">
        <v>588</v>
      </c>
    </row>
    <row r="2" spans="1:17" ht="15" customHeight="1" x14ac:dyDescent="0.2">
      <c r="A2" s="249" t="s">
        <v>387</v>
      </c>
      <c r="B2" s="147" t="s">
        <v>387</v>
      </c>
      <c r="C2" s="427" t="s">
        <v>119</v>
      </c>
      <c r="D2" s="427"/>
      <c r="E2" s="427"/>
      <c r="F2" s="427"/>
      <c r="G2" s="427"/>
      <c r="H2" s="427"/>
      <c r="I2" s="427"/>
      <c r="J2" s="427"/>
      <c r="K2" s="427"/>
      <c r="L2" s="427"/>
      <c r="M2" s="427"/>
    </row>
    <row r="3" spans="1:17" ht="15" customHeight="1" x14ac:dyDescent="0.2">
      <c r="A3" s="249" t="s">
        <v>387</v>
      </c>
      <c r="B3" s="147" t="s">
        <v>387</v>
      </c>
      <c r="C3" s="428" t="s">
        <v>851</v>
      </c>
      <c r="D3" s="428"/>
      <c r="E3" s="428"/>
      <c r="F3" s="428"/>
      <c r="G3" s="428"/>
      <c r="H3" s="428"/>
      <c r="I3" s="428"/>
      <c r="J3" s="428"/>
      <c r="K3" s="428"/>
      <c r="L3" s="428"/>
      <c r="M3" s="428"/>
    </row>
    <row r="4" spans="1:17" ht="15" customHeight="1" x14ac:dyDescent="0.2">
      <c r="A4" s="249" t="s">
        <v>387</v>
      </c>
      <c r="B4" s="147" t="s">
        <v>387</v>
      </c>
      <c r="C4" s="427" t="s">
        <v>499</v>
      </c>
      <c r="D4" s="427"/>
      <c r="E4" s="427"/>
      <c r="F4" s="427"/>
      <c r="G4" s="427"/>
      <c r="H4" s="427"/>
      <c r="I4" s="361"/>
      <c r="J4" s="361"/>
      <c r="K4" s="361"/>
      <c r="L4" s="361"/>
      <c r="M4" s="361"/>
      <c r="N4" s="253"/>
      <c r="O4" s="254"/>
      <c r="P4" s="253"/>
      <c r="Q4" s="253"/>
    </row>
    <row r="5" spans="1:17" ht="15" customHeight="1" x14ac:dyDescent="0.2">
      <c r="A5" s="249" t="s">
        <v>387</v>
      </c>
      <c r="B5" s="58" t="s">
        <v>387</v>
      </c>
      <c r="C5" s="427" t="s">
        <v>117</v>
      </c>
      <c r="D5" s="427"/>
      <c r="E5" s="427"/>
      <c r="F5" s="427"/>
      <c r="G5" s="427"/>
      <c r="H5" s="427"/>
      <c r="I5" s="362"/>
      <c r="J5" s="362"/>
      <c r="K5" s="362"/>
      <c r="L5" s="362"/>
      <c r="M5" s="362"/>
    </row>
    <row r="6" spans="1:17" ht="15" customHeight="1" x14ac:dyDescent="0.2">
      <c r="A6" s="249" t="s">
        <v>387</v>
      </c>
      <c r="B6" s="147" t="s">
        <v>387</v>
      </c>
      <c r="C6" s="429" t="s">
        <v>278</v>
      </c>
      <c r="D6" s="429"/>
      <c r="E6" s="429"/>
      <c r="F6" s="429"/>
      <c r="G6" s="429"/>
      <c r="H6" s="429"/>
      <c r="I6" s="363"/>
      <c r="J6" s="363"/>
      <c r="K6" s="363"/>
      <c r="L6" s="363"/>
      <c r="M6" s="363"/>
    </row>
    <row r="7" spans="1:17" ht="15" customHeight="1" x14ac:dyDescent="0.2">
      <c r="A7" s="249" t="s">
        <v>387</v>
      </c>
      <c r="B7" s="147" t="s">
        <v>387</v>
      </c>
      <c r="C7" s="435" t="s">
        <v>1</v>
      </c>
      <c r="D7" s="430" t="s">
        <v>0</v>
      </c>
      <c r="E7" s="255" t="s">
        <v>56</v>
      </c>
      <c r="F7" s="255" t="s">
        <v>376</v>
      </c>
      <c r="G7" s="255" t="s">
        <v>56</v>
      </c>
      <c r="H7" s="432" t="s">
        <v>850</v>
      </c>
      <c r="I7" s="153" t="s">
        <v>285</v>
      </c>
      <c r="J7" s="153"/>
      <c r="K7" s="153"/>
      <c r="L7" s="153"/>
      <c r="M7" s="153"/>
    </row>
    <row r="8" spans="1:17" ht="15" customHeight="1" x14ac:dyDescent="0.2">
      <c r="A8" s="249" t="s">
        <v>387</v>
      </c>
      <c r="B8" s="147" t="s">
        <v>387</v>
      </c>
      <c r="C8" s="436"/>
      <c r="D8" s="431"/>
      <c r="E8" s="255" t="s">
        <v>384</v>
      </c>
      <c r="F8" s="255"/>
      <c r="G8" s="255" t="s">
        <v>140</v>
      </c>
      <c r="H8" s="433"/>
      <c r="I8" s="153" t="s">
        <v>286</v>
      </c>
      <c r="J8" s="153" t="s">
        <v>290</v>
      </c>
      <c r="K8" s="153" t="s">
        <v>291</v>
      </c>
      <c r="L8" s="153" t="s">
        <v>293</v>
      </c>
      <c r="M8" s="153" t="s">
        <v>292</v>
      </c>
    </row>
    <row r="9" spans="1:17" ht="15" customHeight="1" x14ac:dyDescent="0.2">
      <c r="A9" s="249">
        <v>2</v>
      </c>
      <c r="B9" s="147">
        <v>2</v>
      </c>
      <c r="C9" s="106">
        <v>51105</v>
      </c>
      <c r="D9" s="270" t="s">
        <v>2</v>
      </c>
      <c r="E9" s="271"/>
      <c r="F9" s="271"/>
      <c r="G9" s="376">
        <v>306240</v>
      </c>
      <c r="H9" s="272">
        <f t="shared" ref="H9:H52" si="0">E9+F9+G9</f>
        <v>306240</v>
      </c>
      <c r="I9" s="256"/>
      <c r="J9" s="256"/>
      <c r="K9" s="256"/>
      <c r="L9" s="256"/>
      <c r="M9" s="256"/>
    </row>
    <row r="10" spans="1:17" ht="15" customHeight="1" x14ac:dyDescent="0.2">
      <c r="A10" s="249">
        <v>2</v>
      </c>
      <c r="B10" s="147">
        <v>2</v>
      </c>
      <c r="C10" s="106">
        <v>51107</v>
      </c>
      <c r="D10" s="270" t="s">
        <v>34</v>
      </c>
      <c r="E10" s="271"/>
      <c r="F10" s="271"/>
      <c r="G10" s="376">
        <v>91000</v>
      </c>
      <c r="H10" s="272">
        <f t="shared" si="0"/>
        <v>91000</v>
      </c>
      <c r="I10" s="256"/>
      <c r="J10" s="256"/>
      <c r="K10" s="256"/>
      <c r="L10" s="256"/>
      <c r="M10" s="256"/>
    </row>
    <row r="11" spans="1:17" ht="15" customHeight="1" x14ac:dyDescent="0.2">
      <c r="A11" s="249">
        <v>2</v>
      </c>
      <c r="B11" s="147">
        <v>2</v>
      </c>
      <c r="C11" s="106">
        <v>51401</v>
      </c>
      <c r="D11" s="107" t="s">
        <v>47</v>
      </c>
      <c r="E11" s="271"/>
      <c r="F11" s="271"/>
      <c r="G11" s="376">
        <v>20889.600000000002</v>
      </c>
      <c r="H11" s="272">
        <f t="shared" si="0"/>
        <v>20889.600000000002</v>
      </c>
      <c r="I11" s="256"/>
      <c r="J11" s="256"/>
      <c r="K11" s="256"/>
      <c r="L11" s="256"/>
      <c r="M11" s="256"/>
      <c r="O11" s="257"/>
    </row>
    <row r="12" spans="1:17" ht="15" customHeight="1" x14ac:dyDescent="0.2">
      <c r="A12" s="249">
        <v>2</v>
      </c>
      <c r="B12" s="147">
        <v>2</v>
      </c>
      <c r="C12" s="106">
        <v>51501</v>
      </c>
      <c r="D12" s="270" t="s">
        <v>29</v>
      </c>
      <c r="E12" s="271"/>
      <c r="F12" s="271"/>
      <c r="G12" s="376">
        <v>21504</v>
      </c>
      <c r="H12" s="272">
        <f t="shared" si="0"/>
        <v>21504</v>
      </c>
      <c r="I12" s="256"/>
      <c r="J12" s="256"/>
      <c r="K12" s="256"/>
      <c r="L12" s="256"/>
      <c r="M12" s="256"/>
      <c r="O12" s="258"/>
    </row>
    <row r="13" spans="1:17" ht="15" customHeight="1" x14ac:dyDescent="0.2">
      <c r="A13" s="249">
        <v>2</v>
      </c>
      <c r="B13" s="147">
        <v>2</v>
      </c>
      <c r="C13" s="106">
        <v>51701</v>
      </c>
      <c r="D13" s="270" t="s">
        <v>55</v>
      </c>
      <c r="E13" s="271"/>
      <c r="F13" s="271"/>
      <c r="G13" s="376">
        <f>40000+196.59</f>
        <v>40196.589999999997</v>
      </c>
      <c r="H13" s="272">
        <f t="shared" si="0"/>
        <v>40196.589999999997</v>
      </c>
      <c r="I13" s="256"/>
      <c r="J13" s="256"/>
      <c r="K13" s="256"/>
      <c r="L13" s="256"/>
      <c r="M13" s="256"/>
    </row>
    <row r="14" spans="1:17" ht="15" customHeight="1" x14ac:dyDescent="0.2">
      <c r="A14" s="249">
        <v>2</v>
      </c>
      <c r="B14" s="147">
        <v>2</v>
      </c>
      <c r="C14" s="61">
        <v>51901</v>
      </c>
      <c r="D14" s="73" t="s">
        <v>330</v>
      </c>
      <c r="E14" s="74"/>
      <c r="F14" s="74"/>
      <c r="G14" s="75">
        <v>12000</v>
      </c>
      <c r="H14" s="76">
        <f t="shared" si="0"/>
        <v>12000</v>
      </c>
      <c r="I14" s="256"/>
      <c r="J14" s="256"/>
      <c r="K14" s="256"/>
      <c r="L14" s="256"/>
      <c r="M14" s="256"/>
    </row>
    <row r="15" spans="1:17" ht="15" customHeight="1" x14ac:dyDescent="0.2">
      <c r="A15" s="249">
        <v>2</v>
      </c>
      <c r="B15" s="147">
        <v>2</v>
      </c>
      <c r="C15" s="61">
        <v>54101</v>
      </c>
      <c r="D15" s="73" t="s">
        <v>38</v>
      </c>
      <c r="E15" s="74"/>
      <c r="F15" s="74"/>
      <c r="G15" s="75">
        <v>16000</v>
      </c>
      <c r="H15" s="76">
        <f t="shared" si="0"/>
        <v>16000</v>
      </c>
      <c r="I15" s="256"/>
      <c r="J15" s="256"/>
      <c r="K15" s="256"/>
      <c r="L15" s="256"/>
      <c r="M15" s="256"/>
    </row>
    <row r="16" spans="1:17" ht="15" customHeight="1" x14ac:dyDescent="0.2">
      <c r="A16" s="249">
        <v>2</v>
      </c>
      <c r="B16" s="147">
        <v>2</v>
      </c>
      <c r="C16" s="61">
        <v>54103</v>
      </c>
      <c r="D16" s="73" t="s">
        <v>41</v>
      </c>
      <c r="E16" s="74"/>
      <c r="F16" s="74"/>
      <c r="G16" s="75">
        <v>10000</v>
      </c>
      <c r="H16" s="76">
        <f t="shared" si="0"/>
        <v>10000</v>
      </c>
      <c r="I16" s="256"/>
      <c r="J16" s="256"/>
      <c r="K16" s="256"/>
      <c r="L16" s="256"/>
      <c r="M16" s="256"/>
    </row>
    <row r="17" spans="1:14" ht="15" customHeight="1" x14ac:dyDescent="0.2">
      <c r="A17" s="249">
        <v>2</v>
      </c>
      <c r="B17" s="147">
        <v>2</v>
      </c>
      <c r="C17" s="61">
        <v>54104</v>
      </c>
      <c r="D17" s="62" t="s">
        <v>17</v>
      </c>
      <c r="E17" s="74"/>
      <c r="F17" s="74"/>
      <c r="G17" s="76">
        <v>1225</v>
      </c>
      <c r="H17" s="76">
        <f t="shared" si="0"/>
        <v>1225</v>
      </c>
      <c r="I17" s="256"/>
      <c r="J17" s="256"/>
      <c r="K17" s="256"/>
      <c r="L17" s="256"/>
      <c r="M17" s="256"/>
      <c r="N17" s="259">
        <f>H9+H13+H14</f>
        <v>358436.58999999997</v>
      </c>
    </row>
    <row r="18" spans="1:14" ht="15" customHeight="1" x14ac:dyDescent="0.2">
      <c r="A18" s="249">
        <v>2</v>
      </c>
      <c r="B18" s="147">
        <v>2</v>
      </c>
      <c r="C18" s="61">
        <v>54105</v>
      </c>
      <c r="D18" s="62" t="s">
        <v>131</v>
      </c>
      <c r="E18" s="74"/>
      <c r="F18" s="74"/>
      <c r="G18" s="76">
        <v>700</v>
      </c>
      <c r="H18" s="76">
        <f t="shared" si="0"/>
        <v>700</v>
      </c>
      <c r="I18" s="256"/>
      <c r="J18" s="256"/>
      <c r="K18" s="256"/>
      <c r="L18" s="256"/>
      <c r="M18" s="256"/>
      <c r="N18" s="259"/>
    </row>
    <row r="19" spans="1:14" ht="15" customHeight="1" x14ac:dyDescent="0.2">
      <c r="A19" s="249">
        <v>2</v>
      </c>
      <c r="B19" s="147">
        <v>2</v>
      </c>
      <c r="C19" s="61">
        <v>54106</v>
      </c>
      <c r="D19" s="62" t="s">
        <v>18</v>
      </c>
      <c r="E19" s="74"/>
      <c r="F19" s="74"/>
      <c r="G19" s="76">
        <v>100</v>
      </c>
      <c r="H19" s="76">
        <f t="shared" si="0"/>
        <v>100</v>
      </c>
      <c r="I19" s="256"/>
      <c r="J19" s="256"/>
      <c r="K19" s="256"/>
      <c r="L19" s="256"/>
      <c r="M19" s="256"/>
      <c r="N19" s="259"/>
    </row>
    <row r="20" spans="1:14" ht="15" customHeight="1" x14ac:dyDescent="0.2">
      <c r="A20" s="249">
        <v>2</v>
      </c>
      <c r="B20" s="147">
        <v>2</v>
      </c>
      <c r="C20" s="61">
        <v>54107</v>
      </c>
      <c r="D20" s="62" t="s">
        <v>43</v>
      </c>
      <c r="E20" s="74"/>
      <c r="F20" s="74"/>
      <c r="G20" s="76">
        <v>5000</v>
      </c>
      <c r="H20" s="76">
        <f t="shared" si="0"/>
        <v>5000</v>
      </c>
      <c r="I20" s="256"/>
      <c r="J20" s="256"/>
      <c r="K20" s="256"/>
      <c r="L20" s="256"/>
      <c r="M20" s="256"/>
      <c r="N20" s="259"/>
    </row>
    <row r="21" spans="1:14" ht="15" customHeight="1" x14ac:dyDescent="0.2">
      <c r="A21" s="249">
        <v>2</v>
      </c>
      <c r="B21" s="147">
        <v>2</v>
      </c>
      <c r="C21" s="61">
        <v>54110</v>
      </c>
      <c r="D21" s="62" t="s">
        <v>147</v>
      </c>
      <c r="E21" s="74"/>
      <c r="F21" s="74"/>
      <c r="G21" s="76">
        <v>500</v>
      </c>
      <c r="H21" s="76">
        <f t="shared" si="0"/>
        <v>500</v>
      </c>
      <c r="I21" s="256"/>
      <c r="J21" s="256"/>
      <c r="K21" s="256"/>
      <c r="L21" s="256"/>
      <c r="M21" s="256"/>
      <c r="N21" s="259"/>
    </row>
    <row r="22" spans="1:14" ht="15" customHeight="1" x14ac:dyDescent="0.2">
      <c r="A22" s="249">
        <v>2</v>
      </c>
      <c r="B22" s="147">
        <v>2</v>
      </c>
      <c r="C22" s="61">
        <v>54111</v>
      </c>
      <c r="D22" s="62" t="s">
        <v>162</v>
      </c>
      <c r="E22" s="74"/>
      <c r="F22" s="74"/>
      <c r="G22" s="76">
        <v>15000</v>
      </c>
      <c r="H22" s="76">
        <f t="shared" si="0"/>
        <v>15000</v>
      </c>
      <c r="I22" s="256"/>
      <c r="J22" s="256"/>
      <c r="K22" s="256"/>
      <c r="L22" s="256"/>
      <c r="M22" s="256"/>
      <c r="N22" s="259"/>
    </row>
    <row r="23" spans="1:14" ht="15" customHeight="1" x14ac:dyDescent="0.2">
      <c r="A23" s="249">
        <v>2</v>
      </c>
      <c r="B23" s="147">
        <v>2</v>
      </c>
      <c r="C23" s="61">
        <v>54112</v>
      </c>
      <c r="D23" s="62" t="s">
        <v>433</v>
      </c>
      <c r="E23" s="74"/>
      <c r="F23" s="74"/>
      <c r="G23" s="76">
        <v>15000</v>
      </c>
      <c r="H23" s="76">
        <f t="shared" si="0"/>
        <v>15000</v>
      </c>
      <c r="I23" s="256"/>
      <c r="J23" s="256"/>
      <c r="K23" s="256"/>
      <c r="L23" s="256"/>
      <c r="M23" s="256"/>
      <c r="N23" s="259"/>
    </row>
    <row r="24" spans="1:14" ht="15" customHeight="1" x14ac:dyDescent="0.2">
      <c r="A24" s="249">
        <v>2</v>
      </c>
      <c r="B24" s="147">
        <v>2</v>
      </c>
      <c r="C24" s="61">
        <v>54114</v>
      </c>
      <c r="D24" s="73" t="s">
        <v>388</v>
      </c>
      <c r="E24" s="74"/>
      <c r="F24" s="74"/>
      <c r="G24" s="76">
        <v>200</v>
      </c>
      <c r="H24" s="76">
        <f t="shared" si="0"/>
        <v>200</v>
      </c>
      <c r="I24" s="256"/>
      <c r="J24" s="256"/>
      <c r="K24" s="256"/>
      <c r="L24" s="256"/>
      <c r="M24" s="256"/>
      <c r="N24" s="259"/>
    </row>
    <row r="25" spans="1:14" ht="15" customHeight="1" x14ac:dyDescent="0.2">
      <c r="A25" s="249">
        <v>2</v>
      </c>
      <c r="B25" s="147">
        <v>2</v>
      </c>
      <c r="C25" s="61">
        <v>54115</v>
      </c>
      <c r="D25" s="73" t="s">
        <v>49</v>
      </c>
      <c r="E25" s="74"/>
      <c r="F25" s="74"/>
      <c r="G25" s="76">
        <v>150</v>
      </c>
      <c r="H25" s="76">
        <f t="shared" si="0"/>
        <v>150</v>
      </c>
      <c r="I25" s="256"/>
      <c r="J25" s="256"/>
      <c r="K25" s="256"/>
      <c r="L25" s="256"/>
      <c r="M25" s="256"/>
      <c r="N25" s="259"/>
    </row>
    <row r="26" spans="1:14" ht="15" customHeight="1" x14ac:dyDescent="0.2">
      <c r="A26" s="249">
        <v>2</v>
      </c>
      <c r="B26" s="147">
        <v>2</v>
      </c>
      <c r="C26" s="61">
        <v>54118</v>
      </c>
      <c r="D26" s="73" t="s">
        <v>454</v>
      </c>
      <c r="E26" s="74"/>
      <c r="F26" s="74"/>
      <c r="G26" s="76">
        <v>1500</v>
      </c>
      <c r="H26" s="76">
        <f t="shared" si="0"/>
        <v>1500</v>
      </c>
      <c r="I26" s="256"/>
      <c r="J26" s="256"/>
      <c r="K26" s="256"/>
      <c r="L26" s="256"/>
      <c r="M26" s="256"/>
      <c r="N26" s="259"/>
    </row>
    <row r="27" spans="1:14" ht="15" customHeight="1" x14ac:dyDescent="0.2">
      <c r="A27" s="249">
        <v>2</v>
      </c>
      <c r="B27" s="147">
        <v>2</v>
      </c>
      <c r="C27" s="61">
        <v>54119</v>
      </c>
      <c r="D27" s="73" t="s">
        <v>44</v>
      </c>
      <c r="E27" s="74"/>
      <c r="F27" s="74"/>
      <c r="G27" s="76">
        <v>1395</v>
      </c>
      <c r="H27" s="76">
        <f t="shared" si="0"/>
        <v>1395</v>
      </c>
      <c r="I27" s="256"/>
      <c r="J27" s="256"/>
      <c r="K27" s="256"/>
      <c r="L27" s="256"/>
      <c r="M27" s="256"/>
      <c r="N27" s="259"/>
    </row>
    <row r="28" spans="1:14" ht="15" customHeight="1" x14ac:dyDescent="0.2">
      <c r="A28" s="249">
        <v>2</v>
      </c>
      <c r="B28" s="147">
        <v>2</v>
      </c>
      <c r="C28" s="61">
        <v>54199</v>
      </c>
      <c r="D28" s="73" t="s">
        <v>26</v>
      </c>
      <c r="E28" s="74"/>
      <c r="F28" s="74"/>
      <c r="G28" s="76">
        <v>2000</v>
      </c>
      <c r="H28" s="76">
        <f t="shared" si="0"/>
        <v>2000</v>
      </c>
      <c r="I28" s="256"/>
      <c r="J28" s="256"/>
      <c r="K28" s="256"/>
      <c r="L28" s="256"/>
      <c r="M28" s="256"/>
      <c r="N28" s="259"/>
    </row>
    <row r="29" spans="1:14" ht="15" customHeight="1" x14ac:dyDescent="0.2">
      <c r="A29" s="249">
        <v>2</v>
      </c>
      <c r="B29" s="147">
        <v>2</v>
      </c>
      <c r="C29" s="61">
        <v>54203</v>
      </c>
      <c r="D29" s="73" t="s">
        <v>7</v>
      </c>
      <c r="E29" s="76"/>
      <c r="F29" s="76"/>
      <c r="G29" s="76">
        <v>0</v>
      </c>
      <c r="H29" s="76">
        <f t="shared" si="0"/>
        <v>0</v>
      </c>
      <c r="I29" s="256"/>
      <c r="J29" s="256"/>
      <c r="K29" s="256"/>
      <c r="L29" s="256"/>
      <c r="M29" s="256"/>
      <c r="N29" s="259">
        <f>H29</f>
        <v>0</v>
      </c>
    </row>
    <row r="30" spans="1:14" ht="15" customHeight="1" x14ac:dyDescent="0.2">
      <c r="A30" s="249">
        <v>2</v>
      </c>
      <c r="B30" s="147">
        <v>2</v>
      </c>
      <c r="C30" s="61">
        <v>54204</v>
      </c>
      <c r="D30" s="73" t="s">
        <v>32</v>
      </c>
      <c r="E30" s="76"/>
      <c r="F30" s="76"/>
      <c r="G30" s="76">
        <v>0</v>
      </c>
      <c r="H30" s="76">
        <f t="shared" si="0"/>
        <v>0</v>
      </c>
      <c r="I30" s="256"/>
      <c r="J30" s="256"/>
      <c r="K30" s="256"/>
      <c r="L30" s="256"/>
      <c r="M30" s="256"/>
      <c r="N30" s="259"/>
    </row>
    <row r="31" spans="1:14" ht="15" customHeight="1" x14ac:dyDescent="0.2">
      <c r="A31" s="249">
        <v>2</v>
      </c>
      <c r="B31" s="147">
        <v>2</v>
      </c>
      <c r="C31" s="61">
        <v>54301</v>
      </c>
      <c r="D31" s="73" t="s">
        <v>158</v>
      </c>
      <c r="E31" s="76"/>
      <c r="F31" s="76"/>
      <c r="G31" s="76">
        <v>800</v>
      </c>
      <c r="H31" s="76">
        <f t="shared" si="0"/>
        <v>800</v>
      </c>
      <c r="I31" s="256"/>
      <c r="J31" s="256"/>
      <c r="K31" s="256"/>
      <c r="L31" s="256"/>
      <c r="M31" s="256"/>
      <c r="N31" s="259"/>
    </row>
    <row r="32" spans="1:14" ht="15" customHeight="1" x14ac:dyDescent="0.2">
      <c r="A32" s="249">
        <v>2</v>
      </c>
      <c r="B32" s="147">
        <v>2</v>
      </c>
      <c r="C32" s="61">
        <v>54304</v>
      </c>
      <c r="D32" s="73" t="s">
        <v>434</v>
      </c>
      <c r="E32" s="76"/>
      <c r="F32" s="76"/>
      <c r="G32" s="76">
        <v>0</v>
      </c>
      <c r="H32" s="76">
        <f t="shared" si="0"/>
        <v>0</v>
      </c>
      <c r="I32" s="256"/>
      <c r="J32" s="256"/>
      <c r="K32" s="256"/>
      <c r="L32" s="256"/>
      <c r="M32" s="256"/>
      <c r="N32" s="259"/>
    </row>
    <row r="33" spans="1:16" ht="15" customHeight="1" x14ac:dyDescent="0.2">
      <c r="A33" s="249">
        <v>2</v>
      </c>
      <c r="B33" s="147">
        <v>2</v>
      </c>
      <c r="C33" s="61">
        <v>54310</v>
      </c>
      <c r="D33" s="73" t="s">
        <v>503</v>
      </c>
      <c r="E33" s="76"/>
      <c r="F33" s="76"/>
      <c r="G33" s="76">
        <v>0</v>
      </c>
      <c r="H33" s="76">
        <f t="shared" si="0"/>
        <v>0</v>
      </c>
      <c r="I33" s="256"/>
      <c r="J33" s="256"/>
      <c r="K33" s="256"/>
      <c r="L33" s="256"/>
      <c r="M33" s="256"/>
      <c r="N33" s="259"/>
    </row>
    <row r="34" spans="1:16" ht="15" customHeight="1" x14ac:dyDescent="0.2">
      <c r="A34" s="249">
        <v>2</v>
      </c>
      <c r="B34" s="147">
        <v>2</v>
      </c>
      <c r="C34" s="61">
        <v>54313</v>
      </c>
      <c r="D34" s="62" t="s">
        <v>11</v>
      </c>
      <c r="E34" s="76"/>
      <c r="F34" s="76"/>
      <c r="G34" s="76">
        <v>5000</v>
      </c>
      <c r="H34" s="76">
        <f t="shared" si="0"/>
        <v>5000</v>
      </c>
      <c r="I34" s="256"/>
      <c r="J34" s="256"/>
      <c r="K34" s="256"/>
      <c r="L34" s="256"/>
      <c r="M34" s="256"/>
    </row>
    <row r="35" spans="1:16" ht="15" customHeight="1" x14ac:dyDescent="0.2">
      <c r="A35" s="249">
        <v>2</v>
      </c>
      <c r="B35" s="147">
        <v>2</v>
      </c>
      <c r="C35" s="61">
        <v>54314</v>
      </c>
      <c r="D35" s="73" t="s">
        <v>12</v>
      </c>
      <c r="E35" s="76"/>
      <c r="F35" s="76"/>
      <c r="G35" s="76">
        <v>150000</v>
      </c>
      <c r="H35" s="76">
        <f t="shared" si="0"/>
        <v>150000</v>
      </c>
      <c r="I35" s="256"/>
      <c r="J35" s="256"/>
      <c r="K35" s="256"/>
      <c r="L35" s="256"/>
      <c r="M35" s="256"/>
      <c r="N35" s="259"/>
    </row>
    <row r="36" spans="1:16" ht="15" customHeight="1" x14ac:dyDescent="0.2">
      <c r="A36" s="249">
        <v>2</v>
      </c>
      <c r="B36" s="147">
        <v>2</v>
      </c>
      <c r="C36" s="61">
        <v>54316</v>
      </c>
      <c r="D36" s="73" t="s">
        <v>45</v>
      </c>
      <c r="E36" s="76"/>
      <c r="F36" s="76"/>
      <c r="G36" s="76">
        <v>500</v>
      </c>
      <c r="H36" s="76">
        <f t="shared" si="0"/>
        <v>500</v>
      </c>
      <c r="I36" s="256"/>
      <c r="J36" s="256"/>
      <c r="K36" s="256"/>
      <c r="L36" s="256"/>
      <c r="M36" s="256"/>
      <c r="N36" s="259"/>
    </row>
    <row r="37" spans="1:16" ht="15" customHeight="1" x14ac:dyDescent="0.2">
      <c r="A37" s="249">
        <v>2</v>
      </c>
      <c r="B37" s="147">
        <v>2</v>
      </c>
      <c r="C37" s="61">
        <v>54317</v>
      </c>
      <c r="D37" s="73" t="s">
        <v>189</v>
      </c>
      <c r="E37" s="76"/>
      <c r="F37" s="76"/>
      <c r="G37" s="76">
        <v>5000</v>
      </c>
      <c r="H37" s="76">
        <f t="shared" si="0"/>
        <v>5000</v>
      </c>
      <c r="I37" s="256"/>
      <c r="J37" s="256"/>
      <c r="K37" s="256"/>
      <c r="L37" s="256"/>
      <c r="M37" s="256"/>
      <c r="N37" s="259"/>
    </row>
    <row r="38" spans="1:16" ht="15" customHeight="1" x14ac:dyDescent="0.2">
      <c r="A38" s="249">
        <v>2</v>
      </c>
      <c r="B38" s="147">
        <v>2</v>
      </c>
      <c r="C38" s="61">
        <v>54399</v>
      </c>
      <c r="D38" s="62" t="s">
        <v>153</v>
      </c>
      <c r="E38" s="76"/>
      <c r="F38" s="76"/>
      <c r="G38" s="76">
        <v>25000</v>
      </c>
      <c r="H38" s="76">
        <f t="shared" si="0"/>
        <v>25000</v>
      </c>
      <c r="I38" s="256"/>
      <c r="J38" s="256"/>
      <c r="K38" s="256"/>
      <c r="L38" s="256"/>
      <c r="M38" s="256"/>
      <c r="N38" s="259"/>
    </row>
    <row r="39" spans="1:16" ht="15" customHeight="1" x14ac:dyDescent="0.2">
      <c r="A39" s="249">
        <v>2</v>
      </c>
      <c r="B39" s="147">
        <v>2</v>
      </c>
      <c r="C39" s="61">
        <v>54402</v>
      </c>
      <c r="D39" s="62" t="s">
        <v>184</v>
      </c>
      <c r="E39" s="74"/>
      <c r="F39" s="74"/>
      <c r="G39" s="74">
        <v>10000</v>
      </c>
      <c r="H39" s="76">
        <f t="shared" si="0"/>
        <v>10000</v>
      </c>
      <c r="I39" s="256"/>
      <c r="J39" s="256"/>
      <c r="K39" s="256"/>
      <c r="L39" s="256"/>
      <c r="M39" s="256"/>
    </row>
    <row r="40" spans="1:16" ht="15" customHeight="1" x14ac:dyDescent="0.2">
      <c r="A40" s="249">
        <v>2</v>
      </c>
      <c r="B40" s="147">
        <v>2</v>
      </c>
      <c r="C40" s="61">
        <v>54403</v>
      </c>
      <c r="D40" s="62" t="s">
        <v>455</v>
      </c>
      <c r="E40" s="74"/>
      <c r="F40" s="74"/>
      <c r="G40" s="74">
        <v>2000</v>
      </c>
      <c r="H40" s="76">
        <f t="shared" si="0"/>
        <v>2000</v>
      </c>
      <c r="I40" s="256"/>
      <c r="J40" s="256"/>
      <c r="K40" s="256"/>
      <c r="L40" s="256"/>
      <c r="M40" s="256"/>
    </row>
    <row r="41" spans="1:16" ht="15" customHeight="1" x14ac:dyDescent="0.2">
      <c r="A41" s="249">
        <v>2</v>
      </c>
      <c r="B41" s="147">
        <v>2</v>
      </c>
      <c r="C41" s="61">
        <v>54404</v>
      </c>
      <c r="D41" s="73" t="s">
        <v>133</v>
      </c>
      <c r="E41" s="74"/>
      <c r="F41" s="74"/>
      <c r="G41" s="76">
        <v>12000</v>
      </c>
      <c r="H41" s="76">
        <f t="shared" si="0"/>
        <v>12000</v>
      </c>
      <c r="I41" s="256"/>
      <c r="J41" s="256"/>
      <c r="K41" s="256"/>
      <c r="L41" s="256"/>
      <c r="M41" s="256"/>
      <c r="N41" s="259">
        <f>H39+H41</f>
        <v>22000</v>
      </c>
    </row>
    <row r="42" spans="1:16" ht="15" customHeight="1" x14ac:dyDescent="0.2">
      <c r="A42" s="249">
        <v>2</v>
      </c>
      <c r="B42" s="147">
        <v>2</v>
      </c>
      <c r="C42" s="61">
        <v>54503</v>
      </c>
      <c r="D42" s="73" t="s">
        <v>53</v>
      </c>
      <c r="E42" s="74"/>
      <c r="F42" s="74"/>
      <c r="G42" s="76">
        <v>6000</v>
      </c>
      <c r="H42" s="76">
        <f t="shared" si="0"/>
        <v>6000</v>
      </c>
      <c r="I42" s="256"/>
      <c r="J42" s="256"/>
      <c r="K42" s="256"/>
      <c r="L42" s="256"/>
      <c r="M42" s="256"/>
      <c r="N42" s="259"/>
    </row>
    <row r="43" spans="1:16" ht="15" customHeight="1" x14ac:dyDescent="0.2">
      <c r="A43" s="249">
        <v>2</v>
      </c>
      <c r="B43" s="147">
        <v>2</v>
      </c>
      <c r="C43" s="61">
        <v>54504</v>
      </c>
      <c r="D43" s="79" t="s">
        <v>457</v>
      </c>
      <c r="E43" s="74"/>
      <c r="F43" s="74"/>
      <c r="G43" s="76">
        <v>10000</v>
      </c>
      <c r="H43" s="76">
        <f t="shared" si="0"/>
        <v>10000</v>
      </c>
      <c r="I43" s="256"/>
      <c r="J43" s="256"/>
      <c r="K43" s="256"/>
      <c r="L43" s="256"/>
      <c r="M43" s="256"/>
      <c r="N43" s="259"/>
    </row>
    <row r="44" spans="1:16" ht="15" customHeight="1" x14ac:dyDescent="0.2">
      <c r="A44" s="249">
        <v>2</v>
      </c>
      <c r="B44" s="147">
        <v>2</v>
      </c>
      <c r="C44" s="61">
        <v>54599</v>
      </c>
      <c r="D44" s="62" t="s">
        <v>527</v>
      </c>
      <c r="E44" s="74"/>
      <c r="F44" s="74"/>
      <c r="G44" s="76">
        <v>5000</v>
      </c>
      <c r="H44" s="76">
        <f t="shared" si="0"/>
        <v>5000</v>
      </c>
      <c r="I44" s="256"/>
      <c r="J44" s="256"/>
      <c r="K44" s="256"/>
      <c r="L44" s="256"/>
      <c r="M44" s="256"/>
      <c r="N44" s="259">
        <f>H43+H44+H42</f>
        <v>21000</v>
      </c>
      <c r="P44" s="259"/>
    </row>
    <row r="45" spans="1:16" ht="15" customHeight="1" x14ac:dyDescent="0.2">
      <c r="A45" s="249">
        <v>2</v>
      </c>
      <c r="B45" s="147">
        <v>2</v>
      </c>
      <c r="C45" s="61">
        <v>55508</v>
      </c>
      <c r="D45" s="73" t="s">
        <v>215</v>
      </c>
      <c r="E45" s="74"/>
      <c r="F45" s="74"/>
      <c r="G45" s="76">
        <f>20000+5000</f>
        <v>25000</v>
      </c>
      <c r="H45" s="76">
        <f t="shared" si="0"/>
        <v>25000</v>
      </c>
      <c r="I45" s="256"/>
      <c r="J45" s="256"/>
      <c r="K45" s="256"/>
      <c r="L45" s="256"/>
      <c r="M45" s="256"/>
      <c r="N45" s="259">
        <f>H45</f>
        <v>25000</v>
      </c>
    </row>
    <row r="46" spans="1:16" ht="15" customHeight="1" x14ac:dyDescent="0.2">
      <c r="A46" s="249">
        <v>2</v>
      </c>
      <c r="B46" s="147">
        <v>2</v>
      </c>
      <c r="C46" s="61">
        <v>55702</v>
      </c>
      <c r="D46" s="62" t="s">
        <v>348</v>
      </c>
      <c r="E46" s="80"/>
      <c r="F46" s="80"/>
      <c r="G46" s="76">
        <v>15000</v>
      </c>
      <c r="H46" s="76">
        <f t="shared" si="0"/>
        <v>15000</v>
      </c>
      <c r="I46" s="256"/>
      <c r="J46" s="256"/>
      <c r="K46" s="256"/>
      <c r="L46" s="256"/>
      <c r="M46" s="256"/>
      <c r="N46" s="259"/>
    </row>
    <row r="47" spans="1:16" ht="15" customHeight="1" x14ac:dyDescent="0.2">
      <c r="A47" s="249">
        <v>2</v>
      </c>
      <c r="B47" s="147">
        <v>2</v>
      </c>
      <c r="C47" s="61">
        <v>55703</v>
      </c>
      <c r="D47" s="62" t="s">
        <v>456</v>
      </c>
      <c r="E47" s="80"/>
      <c r="F47" s="80"/>
      <c r="G47" s="76">
        <v>40000</v>
      </c>
      <c r="H47" s="76">
        <f t="shared" si="0"/>
        <v>40000</v>
      </c>
      <c r="I47" s="256"/>
      <c r="J47" s="256"/>
      <c r="K47" s="256"/>
      <c r="L47" s="256"/>
      <c r="M47" s="256"/>
      <c r="N47" s="259"/>
    </row>
    <row r="48" spans="1:16" ht="15" customHeight="1" x14ac:dyDescent="0.2">
      <c r="A48" s="249">
        <v>2</v>
      </c>
      <c r="B48" s="147">
        <v>2</v>
      </c>
      <c r="C48" s="61">
        <v>56303</v>
      </c>
      <c r="D48" s="62" t="s">
        <v>391</v>
      </c>
      <c r="E48" s="80"/>
      <c r="F48" s="80"/>
      <c r="G48" s="76">
        <v>20000</v>
      </c>
      <c r="H48" s="76">
        <f t="shared" si="0"/>
        <v>20000</v>
      </c>
      <c r="I48" s="256"/>
      <c r="J48" s="256"/>
      <c r="K48" s="256"/>
      <c r="L48" s="256"/>
      <c r="M48" s="256"/>
      <c r="N48" s="259"/>
      <c r="P48" s="80"/>
    </row>
    <row r="49" spans="1:18" ht="15" customHeight="1" x14ac:dyDescent="0.2">
      <c r="A49" s="249">
        <v>2</v>
      </c>
      <c r="B49" s="147">
        <v>2</v>
      </c>
      <c r="C49" s="61">
        <v>56304</v>
      </c>
      <c r="D49" s="62" t="s">
        <v>392</v>
      </c>
      <c r="E49" s="80"/>
      <c r="F49" s="80"/>
      <c r="G49" s="76">
        <v>10000</v>
      </c>
      <c r="H49" s="76">
        <f t="shared" si="0"/>
        <v>10000</v>
      </c>
      <c r="I49" s="256"/>
      <c r="J49" s="256"/>
      <c r="K49" s="256"/>
      <c r="L49" s="256"/>
      <c r="M49" s="256"/>
      <c r="N49" s="259"/>
    </row>
    <row r="50" spans="1:18" ht="15" customHeight="1" x14ac:dyDescent="0.2">
      <c r="A50" s="249">
        <v>2</v>
      </c>
      <c r="B50" s="147">
        <v>2</v>
      </c>
      <c r="C50" s="61">
        <v>61101</v>
      </c>
      <c r="D50" s="62" t="s">
        <v>144</v>
      </c>
      <c r="E50" s="80"/>
      <c r="F50" s="76"/>
      <c r="G50" s="76">
        <v>2000</v>
      </c>
      <c r="H50" s="76">
        <f t="shared" si="0"/>
        <v>2000</v>
      </c>
      <c r="I50" s="256"/>
      <c r="J50" s="256"/>
      <c r="K50" s="256"/>
      <c r="L50" s="256"/>
      <c r="M50" s="256"/>
      <c r="N50" s="259"/>
    </row>
    <row r="51" spans="1:18" ht="15" customHeight="1" x14ac:dyDescent="0.2">
      <c r="A51" s="249">
        <v>2</v>
      </c>
      <c r="B51" s="147">
        <v>2</v>
      </c>
      <c r="C51" s="61">
        <v>61102</v>
      </c>
      <c r="D51" s="62" t="s">
        <v>28</v>
      </c>
      <c r="E51" s="80"/>
      <c r="F51" s="76"/>
      <c r="G51" s="76">
        <v>600</v>
      </c>
      <c r="H51" s="76">
        <f t="shared" si="0"/>
        <v>600</v>
      </c>
      <c r="I51" s="256"/>
      <c r="J51" s="256"/>
      <c r="K51" s="256"/>
      <c r="L51" s="256"/>
      <c r="M51" s="256"/>
      <c r="N51" s="259"/>
    </row>
    <row r="52" spans="1:18" ht="15" customHeight="1" x14ac:dyDescent="0.2">
      <c r="A52" s="249">
        <v>2</v>
      </c>
      <c r="B52" s="147">
        <v>2</v>
      </c>
      <c r="C52" s="61">
        <v>61104</v>
      </c>
      <c r="D52" s="62" t="s">
        <v>504</v>
      </c>
      <c r="E52" s="80"/>
      <c r="F52" s="76"/>
      <c r="G52" s="76">
        <v>1000</v>
      </c>
      <c r="H52" s="76">
        <f t="shared" si="0"/>
        <v>1000</v>
      </c>
      <c r="I52" s="256"/>
      <c r="J52" s="256"/>
      <c r="K52" s="256"/>
      <c r="L52" s="256"/>
      <c r="M52" s="256"/>
      <c r="N52" s="259"/>
    </row>
    <row r="53" spans="1:18" ht="15" customHeight="1" x14ac:dyDescent="0.2">
      <c r="A53" s="249">
        <v>2</v>
      </c>
      <c r="B53" s="147" t="s">
        <v>393</v>
      </c>
      <c r="C53" s="73"/>
      <c r="D53" s="73" t="s">
        <v>14</v>
      </c>
      <c r="E53" s="138">
        <f>SUM(E9:E52)</f>
        <v>0</v>
      </c>
      <c r="F53" s="138">
        <f>SUM(F9:F52)</f>
        <v>0</v>
      </c>
      <c r="G53" s="138">
        <f>SUM(G9:G52)</f>
        <v>905500.19</v>
      </c>
      <c r="H53" s="83">
        <f>+G53+E53</f>
        <v>905500.19</v>
      </c>
      <c r="I53" s="256">
        <f>SUM(I9:I52)</f>
        <v>0</v>
      </c>
      <c r="J53" s="256"/>
      <c r="K53" s="256"/>
      <c r="L53" s="256"/>
      <c r="M53" s="256"/>
      <c r="O53" s="258"/>
      <c r="P53" s="259"/>
    </row>
    <row r="54" spans="1:18" ht="15" customHeight="1" x14ac:dyDescent="0.2">
      <c r="A54" s="249" t="s">
        <v>387</v>
      </c>
      <c r="B54" s="147" t="s">
        <v>387</v>
      </c>
      <c r="C54" s="148"/>
      <c r="E54" s="260"/>
      <c r="F54" s="260"/>
      <c r="G54" s="260"/>
      <c r="H54" s="261"/>
      <c r="O54" s="258"/>
      <c r="P54" s="259"/>
      <c r="Q54" s="147" t="s">
        <v>590</v>
      </c>
      <c r="R54" s="259">
        <f>+H53-P54</f>
        <v>905500.19</v>
      </c>
    </row>
    <row r="55" spans="1:18" ht="15" customHeight="1" x14ac:dyDescent="0.2">
      <c r="A55" s="249" t="s">
        <v>387</v>
      </c>
      <c r="B55" s="147" t="s">
        <v>387</v>
      </c>
      <c r="C55" s="427"/>
      <c r="D55" s="427"/>
      <c r="E55" s="427"/>
      <c r="F55" s="427"/>
      <c r="G55" s="427"/>
      <c r="H55" s="427"/>
    </row>
    <row r="56" spans="1:18" ht="15" customHeight="1" x14ac:dyDescent="0.2">
      <c r="A56" s="249" t="s">
        <v>387</v>
      </c>
      <c r="B56" s="147" t="s">
        <v>387</v>
      </c>
      <c r="C56" s="427" t="s">
        <v>119</v>
      </c>
      <c r="D56" s="427"/>
      <c r="E56" s="427"/>
      <c r="F56" s="427"/>
      <c r="G56" s="427"/>
      <c r="H56" s="427"/>
    </row>
    <row r="57" spans="1:18" ht="15" customHeight="1" x14ac:dyDescent="0.2">
      <c r="A57" s="249" t="s">
        <v>387</v>
      </c>
      <c r="B57" s="147" t="s">
        <v>387</v>
      </c>
      <c r="C57" s="428" t="str">
        <f>C3</f>
        <v xml:space="preserve"> PRESUPUESTO AÑO 2024</v>
      </c>
      <c r="D57" s="428"/>
      <c r="E57" s="428"/>
      <c r="F57" s="428"/>
      <c r="G57" s="428"/>
      <c r="H57" s="428"/>
    </row>
    <row r="58" spans="1:18" ht="15" customHeight="1" x14ac:dyDescent="0.2">
      <c r="A58" s="249" t="s">
        <v>387</v>
      </c>
      <c r="B58" s="147" t="s">
        <v>387</v>
      </c>
      <c r="C58" s="428" t="str">
        <f>C4</f>
        <v>PRESUPUESTO EXTRA CONTABLE</v>
      </c>
      <c r="D58" s="428"/>
      <c r="E58" s="428"/>
      <c r="F58" s="428"/>
      <c r="G58" s="428"/>
      <c r="H58" s="428"/>
    </row>
    <row r="59" spans="1:18" ht="15" customHeight="1" x14ac:dyDescent="0.2">
      <c r="A59" s="249" t="s">
        <v>387</v>
      </c>
      <c r="B59" s="147" t="s">
        <v>387</v>
      </c>
      <c r="C59" s="427" t="s">
        <v>117</v>
      </c>
      <c r="D59" s="427"/>
      <c r="E59" s="427"/>
      <c r="F59" s="427"/>
      <c r="G59" s="427"/>
      <c r="H59" s="427"/>
    </row>
    <row r="60" spans="1:18" ht="15" customHeight="1" x14ac:dyDescent="0.2">
      <c r="A60" s="249" t="s">
        <v>387</v>
      </c>
      <c r="B60" s="147" t="s">
        <v>387</v>
      </c>
      <c r="C60" s="427" t="s">
        <v>279</v>
      </c>
      <c r="D60" s="427"/>
      <c r="E60" s="427"/>
      <c r="F60" s="427"/>
      <c r="G60" s="427"/>
      <c r="H60" s="427"/>
    </row>
    <row r="61" spans="1:18" ht="15" customHeight="1" x14ac:dyDescent="0.2">
      <c r="A61" s="249" t="s">
        <v>387</v>
      </c>
      <c r="B61" s="147" t="s">
        <v>387</v>
      </c>
      <c r="C61" s="435" t="s">
        <v>1</v>
      </c>
      <c r="D61" s="430" t="s">
        <v>0</v>
      </c>
      <c r="E61" s="255" t="s">
        <v>56</v>
      </c>
      <c r="F61" s="255" t="str">
        <f>F7</f>
        <v>REFORMA</v>
      </c>
      <c r="G61" s="255" t="s">
        <v>56</v>
      </c>
      <c r="H61" s="432" t="str">
        <f>+H7</f>
        <v>TOTAL 2024</v>
      </c>
      <c r="I61" s="153" t="s">
        <v>285</v>
      </c>
      <c r="J61" s="153"/>
      <c r="K61" s="153"/>
      <c r="L61" s="153"/>
      <c r="M61" s="153"/>
    </row>
    <row r="62" spans="1:18" ht="15" customHeight="1" x14ac:dyDescent="0.2">
      <c r="A62" s="249" t="s">
        <v>387</v>
      </c>
      <c r="B62" s="147" t="s">
        <v>387</v>
      </c>
      <c r="C62" s="436"/>
      <c r="D62" s="431"/>
      <c r="E62" s="255" t="s">
        <v>139</v>
      </c>
      <c r="F62" s="255"/>
      <c r="G62" s="255" t="s">
        <v>140</v>
      </c>
      <c r="H62" s="433"/>
      <c r="I62" s="153" t="s">
        <v>286</v>
      </c>
      <c r="J62" s="153" t="s">
        <v>290</v>
      </c>
      <c r="K62" s="153" t="s">
        <v>291</v>
      </c>
      <c r="L62" s="153" t="s">
        <v>293</v>
      </c>
      <c r="M62" s="153" t="s">
        <v>292</v>
      </c>
    </row>
    <row r="63" spans="1:18" ht="15" customHeight="1" x14ac:dyDescent="0.2">
      <c r="A63" s="249">
        <v>4</v>
      </c>
      <c r="B63" s="147">
        <v>4</v>
      </c>
      <c r="C63" s="61">
        <v>51101</v>
      </c>
      <c r="D63" s="73" t="s">
        <v>15</v>
      </c>
      <c r="E63" s="74"/>
      <c r="F63" s="74"/>
      <c r="G63" s="272">
        <v>95760</v>
      </c>
      <c r="H63" s="76">
        <f t="shared" ref="H63:H104" si="1">E63+F63+G63</f>
        <v>95760</v>
      </c>
      <c r="I63" s="256"/>
      <c r="J63" s="256"/>
      <c r="K63" s="256"/>
      <c r="L63" s="256"/>
      <c r="M63" s="256"/>
    </row>
    <row r="64" spans="1:18" ht="15" customHeight="1" x14ac:dyDescent="0.2">
      <c r="A64" s="249">
        <v>4</v>
      </c>
      <c r="B64" s="147">
        <v>4</v>
      </c>
      <c r="C64" s="61">
        <v>51103</v>
      </c>
      <c r="D64" s="73" t="s">
        <v>16</v>
      </c>
      <c r="E64" s="76"/>
      <c r="F64" s="76"/>
      <c r="G64" s="272">
        <v>7980</v>
      </c>
      <c r="H64" s="76">
        <f t="shared" si="1"/>
        <v>7980</v>
      </c>
      <c r="I64" s="256"/>
      <c r="J64" s="256"/>
      <c r="K64" s="256"/>
      <c r="L64" s="256"/>
      <c r="M64" s="256"/>
    </row>
    <row r="65" spans="1:15" ht="15" customHeight="1" x14ac:dyDescent="0.2">
      <c r="A65" s="249">
        <v>4</v>
      </c>
      <c r="B65" s="147">
        <v>4</v>
      </c>
      <c r="C65" s="61">
        <v>51107</v>
      </c>
      <c r="D65" s="73" t="s">
        <v>34</v>
      </c>
      <c r="E65" s="76"/>
      <c r="F65" s="76"/>
      <c r="G65" s="272">
        <v>2000</v>
      </c>
      <c r="H65" s="76">
        <f t="shared" si="1"/>
        <v>2000</v>
      </c>
      <c r="I65" s="256"/>
      <c r="J65" s="256"/>
      <c r="K65" s="256"/>
      <c r="L65" s="256"/>
      <c r="M65" s="256"/>
    </row>
    <row r="66" spans="1:15" ht="15" customHeight="1" x14ac:dyDescent="0.2">
      <c r="A66" s="249">
        <v>4</v>
      </c>
      <c r="B66" s="147">
        <v>4</v>
      </c>
      <c r="C66" s="61">
        <v>51401</v>
      </c>
      <c r="D66" s="62" t="s">
        <v>47</v>
      </c>
      <c r="E66" s="74"/>
      <c r="F66" s="74"/>
      <c r="G66" s="272">
        <v>8007.6</v>
      </c>
      <c r="H66" s="76">
        <f t="shared" si="1"/>
        <v>8007.6</v>
      </c>
      <c r="I66" s="256"/>
      <c r="J66" s="256"/>
      <c r="K66" s="256"/>
      <c r="L66" s="256"/>
      <c r="M66" s="256"/>
      <c r="N66" s="259"/>
      <c r="O66" s="257"/>
    </row>
    <row r="67" spans="1:15" ht="15" customHeight="1" x14ac:dyDescent="0.2">
      <c r="A67" s="249">
        <v>4</v>
      </c>
      <c r="B67" s="147">
        <v>4</v>
      </c>
      <c r="C67" s="61">
        <v>51501</v>
      </c>
      <c r="D67" s="73" t="s">
        <v>29</v>
      </c>
      <c r="E67" s="74"/>
      <c r="F67" s="74"/>
      <c r="G67" s="272">
        <v>7916.9999999999991</v>
      </c>
      <c r="H67" s="76">
        <f t="shared" si="1"/>
        <v>7916.9999999999991</v>
      </c>
      <c r="I67" s="256"/>
      <c r="J67" s="256"/>
      <c r="K67" s="256"/>
      <c r="L67" s="256"/>
      <c r="M67" s="256"/>
      <c r="N67" s="259"/>
    </row>
    <row r="68" spans="1:15" ht="15" customHeight="1" x14ac:dyDescent="0.2">
      <c r="A68" s="249">
        <v>4</v>
      </c>
      <c r="B68" s="147">
        <v>4</v>
      </c>
      <c r="C68" s="61">
        <v>51601</v>
      </c>
      <c r="D68" s="73" t="s">
        <v>313</v>
      </c>
      <c r="E68" s="74"/>
      <c r="F68" s="74"/>
      <c r="G68" s="76">
        <v>30000</v>
      </c>
      <c r="H68" s="76">
        <f t="shared" si="1"/>
        <v>30000</v>
      </c>
      <c r="I68" s="256"/>
      <c r="J68" s="256"/>
      <c r="K68" s="256"/>
      <c r="L68" s="256"/>
      <c r="M68" s="256"/>
      <c r="N68" s="259"/>
    </row>
    <row r="69" spans="1:15" ht="15" customHeight="1" x14ac:dyDescent="0.2">
      <c r="A69" s="249">
        <v>4</v>
      </c>
      <c r="B69" s="147">
        <v>4</v>
      </c>
      <c r="C69" s="61">
        <v>51901</v>
      </c>
      <c r="D69" s="73" t="s">
        <v>330</v>
      </c>
      <c r="E69" s="74"/>
      <c r="F69" s="74"/>
      <c r="G69" s="76">
        <v>19200</v>
      </c>
      <c r="H69" s="76">
        <f t="shared" si="1"/>
        <v>19200</v>
      </c>
      <c r="I69" s="256"/>
      <c r="J69" s="256"/>
      <c r="K69" s="256"/>
      <c r="L69" s="256"/>
      <c r="M69" s="256"/>
      <c r="N69" s="259"/>
    </row>
    <row r="70" spans="1:15" ht="15" customHeight="1" x14ac:dyDescent="0.2">
      <c r="A70" s="249">
        <v>4</v>
      </c>
      <c r="B70" s="147">
        <v>4</v>
      </c>
      <c r="C70" s="61">
        <v>54101</v>
      </c>
      <c r="D70" s="73" t="s">
        <v>38</v>
      </c>
      <c r="E70" s="74"/>
      <c r="F70" s="74"/>
      <c r="G70" s="76">
        <v>5000</v>
      </c>
      <c r="H70" s="76">
        <f t="shared" si="1"/>
        <v>5000</v>
      </c>
      <c r="I70" s="256"/>
      <c r="J70" s="256"/>
      <c r="K70" s="256"/>
      <c r="L70" s="256"/>
      <c r="M70" s="256"/>
    </row>
    <row r="71" spans="1:15" ht="15" customHeight="1" x14ac:dyDescent="0.2">
      <c r="A71" s="249">
        <v>4</v>
      </c>
      <c r="B71" s="147">
        <v>4</v>
      </c>
      <c r="C71" s="61">
        <v>54102</v>
      </c>
      <c r="D71" s="73" t="s">
        <v>37</v>
      </c>
      <c r="E71" s="74"/>
      <c r="F71" s="74"/>
      <c r="G71" s="76">
        <v>800</v>
      </c>
      <c r="H71" s="76">
        <f t="shared" si="1"/>
        <v>800</v>
      </c>
      <c r="I71" s="256"/>
      <c r="J71" s="256"/>
      <c r="K71" s="256"/>
      <c r="L71" s="256"/>
      <c r="M71" s="256"/>
    </row>
    <row r="72" spans="1:15" ht="15" customHeight="1" x14ac:dyDescent="0.2">
      <c r="A72" s="249">
        <v>4</v>
      </c>
      <c r="B72" s="147">
        <v>4</v>
      </c>
      <c r="C72" s="61">
        <v>54104</v>
      </c>
      <c r="D72" s="73" t="s">
        <v>17</v>
      </c>
      <c r="E72" s="74"/>
      <c r="F72" s="74"/>
      <c r="G72" s="76">
        <v>250</v>
      </c>
      <c r="H72" s="76">
        <f t="shared" si="1"/>
        <v>250</v>
      </c>
      <c r="I72" s="256"/>
      <c r="J72" s="256"/>
      <c r="K72" s="256"/>
      <c r="L72" s="256"/>
      <c r="M72" s="256"/>
    </row>
    <row r="73" spans="1:15" ht="15" customHeight="1" x14ac:dyDescent="0.2">
      <c r="A73" s="249">
        <v>4</v>
      </c>
      <c r="B73" s="147">
        <v>4</v>
      </c>
      <c r="C73" s="61">
        <v>54105</v>
      </c>
      <c r="D73" s="73" t="s">
        <v>3</v>
      </c>
      <c r="E73" s="74"/>
      <c r="F73" s="74"/>
      <c r="G73" s="76">
        <v>700</v>
      </c>
      <c r="H73" s="76">
        <f t="shared" si="1"/>
        <v>700</v>
      </c>
      <c r="I73" s="256"/>
      <c r="J73" s="256"/>
      <c r="K73" s="256"/>
      <c r="L73" s="256"/>
      <c r="M73" s="256"/>
    </row>
    <row r="74" spans="1:15" ht="15" customHeight="1" x14ac:dyDescent="0.2">
      <c r="A74" s="249">
        <v>4</v>
      </c>
      <c r="B74" s="147">
        <v>4</v>
      </c>
      <c r="C74" s="61">
        <v>54107</v>
      </c>
      <c r="D74" s="73" t="s">
        <v>4</v>
      </c>
      <c r="E74" s="74"/>
      <c r="F74" s="74"/>
      <c r="G74" s="76">
        <v>1000</v>
      </c>
      <c r="H74" s="76">
        <f t="shared" si="1"/>
        <v>1000</v>
      </c>
      <c r="I74" s="256"/>
      <c r="J74" s="256"/>
      <c r="K74" s="256"/>
      <c r="L74" s="256"/>
      <c r="M74" s="256"/>
    </row>
    <row r="75" spans="1:15" ht="15" customHeight="1" x14ac:dyDescent="0.2">
      <c r="A75" s="249">
        <v>4</v>
      </c>
      <c r="B75" s="147">
        <v>4</v>
      </c>
      <c r="C75" s="61">
        <v>54108</v>
      </c>
      <c r="D75" s="73" t="s">
        <v>627</v>
      </c>
      <c r="E75" s="74"/>
      <c r="F75" s="74"/>
      <c r="G75" s="76">
        <v>300</v>
      </c>
      <c r="H75" s="76">
        <f t="shared" si="1"/>
        <v>300</v>
      </c>
      <c r="I75" s="256"/>
      <c r="J75" s="256"/>
      <c r="K75" s="256"/>
      <c r="L75" s="256"/>
      <c r="M75" s="256"/>
    </row>
    <row r="76" spans="1:15" ht="15" customHeight="1" x14ac:dyDescent="0.2">
      <c r="A76" s="249">
        <v>4</v>
      </c>
      <c r="B76" s="147">
        <v>4</v>
      </c>
      <c r="C76" s="61">
        <v>54109</v>
      </c>
      <c r="D76" s="73" t="s">
        <v>19</v>
      </c>
      <c r="E76" s="74"/>
      <c r="F76" s="74"/>
      <c r="G76" s="76">
        <v>200</v>
      </c>
      <c r="H76" s="76">
        <f t="shared" si="1"/>
        <v>200</v>
      </c>
      <c r="I76" s="256"/>
      <c r="J76" s="256"/>
      <c r="K76" s="256"/>
      <c r="L76" s="256"/>
      <c r="M76" s="256"/>
    </row>
    <row r="77" spans="1:15" ht="15" customHeight="1" x14ac:dyDescent="0.2">
      <c r="A77" s="249">
        <v>4</v>
      </c>
      <c r="B77" s="147">
        <v>4</v>
      </c>
      <c r="C77" s="61">
        <v>54110</v>
      </c>
      <c r="D77" s="73" t="s">
        <v>147</v>
      </c>
      <c r="E77" s="74"/>
      <c r="F77" s="74"/>
      <c r="G77" s="76">
        <v>800</v>
      </c>
      <c r="H77" s="76">
        <f t="shared" si="1"/>
        <v>800</v>
      </c>
      <c r="I77" s="256"/>
      <c r="J77" s="256"/>
      <c r="K77" s="256"/>
      <c r="L77" s="256"/>
      <c r="M77" s="256"/>
    </row>
    <row r="78" spans="1:15" ht="15" customHeight="1" x14ac:dyDescent="0.2">
      <c r="A78" s="249">
        <v>4</v>
      </c>
      <c r="B78" s="147">
        <v>4</v>
      </c>
      <c r="C78" s="61">
        <v>54111</v>
      </c>
      <c r="D78" s="73" t="s">
        <v>162</v>
      </c>
      <c r="E78" s="74"/>
      <c r="F78" s="74"/>
      <c r="G78" s="76">
        <v>500</v>
      </c>
      <c r="H78" s="76">
        <f t="shared" si="1"/>
        <v>500</v>
      </c>
      <c r="I78" s="256"/>
      <c r="J78" s="256"/>
      <c r="K78" s="256"/>
      <c r="L78" s="256"/>
      <c r="M78" s="256"/>
    </row>
    <row r="79" spans="1:15" ht="15" customHeight="1" x14ac:dyDescent="0.2">
      <c r="A79" s="249">
        <v>4</v>
      </c>
      <c r="B79" s="147">
        <v>4</v>
      </c>
      <c r="C79" s="61">
        <v>54112</v>
      </c>
      <c r="D79" s="73" t="s">
        <v>42</v>
      </c>
      <c r="E79" s="74"/>
      <c r="F79" s="74"/>
      <c r="G79" s="76">
        <v>500</v>
      </c>
      <c r="H79" s="76">
        <f t="shared" si="1"/>
        <v>500</v>
      </c>
      <c r="I79" s="256"/>
      <c r="J79" s="256"/>
      <c r="K79" s="256"/>
      <c r="L79" s="256"/>
      <c r="M79" s="256"/>
    </row>
    <row r="80" spans="1:15" ht="15" customHeight="1" x14ac:dyDescent="0.2">
      <c r="A80" s="249">
        <v>4</v>
      </c>
      <c r="B80" s="147">
        <v>4</v>
      </c>
      <c r="C80" s="61">
        <v>54114</v>
      </c>
      <c r="D80" s="73" t="s">
        <v>5</v>
      </c>
      <c r="E80" s="74"/>
      <c r="F80" s="74"/>
      <c r="G80" s="76">
        <v>300</v>
      </c>
      <c r="H80" s="76">
        <f t="shared" si="1"/>
        <v>300</v>
      </c>
      <c r="I80" s="256"/>
      <c r="J80" s="256"/>
      <c r="K80" s="256"/>
      <c r="L80" s="256"/>
      <c r="M80" s="256"/>
    </row>
    <row r="81" spans="1:14" ht="15" customHeight="1" x14ac:dyDescent="0.2">
      <c r="A81" s="249">
        <v>4</v>
      </c>
      <c r="B81" s="147">
        <v>4</v>
      </c>
      <c r="C81" s="61">
        <v>54115</v>
      </c>
      <c r="D81" s="263" t="s">
        <v>49</v>
      </c>
      <c r="E81" s="74"/>
      <c r="F81" s="74"/>
      <c r="G81" s="76">
        <v>900</v>
      </c>
      <c r="H81" s="76">
        <f t="shared" si="1"/>
        <v>900</v>
      </c>
      <c r="I81" s="256"/>
      <c r="J81" s="256"/>
      <c r="K81" s="256"/>
      <c r="L81" s="256"/>
      <c r="M81" s="256"/>
    </row>
    <row r="82" spans="1:14" ht="15" customHeight="1" x14ac:dyDescent="0.2">
      <c r="A82" s="249">
        <v>4</v>
      </c>
      <c r="B82" s="147">
        <v>4</v>
      </c>
      <c r="C82" s="61">
        <v>54116</v>
      </c>
      <c r="D82" s="62" t="s">
        <v>155</v>
      </c>
      <c r="E82" s="74"/>
      <c r="F82" s="74"/>
      <c r="G82" s="76">
        <v>700</v>
      </c>
      <c r="H82" s="76">
        <f t="shared" si="1"/>
        <v>700</v>
      </c>
      <c r="I82" s="256"/>
      <c r="J82" s="256"/>
      <c r="K82" s="256"/>
      <c r="L82" s="256"/>
      <c r="M82" s="256"/>
    </row>
    <row r="83" spans="1:14" ht="15" customHeight="1" x14ac:dyDescent="0.2">
      <c r="A83" s="249">
        <v>4</v>
      </c>
      <c r="B83" s="147">
        <v>4</v>
      </c>
      <c r="C83" s="61">
        <v>54118</v>
      </c>
      <c r="D83" s="73" t="s">
        <v>35</v>
      </c>
      <c r="E83" s="74"/>
      <c r="F83" s="74"/>
      <c r="G83" s="76">
        <v>3200</v>
      </c>
      <c r="H83" s="76">
        <f t="shared" si="1"/>
        <v>3200</v>
      </c>
      <c r="I83" s="256"/>
      <c r="J83" s="256"/>
      <c r="K83" s="256"/>
      <c r="L83" s="256"/>
      <c r="M83" s="256"/>
    </row>
    <row r="84" spans="1:14" ht="15" customHeight="1" x14ac:dyDescent="0.2">
      <c r="A84" s="249">
        <v>4</v>
      </c>
      <c r="B84" s="147">
        <v>4</v>
      </c>
      <c r="C84" s="61">
        <v>54119</v>
      </c>
      <c r="D84" s="73" t="s">
        <v>44</v>
      </c>
      <c r="E84" s="74"/>
      <c r="F84" s="74"/>
      <c r="G84" s="76">
        <v>900</v>
      </c>
      <c r="H84" s="76">
        <f t="shared" si="1"/>
        <v>900</v>
      </c>
      <c r="I84" s="256"/>
      <c r="J84" s="256"/>
      <c r="K84" s="256"/>
      <c r="L84" s="256"/>
      <c r="M84" s="256"/>
    </row>
    <row r="85" spans="1:14" ht="15" customHeight="1" x14ac:dyDescent="0.2">
      <c r="A85" s="249">
        <v>4</v>
      </c>
      <c r="B85" s="147">
        <v>4</v>
      </c>
      <c r="C85" s="61">
        <v>54199</v>
      </c>
      <c r="D85" s="73" t="s">
        <v>26</v>
      </c>
      <c r="E85" s="74"/>
      <c r="F85" s="74"/>
      <c r="G85" s="76">
        <v>200</v>
      </c>
      <c r="H85" s="76">
        <f t="shared" si="1"/>
        <v>200</v>
      </c>
      <c r="I85" s="256"/>
      <c r="J85" s="256"/>
      <c r="K85" s="256"/>
      <c r="L85" s="256"/>
      <c r="M85" s="256"/>
      <c r="N85" s="259"/>
    </row>
    <row r="86" spans="1:14" ht="15" customHeight="1" x14ac:dyDescent="0.2">
      <c r="A86" s="249">
        <v>4</v>
      </c>
      <c r="B86" s="147">
        <v>4</v>
      </c>
      <c r="C86" s="61">
        <v>54203</v>
      </c>
      <c r="D86" s="62" t="s">
        <v>7</v>
      </c>
      <c r="E86" s="76"/>
      <c r="F86" s="76"/>
      <c r="G86" s="76">
        <v>300</v>
      </c>
      <c r="H86" s="76">
        <f t="shared" si="1"/>
        <v>300</v>
      </c>
      <c r="I86" s="256"/>
      <c r="J86" s="256"/>
      <c r="K86" s="256"/>
      <c r="L86" s="256"/>
      <c r="M86" s="256"/>
      <c r="N86" s="259"/>
    </row>
    <row r="87" spans="1:14" ht="15" customHeight="1" x14ac:dyDescent="0.2">
      <c r="A87" s="249">
        <v>4</v>
      </c>
      <c r="B87" s="147">
        <v>4</v>
      </c>
      <c r="C87" s="61">
        <v>54204</v>
      </c>
      <c r="D87" s="73" t="s">
        <v>32</v>
      </c>
      <c r="E87" s="76"/>
      <c r="F87" s="76"/>
      <c r="G87" s="76">
        <v>300</v>
      </c>
      <c r="H87" s="76">
        <f t="shared" si="1"/>
        <v>300</v>
      </c>
      <c r="I87" s="256"/>
      <c r="J87" s="256"/>
      <c r="K87" s="256"/>
      <c r="L87" s="256"/>
      <c r="M87" s="256"/>
      <c r="N87" s="259"/>
    </row>
    <row r="88" spans="1:14" ht="15" customHeight="1" x14ac:dyDescent="0.2">
      <c r="A88" s="249">
        <v>4</v>
      </c>
      <c r="B88" s="147">
        <v>4</v>
      </c>
      <c r="C88" s="61">
        <v>54301</v>
      </c>
      <c r="D88" s="73" t="s">
        <v>158</v>
      </c>
      <c r="E88" s="76"/>
      <c r="F88" s="76"/>
      <c r="G88" s="76">
        <v>300</v>
      </c>
      <c r="H88" s="76">
        <f t="shared" si="1"/>
        <v>300</v>
      </c>
      <c r="I88" s="256"/>
      <c r="J88" s="256"/>
      <c r="K88" s="256"/>
      <c r="L88" s="256"/>
      <c r="M88" s="256"/>
      <c r="N88" s="259"/>
    </row>
    <row r="89" spans="1:14" ht="15" customHeight="1" x14ac:dyDescent="0.2">
      <c r="A89" s="249">
        <v>4</v>
      </c>
      <c r="B89" s="147">
        <v>4</v>
      </c>
      <c r="C89" s="61">
        <v>54302</v>
      </c>
      <c r="D89" s="62" t="s">
        <v>22</v>
      </c>
      <c r="E89" s="74"/>
      <c r="F89" s="74"/>
      <c r="G89" s="76">
        <v>700</v>
      </c>
      <c r="H89" s="76">
        <f t="shared" si="1"/>
        <v>700</v>
      </c>
      <c r="I89" s="256"/>
      <c r="J89" s="256"/>
      <c r="K89" s="256"/>
      <c r="L89" s="256"/>
      <c r="M89" s="256"/>
    </row>
    <row r="90" spans="1:14" ht="15" customHeight="1" x14ac:dyDescent="0.2">
      <c r="A90" s="249">
        <v>4</v>
      </c>
      <c r="B90" s="147">
        <v>4</v>
      </c>
      <c r="C90" s="61">
        <v>54303</v>
      </c>
      <c r="D90" s="62" t="s">
        <v>628</v>
      </c>
      <c r="E90" s="74"/>
      <c r="F90" s="74"/>
      <c r="G90" s="76">
        <v>200</v>
      </c>
      <c r="H90" s="76">
        <f t="shared" si="1"/>
        <v>200</v>
      </c>
      <c r="I90" s="256"/>
      <c r="J90" s="256"/>
      <c r="K90" s="256"/>
      <c r="L90" s="256"/>
      <c r="M90" s="256"/>
    </row>
    <row r="91" spans="1:14" ht="15" customHeight="1" x14ac:dyDescent="0.2">
      <c r="A91" s="249">
        <v>4</v>
      </c>
      <c r="B91" s="147">
        <v>4</v>
      </c>
      <c r="C91" s="61">
        <v>54305</v>
      </c>
      <c r="D91" s="62" t="s">
        <v>33</v>
      </c>
      <c r="E91" s="74"/>
      <c r="F91" s="74"/>
      <c r="G91" s="76">
        <v>5000</v>
      </c>
      <c r="H91" s="76">
        <f t="shared" si="1"/>
        <v>5000</v>
      </c>
      <c r="I91" s="256"/>
      <c r="J91" s="256"/>
      <c r="K91" s="256"/>
      <c r="L91" s="256"/>
      <c r="M91" s="256"/>
    </row>
    <row r="92" spans="1:14" ht="15" customHeight="1" x14ac:dyDescent="0.2">
      <c r="A92" s="249">
        <v>4</v>
      </c>
      <c r="B92" s="147">
        <v>4</v>
      </c>
      <c r="C92" s="61">
        <v>54307</v>
      </c>
      <c r="D92" s="62" t="s">
        <v>10</v>
      </c>
      <c r="E92" s="74"/>
      <c r="F92" s="74"/>
      <c r="G92" s="76">
        <v>0</v>
      </c>
      <c r="H92" s="76">
        <f t="shared" si="1"/>
        <v>0</v>
      </c>
      <c r="I92" s="256"/>
      <c r="J92" s="256"/>
      <c r="K92" s="256"/>
      <c r="L92" s="256"/>
      <c r="M92" s="256"/>
    </row>
    <row r="93" spans="1:14" ht="15" customHeight="1" x14ac:dyDescent="0.2">
      <c r="A93" s="249">
        <v>4</v>
      </c>
      <c r="B93" s="147">
        <v>4</v>
      </c>
      <c r="C93" s="61">
        <v>54313</v>
      </c>
      <c r="D93" s="62" t="s">
        <v>11</v>
      </c>
      <c r="E93" s="74"/>
      <c r="F93" s="74"/>
      <c r="G93" s="76">
        <v>800</v>
      </c>
      <c r="H93" s="76">
        <f t="shared" si="1"/>
        <v>800</v>
      </c>
      <c r="I93" s="256"/>
      <c r="J93" s="256"/>
      <c r="K93" s="256"/>
      <c r="L93" s="256"/>
      <c r="M93" s="256"/>
    </row>
    <row r="94" spans="1:14" ht="15" customHeight="1" x14ac:dyDescent="0.2">
      <c r="A94" s="249">
        <v>4</v>
      </c>
      <c r="B94" s="147">
        <v>4</v>
      </c>
      <c r="C94" s="61">
        <v>54314</v>
      </c>
      <c r="D94" s="62" t="s">
        <v>505</v>
      </c>
      <c r="E94" s="74"/>
      <c r="F94" s="74"/>
      <c r="G94" s="76">
        <v>1100</v>
      </c>
      <c r="H94" s="76">
        <f t="shared" si="1"/>
        <v>1100</v>
      </c>
      <c r="I94" s="256"/>
      <c r="J94" s="256"/>
      <c r="K94" s="256"/>
      <c r="L94" s="256"/>
      <c r="M94" s="256"/>
    </row>
    <row r="95" spans="1:14" ht="15" customHeight="1" x14ac:dyDescent="0.2">
      <c r="A95" s="249">
        <v>4</v>
      </c>
      <c r="B95" s="147">
        <v>4</v>
      </c>
      <c r="C95" s="61">
        <v>54316</v>
      </c>
      <c r="D95" s="62" t="s">
        <v>45</v>
      </c>
      <c r="E95" s="74"/>
      <c r="F95" s="74"/>
      <c r="G95" s="76">
        <v>1000</v>
      </c>
      <c r="H95" s="76">
        <f t="shared" si="1"/>
        <v>1000</v>
      </c>
      <c r="I95" s="256"/>
      <c r="J95" s="256"/>
      <c r="K95" s="256"/>
      <c r="L95" s="256"/>
      <c r="M95" s="256"/>
    </row>
    <row r="96" spans="1:14" ht="15" customHeight="1" x14ac:dyDescent="0.2">
      <c r="A96" s="249">
        <v>4</v>
      </c>
      <c r="B96" s="147">
        <v>4</v>
      </c>
      <c r="C96" s="61">
        <v>54399</v>
      </c>
      <c r="D96" s="62" t="s">
        <v>629</v>
      </c>
      <c r="E96" s="74"/>
      <c r="F96" s="74"/>
      <c r="G96" s="76">
        <v>1000</v>
      </c>
      <c r="H96" s="76">
        <f t="shared" si="1"/>
        <v>1000</v>
      </c>
      <c r="I96" s="256"/>
      <c r="J96" s="256"/>
      <c r="K96" s="256"/>
      <c r="L96" s="256"/>
      <c r="M96" s="256"/>
    </row>
    <row r="97" spans="1:18" ht="15" customHeight="1" x14ac:dyDescent="0.2">
      <c r="A97" s="249">
        <v>4</v>
      </c>
      <c r="B97" s="147">
        <v>4</v>
      </c>
      <c r="C97" s="61">
        <v>54401</v>
      </c>
      <c r="D97" s="62" t="s">
        <v>143</v>
      </c>
      <c r="E97" s="74"/>
      <c r="F97" s="74"/>
      <c r="G97" s="76">
        <v>500</v>
      </c>
      <c r="H97" s="76">
        <f t="shared" si="1"/>
        <v>500</v>
      </c>
      <c r="I97" s="256"/>
      <c r="J97" s="256"/>
      <c r="K97" s="256"/>
      <c r="L97" s="256"/>
      <c r="M97" s="256"/>
    </row>
    <row r="98" spans="1:18" ht="15" customHeight="1" x14ac:dyDescent="0.2">
      <c r="A98" s="249">
        <v>4</v>
      </c>
      <c r="B98" s="147">
        <v>4</v>
      </c>
      <c r="C98" s="61">
        <v>54402</v>
      </c>
      <c r="D98" s="62" t="s">
        <v>184</v>
      </c>
      <c r="E98" s="74"/>
      <c r="F98" s="74"/>
      <c r="G98" s="76">
        <v>7000</v>
      </c>
      <c r="H98" s="76">
        <f t="shared" si="1"/>
        <v>7000</v>
      </c>
      <c r="I98" s="256"/>
      <c r="J98" s="256"/>
      <c r="K98" s="256"/>
      <c r="L98" s="256"/>
      <c r="M98" s="256"/>
      <c r="N98" s="259"/>
    </row>
    <row r="99" spans="1:18" ht="15" customHeight="1" x14ac:dyDescent="0.2">
      <c r="A99" s="249">
        <v>4</v>
      </c>
      <c r="B99" s="147">
        <v>4</v>
      </c>
      <c r="C99" s="61">
        <v>56304</v>
      </c>
      <c r="D99" s="73" t="s">
        <v>435</v>
      </c>
      <c r="E99" s="74"/>
      <c r="F99" s="74"/>
      <c r="G99" s="76">
        <v>8000</v>
      </c>
      <c r="H99" s="76">
        <f t="shared" si="1"/>
        <v>8000</v>
      </c>
      <c r="I99" s="256"/>
      <c r="J99" s="256"/>
      <c r="K99" s="256"/>
      <c r="L99" s="256"/>
      <c r="M99" s="256"/>
      <c r="N99" s="259"/>
    </row>
    <row r="100" spans="1:18" ht="15" customHeight="1" x14ac:dyDescent="0.2">
      <c r="A100" s="249">
        <v>4</v>
      </c>
      <c r="B100" s="147">
        <v>4</v>
      </c>
      <c r="C100" s="61">
        <v>54504</v>
      </c>
      <c r="D100" s="62" t="s">
        <v>457</v>
      </c>
      <c r="E100" s="74"/>
      <c r="F100" s="74"/>
      <c r="G100" s="76">
        <v>0</v>
      </c>
      <c r="H100" s="76">
        <f>E100+F100+G100</f>
        <v>0</v>
      </c>
      <c r="I100" s="256"/>
      <c r="J100" s="256"/>
      <c r="K100" s="256"/>
      <c r="L100" s="256"/>
      <c r="M100" s="256"/>
      <c r="N100" s="259"/>
    </row>
    <row r="101" spans="1:18" ht="15" customHeight="1" x14ac:dyDescent="0.2">
      <c r="A101" s="249">
        <v>4</v>
      </c>
      <c r="B101" s="147">
        <v>4</v>
      </c>
      <c r="C101" s="61">
        <v>61101</v>
      </c>
      <c r="D101" s="73" t="s">
        <v>144</v>
      </c>
      <c r="E101" s="74"/>
      <c r="F101" s="74"/>
      <c r="G101" s="74">
        <v>1000</v>
      </c>
      <c r="H101" s="76">
        <f t="shared" si="1"/>
        <v>1000</v>
      </c>
      <c r="I101" s="256"/>
      <c r="J101" s="256"/>
      <c r="K101" s="256"/>
      <c r="L101" s="256"/>
      <c r="M101" s="256"/>
    </row>
    <row r="102" spans="1:18" ht="15" customHeight="1" x14ac:dyDescent="0.2">
      <c r="A102" s="249">
        <v>4</v>
      </c>
      <c r="B102" s="147">
        <v>4</v>
      </c>
      <c r="C102" s="61">
        <v>61102</v>
      </c>
      <c r="D102" s="62" t="s">
        <v>28</v>
      </c>
      <c r="E102" s="74"/>
      <c r="F102" s="74"/>
      <c r="G102" s="76">
        <v>500</v>
      </c>
      <c r="H102" s="76">
        <f t="shared" si="1"/>
        <v>500</v>
      </c>
      <c r="I102" s="256"/>
      <c r="J102" s="256"/>
      <c r="K102" s="256"/>
      <c r="L102" s="256"/>
      <c r="M102" s="256"/>
    </row>
    <row r="103" spans="1:18" ht="15" customHeight="1" x14ac:dyDescent="0.2">
      <c r="A103" s="249">
        <v>4</v>
      </c>
      <c r="B103" s="147">
        <v>4</v>
      </c>
      <c r="C103" s="61">
        <v>61108</v>
      </c>
      <c r="D103" s="62" t="s">
        <v>436</v>
      </c>
      <c r="E103" s="74"/>
      <c r="F103" s="74"/>
      <c r="G103" s="76">
        <v>0</v>
      </c>
      <c r="H103" s="76">
        <f t="shared" si="1"/>
        <v>0</v>
      </c>
      <c r="I103" s="256"/>
      <c r="J103" s="256"/>
      <c r="K103" s="256"/>
      <c r="L103" s="256"/>
      <c r="M103" s="256"/>
    </row>
    <row r="104" spans="1:18" ht="15" customHeight="1" x14ac:dyDescent="0.2">
      <c r="A104" s="249">
        <v>4</v>
      </c>
      <c r="B104" s="147" t="s">
        <v>394</v>
      </c>
      <c r="C104" s="61"/>
      <c r="D104" s="61" t="s">
        <v>14</v>
      </c>
      <c r="E104" s="138">
        <f>SUM(E63:E103)</f>
        <v>0</v>
      </c>
      <c r="F104" s="138">
        <f>SUM(F63:F103)</f>
        <v>0</v>
      </c>
      <c r="G104" s="138">
        <f>SUM(G63:G103)</f>
        <v>214814.6</v>
      </c>
      <c r="H104" s="83">
        <f t="shared" si="1"/>
        <v>214814.6</v>
      </c>
      <c r="I104" s="256"/>
      <c r="J104" s="256"/>
      <c r="K104" s="256"/>
      <c r="L104" s="256"/>
      <c r="M104" s="256"/>
      <c r="O104" s="258"/>
      <c r="P104" s="259"/>
    </row>
    <row r="105" spans="1:18" ht="15" customHeight="1" x14ac:dyDescent="0.2">
      <c r="A105" s="249" t="s">
        <v>387</v>
      </c>
      <c r="B105" s="147" t="s">
        <v>387</v>
      </c>
      <c r="C105" s="148"/>
      <c r="D105" s="148"/>
      <c r="E105" s="260"/>
      <c r="F105" s="260"/>
      <c r="G105" s="260"/>
      <c r="H105" s="261"/>
      <c r="O105" s="258"/>
      <c r="P105" s="259"/>
      <c r="Q105" s="147" t="s">
        <v>590</v>
      </c>
      <c r="R105" s="259">
        <f>+H104-P105</f>
        <v>214814.6</v>
      </c>
    </row>
    <row r="106" spans="1:18" ht="15" customHeight="1" x14ac:dyDescent="0.2">
      <c r="A106" s="249" t="s">
        <v>387</v>
      </c>
      <c r="B106" s="147" t="s">
        <v>387</v>
      </c>
      <c r="C106" s="148"/>
      <c r="D106" s="148"/>
      <c r="E106" s="260"/>
      <c r="F106" s="260"/>
      <c r="G106" s="260"/>
      <c r="H106" s="261"/>
    </row>
    <row r="107" spans="1:18" ht="15" customHeight="1" x14ac:dyDescent="0.2">
      <c r="A107" s="249" t="s">
        <v>387</v>
      </c>
      <c r="B107" s="147" t="s">
        <v>387</v>
      </c>
      <c r="C107" s="364"/>
      <c r="D107" s="365"/>
      <c r="E107" s="366"/>
      <c r="F107" s="366"/>
      <c r="G107" s="367"/>
      <c r="H107" s="366"/>
    </row>
    <row r="108" spans="1:18" ht="15" customHeight="1" x14ac:dyDescent="0.2">
      <c r="A108" s="249" t="s">
        <v>387</v>
      </c>
      <c r="B108" s="147" t="s">
        <v>387</v>
      </c>
      <c r="C108" s="427" t="s">
        <v>119</v>
      </c>
      <c r="D108" s="427"/>
      <c r="E108" s="427"/>
      <c r="F108" s="427"/>
      <c r="G108" s="427"/>
      <c r="H108" s="427"/>
    </row>
    <row r="109" spans="1:18" ht="15" customHeight="1" x14ac:dyDescent="0.2">
      <c r="A109" s="249" t="s">
        <v>387</v>
      </c>
      <c r="B109" s="147" t="s">
        <v>387</v>
      </c>
      <c r="C109" s="428" t="str">
        <f>C3</f>
        <v xml:space="preserve"> PRESUPUESTO AÑO 2024</v>
      </c>
      <c r="D109" s="428"/>
      <c r="E109" s="428"/>
      <c r="F109" s="428"/>
      <c r="G109" s="428"/>
      <c r="H109" s="428"/>
    </row>
    <row r="110" spans="1:18" ht="15" customHeight="1" x14ac:dyDescent="0.2">
      <c r="A110" s="249" t="s">
        <v>387</v>
      </c>
      <c r="B110" s="147" t="s">
        <v>387</v>
      </c>
      <c r="C110" s="428" t="str">
        <f>C4</f>
        <v>PRESUPUESTO EXTRA CONTABLE</v>
      </c>
      <c r="D110" s="428"/>
      <c r="E110" s="428"/>
      <c r="F110" s="428"/>
      <c r="G110" s="428"/>
      <c r="H110" s="428"/>
    </row>
    <row r="111" spans="1:18" ht="15" customHeight="1" x14ac:dyDescent="0.2">
      <c r="A111" s="249" t="s">
        <v>387</v>
      </c>
      <c r="B111" s="147" t="s">
        <v>387</v>
      </c>
      <c r="C111" s="427" t="s">
        <v>118</v>
      </c>
      <c r="D111" s="427"/>
      <c r="E111" s="427"/>
      <c r="F111" s="427"/>
      <c r="G111" s="427"/>
      <c r="H111" s="427"/>
    </row>
    <row r="112" spans="1:18" ht="15" customHeight="1" x14ac:dyDescent="0.2">
      <c r="A112" s="249" t="s">
        <v>387</v>
      </c>
      <c r="B112" s="147" t="s">
        <v>387</v>
      </c>
      <c r="C112" s="427" t="s">
        <v>761</v>
      </c>
      <c r="D112" s="427"/>
      <c r="E112" s="427"/>
      <c r="F112" s="427"/>
      <c r="G112" s="427"/>
      <c r="H112" s="427"/>
    </row>
    <row r="113" spans="1:15" ht="15" customHeight="1" x14ac:dyDescent="0.2">
      <c r="A113" s="249" t="s">
        <v>387</v>
      </c>
      <c r="B113" s="147" t="s">
        <v>387</v>
      </c>
      <c r="C113" s="434" t="s">
        <v>1</v>
      </c>
      <c r="D113" s="430" t="s">
        <v>0</v>
      </c>
      <c r="E113" s="255" t="s">
        <v>56</v>
      </c>
      <c r="F113" s="255" t="s">
        <v>376</v>
      </c>
      <c r="G113" s="255" t="s">
        <v>56</v>
      </c>
      <c r="H113" s="432" t="str">
        <f>+H7</f>
        <v>TOTAL 2024</v>
      </c>
    </row>
    <row r="114" spans="1:15" ht="15" customHeight="1" x14ac:dyDescent="0.2">
      <c r="A114" s="249" t="s">
        <v>387</v>
      </c>
      <c r="B114" s="147" t="s">
        <v>387</v>
      </c>
      <c r="C114" s="434"/>
      <c r="D114" s="431"/>
      <c r="E114" s="255" t="s">
        <v>139</v>
      </c>
      <c r="F114" s="255"/>
      <c r="G114" s="255" t="s">
        <v>140</v>
      </c>
      <c r="H114" s="433"/>
    </row>
    <row r="115" spans="1:15" ht="15" customHeight="1" x14ac:dyDescent="0.2">
      <c r="A115" s="249">
        <v>4</v>
      </c>
      <c r="B115" s="147" t="s">
        <v>422</v>
      </c>
      <c r="C115" s="61">
        <v>51101</v>
      </c>
      <c r="D115" s="73" t="s">
        <v>15</v>
      </c>
      <c r="E115" s="264"/>
      <c r="F115" s="264"/>
      <c r="G115" s="272">
        <v>6600</v>
      </c>
      <c r="H115" s="76">
        <f t="shared" ref="H115:H140" si="2">E115+F115+G115</f>
        <v>6600</v>
      </c>
    </row>
    <row r="116" spans="1:15" ht="15" customHeight="1" x14ac:dyDescent="0.2">
      <c r="A116" s="249">
        <v>4</v>
      </c>
      <c r="B116" s="147" t="s">
        <v>422</v>
      </c>
      <c r="C116" s="61">
        <v>51103</v>
      </c>
      <c r="D116" s="73" t="s">
        <v>16</v>
      </c>
      <c r="E116" s="264"/>
      <c r="F116" s="264"/>
      <c r="G116" s="272">
        <v>550</v>
      </c>
      <c r="H116" s="76">
        <f t="shared" si="2"/>
        <v>550</v>
      </c>
    </row>
    <row r="117" spans="1:15" ht="15" customHeight="1" x14ac:dyDescent="0.2">
      <c r="A117" s="249">
        <v>4</v>
      </c>
      <c r="B117" s="147" t="s">
        <v>422</v>
      </c>
      <c r="C117" s="61">
        <v>51107</v>
      </c>
      <c r="D117" s="73" t="s">
        <v>34</v>
      </c>
      <c r="E117" s="264"/>
      <c r="F117" s="264"/>
      <c r="G117" s="272">
        <v>200</v>
      </c>
      <c r="H117" s="76">
        <f t="shared" si="2"/>
        <v>200</v>
      </c>
    </row>
    <row r="118" spans="1:15" ht="15" customHeight="1" x14ac:dyDescent="0.2">
      <c r="A118" s="249">
        <v>4</v>
      </c>
      <c r="B118" s="147" t="s">
        <v>422</v>
      </c>
      <c r="C118" s="61">
        <v>51401</v>
      </c>
      <c r="D118" s="62" t="s">
        <v>47</v>
      </c>
      <c r="E118" s="264"/>
      <c r="F118" s="264"/>
      <c r="G118" s="272">
        <v>561</v>
      </c>
      <c r="H118" s="76">
        <f t="shared" si="2"/>
        <v>561</v>
      </c>
      <c r="O118" s="257"/>
    </row>
    <row r="119" spans="1:15" ht="15" customHeight="1" x14ac:dyDescent="0.2">
      <c r="A119" s="249">
        <v>4</v>
      </c>
      <c r="B119" s="147" t="s">
        <v>422</v>
      </c>
      <c r="C119" s="61">
        <v>51501</v>
      </c>
      <c r="D119" s="73" t="s">
        <v>29</v>
      </c>
      <c r="E119" s="264"/>
      <c r="F119" s="264"/>
      <c r="G119" s="272">
        <v>577.5</v>
      </c>
      <c r="H119" s="76">
        <f t="shared" si="2"/>
        <v>577.5</v>
      </c>
    </row>
    <row r="120" spans="1:15" ht="15" customHeight="1" x14ac:dyDescent="0.2">
      <c r="A120" s="249">
        <v>4</v>
      </c>
      <c r="B120" s="147" t="s">
        <v>422</v>
      </c>
      <c r="C120" s="61">
        <v>54101</v>
      </c>
      <c r="D120" s="73" t="s">
        <v>38</v>
      </c>
      <c r="E120" s="264"/>
      <c r="F120" s="264"/>
      <c r="G120" s="76">
        <v>400</v>
      </c>
      <c r="H120" s="76">
        <f t="shared" si="2"/>
        <v>400</v>
      </c>
    </row>
    <row r="121" spans="1:15" ht="15" customHeight="1" x14ac:dyDescent="0.2">
      <c r="A121" s="249">
        <v>4</v>
      </c>
      <c r="B121" s="147" t="s">
        <v>422</v>
      </c>
      <c r="C121" s="61">
        <v>54104</v>
      </c>
      <c r="D121" s="73" t="s">
        <v>17</v>
      </c>
      <c r="E121" s="264"/>
      <c r="F121" s="264"/>
      <c r="G121" s="76">
        <v>100</v>
      </c>
      <c r="H121" s="76">
        <f t="shared" si="2"/>
        <v>100</v>
      </c>
    </row>
    <row r="122" spans="1:15" ht="15" customHeight="1" x14ac:dyDescent="0.2">
      <c r="A122" s="249">
        <v>4</v>
      </c>
      <c r="B122" s="147" t="s">
        <v>422</v>
      </c>
      <c r="C122" s="61">
        <v>54105</v>
      </c>
      <c r="D122" s="73" t="s">
        <v>426</v>
      </c>
      <c r="E122" s="74"/>
      <c r="F122" s="74"/>
      <c r="G122" s="76">
        <v>1500</v>
      </c>
      <c r="H122" s="76">
        <f t="shared" si="2"/>
        <v>1500</v>
      </c>
    </row>
    <row r="123" spans="1:15" ht="15" customHeight="1" x14ac:dyDescent="0.2">
      <c r="A123" s="249">
        <v>4</v>
      </c>
      <c r="B123" s="147" t="s">
        <v>422</v>
      </c>
      <c r="C123" s="61" t="s">
        <v>580</v>
      </c>
      <c r="D123" s="263" t="s">
        <v>43</v>
      </c>
      <c r="E123" s="74"/>
      <c r="F123" s="74"/>
      <c r="G123" s="76">
        <v>100</v>
      </c>
      <c r="H123" s="76">
        <f t="shared" si="2"/>
        <v>100</v>
      </c>
    </row>
    <row r="124" spans="1:15" ht="15" customHeight="1" x14ac:dyDescent="0.2">
      <c r="A124" s="249">
        <v>4</v>
      </c>
      <c r="B124" s="147" t="s">
        <v>422</v>
      </c>
      <c r="C124" s="61">
        <v>54111</v>
      </c>
      <c r="D124" s="263" t="s">
        <v>162</v>
      </c>
      <c r="E124" s="74"/>
      <c r="F124" s="74"/>
      <c r="G124" s="76">
        <v>300</v>
      </c>
      <c r="H124" s="76">
        <f t="shared" si="2"/>
        <v>300</v>
      </c>
    </row>
    <row r="125" spans="1:15" ht="15" customHeight="1" x14ac:dyDescent="0.2">
      <c r="A125" s="249">
        <v>4</v>
      </c>
      <c r="B125" s="147" t="s">
        <v>422</v>
      </c>
      <c r="C125" s="61">
        <v>54112</v>
      </c>
      <c r="D125" s="263" t="s">
        <v>42</v>
      </c>
      <c r="E125" s="74"/>
      <c r="F125" s="74"/>
      <c r="G125" s="76">
        <v>200</v>
      </c>
      <c r="H125" s="76">
        <f t="shared" si="2"/>
        <v>200</v>
      </c>
    </row>
    <row r="126" spans="1:15" ht="15" customHeight="1" x14ac:dyDescent="0.2">
      <c r="A126" s="249">
        <v>4</v>
      </c>
      <c r="B126" s="147" t="s">
        <v>422</v>
      </c>
      <c r="C126" s="61">
        <v>54114</v>
      </c>
      <c r="D126" s="263" t="s">
        <v>5</v>
      </c>
      <c r="E126" s="74"/>
      <c r="F126" s="74"/>
      <c r="G126" s="76">
        <v>400</v>
      </c>
      <c r="H126" s="76">
        <f t="shared" si="2"/>
        <v>400</v>
      </c>
    </row>
    <row r="127" spans="1:15" ht="15" customHeight="1" x14ac:dyDescent="0.2">
      <c r="A127" s="249">
        <v>4</v>
      </c>
      <c r="B127" s="147" t="s">
        <v>422</v>
      </c>
      <c r="C127" s="61">
        <v>54115</v>
      </c>
      <c r="D127" s="263" t="s">
        <v>49</v>
      </c>
      <c r="E127" s="74"/>
      <c r="F127" s="74"/>
      <c r="G127" s="76">
        <v>500</v>
      </c>
      <c r="H127" s="76">
        <f t="shared" si="2"/>
        <v>500</v>
      </c>
    </row>
    <row r="128" spans="1:15" ht="15" customHeight="1" x14ac:dyDescent="0.2">
      <c r="A128" s="249">
        <v>4</v>
      </c>
      <c r="B128" s="147" t="s">
        <v>422</v>
      </c>
      <c r="C128" s="265">
        <v>54116</v>
      </c>
      <c r="D128" s="263" t="s">
        <v>155</v>
      </c>
      <c r="E128" s="74"/>
      <c r="F128" s="74"/>
      <c r="G128" s="76">
        <v>100</v>
      </c>
      <c r="H128" s="76">
        <f t="shared" si="2"/>
        <v>100</v>
      </c>
    </row>
    <row r="129" spans="1:18" ht="15" customHeight="1" x14ac:dyDescent="0.2">
      <c r="A129" s="249">
        <v>4</v>
      </c>
      <c r="B129" s="147" t="s">
        <v>422</v>
      </c>
      <c r="C129" s="265">
        <v>54118</v>
      </c>
      <c r="D129" s="263" t="s">
        <v>35</v>
      </c>
      <c r="E129" s="74"/>
      <c r="F129" s="74"/>
      <c r="G129" s="76">
        <v>150</v>
      </c>
      <c r="H129" s="76">
        <f t="shared" si="2"/>
        <v>150</v>
      </c>
    </row>
    <row r="130" spans="1:18" ht="15" customHeight="1" x14ac:dyDescent="0.2">
      <c r="A130" s="249">
        <v>4</v>
      </c>
      <c r="B130" s="147" t="s">
        <v>422</v>
      </c>
      <c r="C130" s="265">
        <v>54119</v>
      </c>
      <c r="D130" s="266" t="s">
        <v>44</v>
      </c>
      <c r="E130" s="74"/>
      <c r="F130" s="74"/>
      <c r="G130" s="76">
        <v>150</v>
      </c>
      <c r="H130" s="76">
        <f t="shared" si="2"/>
        <v>150</v>
      </c>
    </row>
    <row r="131" spans="1:18" ht="15" customHeight="1" x14ac:dyDescent="0.2">
      <c r="A131" s="249">
        <v>4</v>
      </c>
      <c r="B131" s="147" t="s">
        <v>422</v>
      </c>
      <c r="C131" s="265">
        <v>54301</v>
      </c>
      <c r="D131" s="266" t="s">
        <v>548</v>
      </c>
      <c r="E131" s="74"/>
      <c r="F131" s="74"/>
      <c r="G131" s="76">
        <v>150</v>
      </c>
      <c r="H131" s="76">
        <f t="shared" si="2"/>
        <v>150</v>
      </c>
    </row>
    <row r="132" spans="1:18" ht="15" customHeight="1" x14ac:dyDescent="0.2">
      <c r="A132" s="249">
        <v>4</v>
      </c>
      <c r="B132" s="147" t="s">
        <v>422</v>
      </c>
      <c r="C132" s="265">
        <v>54316</v>
      </c>
      <c r="D132" s="62" t="s">
        <v>45</v>
      </c>
      <c r="E132" s="74"/>
      <c r="F132" s="74"/>
      <c r="G132" s="76">
        <v>100</v>
      </c>
      <c r="H132" s="76">
        <f t="shared" si="2"/>
        <v>100</v>
      </c>
    </row>
    <row r="133" spans="1:18" ht="15" customHeight="1" x14ac:dyDescent="0.2">
      <c r="A133" s="249">
        <v>4</v>
      </c>
      <c r="B133" s="147" t="s">
        <v>422</v>
      </c>
      <c r="C133" s="359">
        <v>54401</v>
      </c>
      <c r="D133" s="135" t="s">
        <v>143</v>
      </c>
      <c r="E133" s="136"/>
      <c r="F133" s="136"/>
      <c r="G133" s="262">
        <v>100</v>
      </c>
      <c r="H133" s="262">
        <f t="shared" ref="H133" si="3">E133+F133+G133</f>
        <v>100</v>
      </c>
    </row>
    <row r="134" spans="1:18" ht="15" customHeight="1" x14ac:dyDescent="0.2">
      <c r="A134" s="249">
        <v>4</v>
      </c>
      <c r="B134" s="147" t="s">
        <v>422</v>
      </c>
      <c r="C134" s="265">
        <v>54503</v>
      </c>
      <c r="D134" s="154" t="s">
        <v>506</v>
      </c>
      <c r="E134" s="74"/>
      <c r="F134" s="74"/>
      <c r="G134" s="76">
        <v>800</v>
      </c>
      <c r="H134" s="76">
        <f t="shared" si="2"/>
        <v>800</v>
      </c>
    </row>
    <row r="135" spans="1:18" ht="15" customHeight="1" x14ac:dyDescent="0.2">
      <c r="A135" s="249">
        <v>4</v>
      </c>
      <c r="B135" s="147" t="s">
        <v>422</v>
      </c>
      <c r="C135" s="265">
        <v>54505</v>
      </c>
      <c r="D135" s="154" t="s">
        <v>40</v>
      </c>
      <c r="E135" s="74"/>
      <c r="F135" s="74"/>
      <c r="G135" s="76">
        <v>400</v>
      </c>
      <c r="H135" s="76">
        <f t="shared" si="2"/>
        <v>400</v>
      </c>
    </row>
    <row r="136" spans="1:18" ht="15" customHeight="1" x14ac:dyDescent="0.2">
      <c r="A136" s="249">
        <v>4</v>
      </c>
      <c r="B136" s="147" t="s">
        <v>422</v>
      </c>
      <c r="C136" s="265">
        <v>54507</v>
      </c>
      <c r="D136" s="154" t="s">
        <v>774</v>
      </c>
      <c r="E136" s="74"/>
      <c r="F136" s="74"/>
      <c r="G136" s="76">
        <v>200</v>
      </c>
      <c r="H136" s="76">
        <f t="shared" si="2"/>
        <v>200</v>
      </c>
    </row>
    <row r="137" spans="1:18" ht="15" customHeight="1" x14ac:dyDescent="0.2">
      <c r="A137" s="249">
        <v>4</v>
      </c>
      <c r="B137" s="147" t="s">
        <v>422</v>
      </c>
      <c r="C137" s="265">
        <v>61101</v>
      </c>
      <c r="D137" s="154" t="s">
        <v>144</v>
      </c>
      <c r="E137" s="74"/>
      <c r="F137" s="74"/>
      <c r="G137" s="76">
        <v>400</v>
      </c>
      <c r="H137" s="76">
        <f t="shared" si="2"/>
        <v>400</v>
      </c>
    </row>
    <row r="138" spans="1:18" ht="15" customHeight="1" x14ac:dyDescent="0.2">
      <c r="A138" s="249">
        <v>4</v>
      </c>
      <c r="B138" s="147" t="s">
        <v>422</v>
      </c>
      <c r="C138" s="265">
        <v>61102</v>
      </c>
      <c r="D138" s="62" t="s">
        <v>28</v>
      </c>
      <c r="E138" s="74"/>
      <c r="F138" s="74"/>
      <c r="G138" s="76">
        <v>400</v>
      </c>
      <c r="H138" s="76">
        <f t="shared" si="2"/>
        <v>400</v>
      </c>
    </row>
    <row r="139" spans="1:18" ht="15" customHeight="1" x14ac:dyDescent="0.2">
      <c r="A139" s="249">
        <v>4</v>
      </c>
      <c r="B139" s="147" t="s">
        <v>422</v>
      </c>
      <c r="C139" s="265">
        <v>61104</v>
      </c>
      <c r="D139" s="154" t="s">
        <v>46</v>
      </c>
      <c r="E139" s="74"/>
      <c r="F139" s="74"/>
      <c r="G139" s="76">
        <v>100</v>
      </c>
      <c r="H139" s="76">
        <f t="shared" si="2"/>
        <v>100</v>
      </c>
    </row>
    <row r="140" spans="1:18" ht="15" customHeight="1" x14ac:dyDescent="0.2">
      <c r="A140" s="249">
        <v>4</v>
      </c>
      <c r="B140" s="147" t="s">
        <v>422</v>
      </c>
      <c r="C140" s="265">
        <v>61199</v>
      </c>
      <c r="D140" s="154" t="s">
        <v>135</v>
      </c>
      <c r="E140" s="74"/>
      <c r="F140" s="74"/>
      <c r="G140" s="76">
        <v>100</v>
      </c>
      <c r="H140" s="76">
        <f t="shared" si="2"/>
        <v>100</v>
      </c>
    </row>
    <row r="141" spans="1:18" ht="15" customHeight="1" x14ac:dyDescent="0.2">
      <c r="A141" s="249">
        <v>4</v>
      </c>
      <c r="B141" s="147" t="s">
        <v>423</v>
      </c>
      <c r="C141" s="61"/>
      <c r="D141" s="153" t="s">
        <v>14</v>
      </c>
      <c r="E141" s="138">
        <f>SUM(E115:E130)</f>
        <v>0</v>
      </c>
      <c r="F141" s="138">
        <f>SUM(F115:F130)</f>
        <v>0</v>
      </c>
      <c r="G141" s="138">
        <f>SUM(G115:G140)</f>
        <v>15138.5</v>
      </c>
      <c r="H141" s="83">
        <f>E141+F141+G141</f>
        <v>15138.5</v>
      </c>
      <c r="O141" s="258"/>
      <c r="P141" s="259"/>
    </row>
    <row r="142" spans="1:18" ht="15" customHeight="1" x14ac:dyDescent="0.2">
      <c r="A142" s="249" t="s">
        <v>387</v>
      </c>
      <c r="B142" s="147" t="s">
        <v>387</v>
      </c>
      <c r="C142" s="148"/>
      <c r="D142" s="267"/>
      <c r="E142" s="149"/>
      <c r="F142" s="149"/>
      <c r="G142" s="261"/>
      <c r="H142" s="261"/>
      <c r="O142" s="258"/>
      <c r="P142" s="259"/>
      <c r="Q142" s="147" t="s">
        <v>590</v>
      </c>
      <c r="R142" s="259">
        <f>+H141-P142</f>
        <v>15138.5</v>
      </c>
    </row>
    <row r="143" spans="1:18" ht="15" customHeight="1" x14ac:dyDescent="0.2">
      <c r="A143" s="249" t="s">
        <v>387</v>
      </c>
      <c r="B143" s="147" t="s">
        <v>387</v>
      </c>
      <c r="C143" s="148"/>
      <c r="D143" s="267"/>
      <c r="E143" s="149"/>
      <c r="F143" s="149"/>
      <c r="G143" s="261"/>
      <c r="H143" s="261"/>
    </row>
    <row r="144" spans="1:18" ht="15" customHeight="1" x14ac:dyDescent="0.2">
      <c r="A144" s="249" t="s">
        <v>387</v>
      </c>
      <c r="B144" s="147" t="s">
        <v>387</v>
      </c>
      <c r="C144" s="368"/>
      <c r="D144" s="369"/>
      <c r="E144" s="370"/>
      <c r="F144" s="370"/>
      <c r="G144" s="366"/>
      <c r="H144" s="366"/>
    </row>
    <row r="145" spans="1:15" ht="15" customHeight="1" x14ac:dyDescent="0.2">
      <c r="A145" s="249" t="s">
        <v>387</v>
      </c>
      <c r="B145" s="147" t="s">
        <v>387</v>
      </c>
      <c r="C145" s="427" t="s">
        <v>119</v>
      </c>
      <c r="D145" s="427"/>
      <c r="E145" s="427"/>
      <c r="F145" s="427"/>
      <c r="G145" s="427"/>
      <c r="H145" s="427"/>
    </row>
    <row r="146" spans="1:15" ht="15" customHeight="1" x14ac:dyDescent="0.2">
      <c r="A146" s="249" t="s">
        <v>387</v>
      </c>
      <c r="B146" s="147" t="s">
        <v>387</v>
      </c>
      <c r="C146" s="428" t="str">
        <f>C3</f>
        <v xml:space="preserve"> PRESUPUESTO AÑO 2024</v>
      </c>
      <c r="D146" s="428"/>
      <c r="E146" s="428"/>
      <c r="F146" s="428"/>
      <c r="G146" s="428"/>
      <c r="H146" s="428"/>
    </row>
    <row r="147" spans="1:15" ht="15" customHeight="1" x14ac:dyDescent="0.2">
      <c r="A147" s="249" t="s">
        <v>387</v>
      </c>
      <c r="B147" s="147" t="s">
        <v>387</v>
      </c>
      <c r="C147" s="428" t="str">
        <f>C4</f>
        <v>PRESUPUESTO EXTRA CONTABLE</v>
      </c>
      <c r="D147" s="428"/>
      <c r="E147" s="428"/>
      <c r="F147" s="428"/>
      <c r="G147" s="428"/>
      <c r="H147" s="428"/>
    </row>
    <row r="148" spans="1:15" ht="15" customHeight="1" x14ac:dyDescent="0.2">
      <c r="A148" s="249" t="s">
        <v>387</v>
      </c>
      <c r="B148" s="147" t="s">
        <v>387</v>
      </c>
      <c r="C148" s="427" t="s">
        <v>118</v>
      </c>
      <c r="D148" s="427"/>
      <c r="E148" s="427"/>
      <c r="F148" s="427"/>
      <c r="G148" s="427"/>
      <c r="H148" s="427"/>
    </row>
    <row r="149" spans="1:15" ht="15" customHeight="1" x14ac:dyDescent="0.2">
      <c r="A149" s="249" t="s">
        <v>387</v>
      </c>
      <c r="B149" s="147" t="s">
        <v>387</v>
      </c>
      <c r="C149" s="427" t="s">
        <v>439</v>
      </c>
      <c r="D149" s="427"/>
      <c r="E149" s="427"/>
      <c r="F149" s="427"/>
      <c r="G149" s="427"/>
      <c r="H149" s="427"/>
    </row>
    <row r="150" spans="1:15" ht="15" customHeight="1" x14ac:dyDescent="0.2">
      <c r="A150" s="249" t="s">
        <v>387</v>
      </c>
      <c r="B150" s="147" t="s">
        <v>387</v>
      </c>
      <c r="C150" s="434" t="s">
        <v>1</v>
      </c>
      <c r="D150" s="430" t="s">
        <v>0</v>
      </c>
      <c r="E150" s="255" t="s">
        <v>56</v>
      </c>
      <c r="F150" s="255" t="str">
        <f>+F113</f>
        <v>REFORMA</v>
      </c>
      <c r="G150" s="255" t="s">
        <v>56</v>
      </c>
      <c r="H150" s="432" t="str">
        <f>+H7</f>
        <v>TOTAL 2024</v>
      </c>
    </row>
    <row r="151" spans="1:15" ht="15" customHeight="1" x14ac:dyDescent="0.2">
      <c r="A151" s="249" t="s">
        <v>387</v>
      </c>
      <c r="B151" s="147" t="s">
        <v>387</v>
      </c>
      <c r="C151" s="434"/>
      <c r="D151" s="431"/>
      <c r="E151" s="255" t="s">
        <v>139</v>
      </c>
      <c r="F151" s="255"/>
      <c r="G151" s="255" t="s">
        <v>140</v>
      </c>
      <c r="H151" s="433"/>
    </row>
    <row r="152" spans="1:15" ht="15" customHeight="1" x14ac:dyDescent="0.2">
      <c r="A152" s="249">
        <v>4</v>
      </c>
      <c r="B152" s="147" t="s">
        <v>424</v>
      </c>
      <c r="C152" s="61">
        <v>51101</v>
      </c>
      <c r="D152" s="73" t="s">
        <v>15</v>
      </c>
      <c r="E152" s="74"/>
      <c r="F152" s="74"/>
      <c r="G152" s="272">
        <v>9900</v>
      </c>
      <c r="H152" s="76">
        <f t="shared" ref="H152:H184" si="4">E152+F152+G152</f>
        <v>9900</v>
      </c>
    </row>
    <row r="153" spans="1:15" ht="15" customHeight="1" x14ac:dyDescent="0.2">
      <c r="A153" s="249">
        <v>4</v>
      </c>
      <c r="B153" s="147" t="s">
        <v>424</v>
      </c>
      <c r="C153" s="61">
        <v>51103</v>
      </c>
      <c r="D153" s="73" t="s">
        <v>16</v>
      </c>
      <c r="E153" s="74"/>
      <c r="F153" s="74"/>
      <c r="G153" s="272">
        <v>825</v>
      </c>
      <c r="H153" s="76">
        <f t="shared" si="4"/>
        <v>825</v>
      </c>
    </row>
    <row r="154" spans="1:15" ht="15" customHeight="1" x14ac:dyDescent="0.2">
      <c r="A154" s="249">
        <v>4</v>
      </c>
      <c r="B154" s="147" t="s">
        <v>424</v>
      </c>
      <c r="C154" s="61">
        <v>51107</v>
      </c>
      <c r="D154" s="73" t="s">
        <v>34</v>
      </c>
      <c r="E154" s="74"/>
      <c r="F154" s="74"/>
      <c r="G154" s="272">
        <v>400</v>
      </c>
      <c r="H154" s="76">
        <f t="shared" si="4"/>
        <v>400</v>
      </c>
    </row>
    <row r="155" spans="1:15" ht="15" customHeight="1" x14ac:dyDescent="0.2">
      <c r="A155" s="249">
        <v>4</v>
      </c>
      <c r="B155" s="147" t="s">
        <v>424</v>
      </c>
      <c r="C155" s="61">
        <v>51401</v>
      </c>
      <c r="D155" s="62" t="s">
        <v>47</v>
      </c>
      <c r="E155" s="74"/>
      <c r="F155" s="74"/>
      <c r="G155" s="272">
        <v>841.50000000000011</v>
      </c>
      <c r="H155" s="76">
        <f t="shared" si="4"/>
        <v>841.50000000000011</v>
      </c>
      <c r="O155" s="257"/>
    </row>
    <row r="156" spans="1:15" ht="15" customHeight="1" x14ac:dyDescent="0.2">
      <c r="A156" s="249">
        <v>4</v>
      </c>
      <c r="B156" s="147" t="s">
        <v>424</v>
      </c>
      <c r="C156" s="61">
        <v>51501</v>
      </c>
      <c r="D156" s="73" t="s">
        <v>29</v>
      </c>
      <c r="E156" s="74"/>
      <c r="F156" s="74"/>
      <c r="G156" s="272">
        <v>866.25</v>
      </c>
      <c r="H156" s="76">
        <f t="shared" si="4"/>
        <v>866.25</v>
      </c>
    </row>
    <row r="157" spans="1:15" ht="15" customHeight="1" x14ac:dyDescent="0.2">
      <c r="A157" s="249">
        <v>4</v>
      </c>
      <c r="B157" s="147" t="s">
        <v>424</v>
      </c>
      <c r="C157" s="61">
        <v>54101</v>
      </c>
      <c r="D157" s="73" t="s">
        <v>38</v>
      </c>
      <c r="E157" s="74"/>
      <c r="F157" s="74"/>
      <c r="G157" s="76">
        <v>200</v>
      </c>
      <c r="H157" s="76">
        <f t="shared" si="4"/>
        <v>200</v>
      </c>
    </row>
    <row r="158" spans="1:15" ht="15" customHeight="1" x14ac:dyDescent="0.2">
      <c r="A158" s="249">
        <v>4</v>
      </c>
      <c r="B158" s="147" t="s">
        <v>424</v>
      </c>
      <c r="C158" s="61">
        <v>54104</v>
      </c>
      <c r="D158" s="73" t="s">
        <v>17</v>
      </c>
      <c r="E158" s="74"/>
      <c r="F158" s="74"/>
      <c r="G158" s="76">
        <v>200</v>
      </c>
      <c r="H158" s="76">
        <f t="shared" si="4"/>
        <v>200</v>
      </c>
    </row>
    <row r="159" spans="1:15" ht="15" customHeight="1" x14ac:dyDescent="0.2">
      <c r="A159" s="249">
        <v>4</v>
      </c>
      <c r="B159" s="147" t="s">
        <v>424</v>
      </c>
      <c r="C159" s="61">
        <v>54105</v>
      </c>
      <c r="D159" s="73" t="s">
        <v>426</v>
      </c>
      <c r="E159" s="74"/>
      <c r="F159" s="74"/>
      <c r="G159" s="76">
        <v>300</v>
      </c>
      <c r="H159" s="76">
        <f t="shared" si="4"/>
        <v>300</v>
      </c>
    </row>
    <row r="160" spans="1:15" ht="15" customHeight="1" x14ac:dyDescent="0.2">
      <c r="A160" s="249">
        <v>4</v>
      </c>
      <c r="B160" s="147" t="s">
        <v>424</v>
      </c>
      <c r="C160" s="61">
        <v>54106</v>
      </c>
      <c r="D160" s="263" t="s">
        <v>18</v>
      </c>
      <c r="E160" s="74"/>
      <c r="F160" s="74"/>
      <c r="G160" s="76">
        <v>200</v>
      </c>
      <c r="H160" s="76">
        <f t="shared" si="4"/>
        <v>200</v>
      </c>
    </row>
    <row r="161" spans="1:8" ht="15" customHeight="1" x14ac:dyDescent="0.2">
      <c r="A161" s="249">
        <v>4</v>
      </c>
      <c r="B161" s="147" t="s">
        <v>424</v>
      </c>
      <c r="C161" s="61">
        <v>54107</v>
      </c>
      <c r="D161" s="263" t="s">
        <v>43</v>
      </c>
      <c r="E161" s="74"/>
      <c r="F161" s="74"/>
      <c r="G161" s="76">
        <v>300</v>
      </c>
      <c r="H161" s="76">
        <f t="shared" si="4"/>
        <v>300</v>
      </c>
    </row>
    <row r="162" spans="1:8" ht="15" customHeight="1" x14ac:dyDescent="0.2">
      <c r="A162" s="249">
        <v>4</v>
      </c>
      <c r="B162" s="147" t="s">
        <v>424</v>
      </c>
      <c r="C162" s="61">
        <v>54109</v>
      </c>
      <c r="D162" s="263" t="s">
        <v>19</v>
      </c>
      <c r="E162" s="74"/>
      <c r="F162" s="74"/>
      <c r="G162" s="76">
        <v>300</v>
      </c>
      <c r="H162" s="76">
        <f t="shared" si="4"/>
        <v>300</v>
      </c>
    </row>
    <row r="163" spans="1:8" ht="15" customHeight="1" x14ac:dyDescent="0.2">
      <c r="A163" s="249">
        <v>4</v>
      </c>
      <c r="B163" s="147" t="s">
        <v>424</v>
      </c>
      <c r="C163" s="61">
        <v>54110</v>
      </c>
      <c r="D163" s="263" t="s">
        <v>20</v>
      </c>
      <c r="E163" s="74"/>
      <c r="F163" s="74"/>
      <c r="G163" s="76">
        <v>1000</v>
      </c>
      <c r="H163" s="76">
        <f t="shared" si="4"/>
        <v>1000</v>
      </c>
    </row>
    <row r="164" spans="1:8" ht="15" customHeight="1" x14ac:dyDescent="0.2">
      <c r="A164" s="249">
        <v>4</v>
      </c>
      <c r="B164" s="147" t="s">
        <v>424</v>
      </c>
      <c r="C164" s="61">
        <v>54111</v>
      </c>
      <c r="D164" s="73" t="s">
        <v>162</v>
      </c>
      <c r="E164" s="74"/>
      <c r="F164" s="74"/>
      <c r="G164" s="76">
        <v>100</v>
      </c>
      <c r="H164" s="76">
        <f t="shared" si="4"/>
        <v>100</v>
      </c>
    </row>
    <row r="165" spans="1:8" ht="15" customHeight="1" x14ac:dyDescent="0.2">
      <c r="A165" s="249">
        <v>4</v>
      </c>
      <c r="B165" s="147" t="s">
        <v>424</v>
      </c>
      <c r="C165" s="61">
        <v>54112</v>
      </c>
      <c r="D165" s="73" t="s">
        <v>42</v>
      </c>
      <c r="E165" s="74"/>
      <c r="F165" s="74"/>
      <c r="G165" s="76">
        <v>100</v>
      </c>
      <c r="H165" s="76">
        <f t="shared" si="4"/>
        <v>100</v>
      </c>
    </row>
    <row r="166" spans="1:8" ht="15" customHeight="1" x14ac:dyDescent="0.2">
      <c r="A166" s="249">
        <v>4</v>
      </c>
      <c r="B166" s="147" t="s">
        <v>424</v>
      </c>
      <c r="C166" s="61">
        <v>54114</v>
      </c>
      <c r="D166" s="263" t="s">
        <v>5</v>
      </c>
      <c r="E166" s="74"/>
      <c r="F166" s="74"/>
      <c r="G166" s="76">
        <v>200</v>
      </c>
      <c r="H166" s="76">
        <f t="shared" si="4"/>
        <v>200</v>
      </c>
    </row>
    <row r="167" spans="1:8" ht="15" customHeight="1" x14ac:dyDescent="0.2">
      <c r="A167" s="249">
        <v>4</v>
      </c>
      <c r="B167" s="147" t="s">
        <v>424</v>
      </c>
      <c r="C167" s="61">
        <v>54115</v>
      </c>
      <c r="D167" s="263" t="s">
        <v>49</v>
      </c>
      <c r="E167" s="74"/>
      <c r="F167" s="74"/>
      <c r="G167" s="76">
        <v>300</v>
      </c>
      <c r="H167" s="76">
        <f t="shared" si="4"/>
        <v>300</v>
      </c>
    </row>
    <row r="168" spans="1:8" ht="15" customHeight="1" x14ac:dyDescent="0.2">
      <c r="A168" s="249">
        <v>4</v>
      </c>
      <c r="B168" s="147" t="s">
        <v>424</v>
      </c>
      <c r="C168" s="265">
        <v>54116</v>
      </c>
      <c r="D168" s="62" t="s">
        <v>155</v>
      </c>
      <c r="E168" s="74"/>
      <c r="F168" s="74"/>
      <c r="G168" s="76">
        <v>200</v>
      </c>
      <c r="H168" s="76">
        <f t="shared" si="4"/>
        <v>200</v>
      </c>
    </row>
    <row r="169" spans="1:8" ht="15" customHeight="1" x14ac:dyDescent="0.2">
      <c r="A169" s="249">
        <v>4</v>
      </c>
      <c r="B169" s="147" t="s">
        <v>424</v>
      </c>
      <c r="C169" s="265">
        <v>54118</v>
      </c>
      <c r="D169" s="263" t="s">
        <v>454</v>
      </c>
      <c r="E169" s="74"/>
      <c r="F169" s="74"/>
      <c r="G169" s="76">
        <v>100</v>
      </c>
      <c r="H169" s="76">
        <f>E169+F169+G169</f>
        <v>100</v>
      </c>
    </row>
    <row r="170" spans="1:8" ht="15" customHeight="1" x14ac:dyDescent="0.2">
      <c r="A170" s="249">
        <v>4</v>
      </c>
      <c r="B170" s="147" t="s">
        <v>424</v>
      </c>
      <c r="C170" s="265">
        <v>54119</v>
      </c>
      <c r="D170" s="263" t="s">
        <v>44</v>
      </c>
      <c r="E170" s="74"/>
      <c r="F170" s="74"/>
      <c r="G170" s="76">
        <v>100</v>
      </c>
      <c r="H170" s="76">
        <f t="shared" si="4"/>
        <v>100</v>
      </c>
    </row>
    <row r="171" spans="1:8" ht="15" customHeight="1" x14ac:dyDescent="0.2">
      <c r="A171" s="249">
        <v>4</v>
      </c>
      <c r="B171" s="147" t="s">
        <v>424</v>
      </c>
      <c r="C171" s="265">
        <v>54199</v>
      </c>
      <c r="D171" s="154" t="s">
        <v>318</v>
      </c>
      <c r="E171" s="74"/>
      <c r="F171" s="74"/>
      <c r="G171" s="76">
        <v>100</v>
      </c>
      <c r="H171" s="76">
        <f t="shared" si="4"/>
        <v>100</v>
      </c>
    </row>
    <row r="172" spans="1:8" ht="15" customHeight="1" x14ac:dyDescent="0.2">
      <c r="A172" s="249">
        <v>4</v>
      </c>
      <c r="B172" s="147" t="s">
        <v>424</v>
      </c>
      <c r="C172" s="265">
        <v>54201</v>
      </c>
      <c r="D172" s="154" t="s">
        <v>187</v>
      </c>
      <c r="E172" s="74"/>
      <c r="F172" s="74"/>
      <c r="G172" s="76">
        <v>0</v>
      </c>
      <c r="H172" s="76">
        <f t="shared" si="4"/>
        <v>0</v>
      </c>
    </row>
    <row r="173" spans="1:8" ht="15" customHeight="1" x14ac:dyDescent="0.2">
      <c r="A173" s="249">
        <v>4</v>
      </c>
      <c r="B173" s="147" t="s">
        <v>424</v>
      </c>
      <c r="C173" s="265">
        <v>54202</v>
      </c>
      <c r="D173" s="73" t="s">
        <v>27</v>
      </c>
      <c r="E173" s="74"/>
      <c r="F173" s="74"/>
      <c r="G173" s="76">
        <v>0</v>
      </c>
      <c r="H173" s="76">
        <f t="shared" si="4"/>
        <v>0</v>
      </c>
    </row>
    <row r="174" spans="1:8" ht="15" customHeight="1" x14ac:dyDescent="0.2">
      <c r="A174" s="249">
        <v>4</v>
      </c>
      <c r="B174" s="147" t="s">
        <v>424</v>
      </c>
      <c r="C174" s="265">
        <v>54203</v>
      </c>
      <c r="D174" s="154" t="s">
        <v>7</v>
      </c>
      <c r="E174" s="74"/>
      <c r="F174" s="74"/>
      <c r="G174" s="76">
        <v>0</v>
      </c>
      <c r="H174" s="76">
        <f t="shared" si="4"/>
        <v>0</v>
      </c>
    </row>
    <row r="175" spans="1:8" ht="15" customHeight="1" x14ac:dyDescent="0.2">
      <c r="A175" s="249">
        <v>4</v>
      </c>
      <c r="B175" s="147" t="s">
        <v>424</v>
      </c>
      <c r="C175" s="265">
        <v>54301</v>
      </c>
      <c r="D175" s="154" t="s">
        <v>158</v>
      </c>
      <c r="E175" s="74"/>
      <c r="F175" s="74"/>
      <c r="G175" s="76">
        <v>200</v>
      </c>
      <c r="H175" s="76">
        <f t="shared" si="4"/>
        <v>200</v>
      </c>
    </row>
    <row r="176" spans="1:8" ht="15" customHeight="1" x14ac:dyDescent="0.2">
      <c r="A176" s="249">
        <v>4</v>
      </c>
      <c r="B176" s="147" t="s">
        <v>424</v>
      </c>
      <c r="C176" s="265">
        <v>54302</v>
      </c>
      <c r="D176" s="154" t="s">
        <v>440</v>
      </c>
      <c r="E176" s="74"/>
      <c r="F176" s="74"/>
      <c r="G176" s="76">
        <v>200</v>
      </c>
      <c r="H176" s="76">
        <f t="shared" si="4"/>
        <v>200</v>
      </c>
    </row>
    <row r="177" spans="1:18" ht="15" customHeight="1" x14ac:dyDescent="0.2">
      <c r="A177" s="249">
        <v>4</v>
      </c>
      <c r="B177" s="147" t="s">
        <v>424</v>
      </c>
      <c r="C177" s="265">
        <v>54307</v>
      </c>
      <c r="D177" s="154" t="s">
        <v>10</v>
      </c>
      <c r="E177" s="74"/>
      <c r="F177" s="74"/>
      <c r="G177" s="76">
        <v>0</v>
      </c>
      <c r="H177" s="76">
        <f t="shared" si="4"/>
        <v>0</v>
      </c>
    </row>
    <row r="178" spans="1:18" ht="15" customHeight="1" x14ac:dyDescent="0.2">
      <c r="A178" s="249">
        <v>4</v>
      </c>
      <c r="B178" s="147" t="s">
        <v>424</v>
      </c>
      <c r="C178" s="265">
        <v>54399</v>
      </c>
      <c r="D178" s="62" t="s">
        <v>153</v>
      </c>
      <c r="E178" s="74"/>
      <c r="F178" s="74"/>
      <c r="G178" s="76">
        <v>200</v>
      </c>
      <c r="H178" s="76">
        <f t="shared" si="4"/>
        <v>200</v>
      </c>
    </row>
    <row r="179" spans="1:18" ht="15" customHeight="1" x14ac:dyDescent="0.2">
      <c r="A179" s="249">
        <v>4</v>
      </c>
      <c r="B179" s="147" t="s">
        <v>424</v>
      </c>
      <c r="C179" s="265">
        <v>54401</v>
      </c>
      <c r="D179" s="154" t="s">
        <v>143</v>
      </c>
      <c r="E179" s="74"/>
      <c r="F179" s="74"/>
      <c r="G179" s="76">
        <v>0</v>
      </c>
      <c r="H179" s="76">
        <f t="shared" si="4"/>
        <v>0</v>
      </c>
    </row>
    <row r="180" spans="1:18" ht="15" customHeight="1" x14ac:dyDescent="0.2">
      <c r="A180" s="249">
        <v>4</v>
      </c>
      <c r="B180" s="147" t="s">
        <v>424</v>
      </c>
      <c r="C180" s="265">
        <v>54505</v>
      </c>
      <c r="D180" s="154" t="s">
        <v>40</v>
      </c>
      <c r="E180" s="74"/>
      <c r="F180" s="74"/>
      <c r="G180" s="76">
        <v>800</v>
      </c>
      <c r="H180" s="76">
        <f t="shared" si="4"/>
        <v>800</v>
      </c>
    </row>
    <row r="181" spans="1:18" ht="15" customHeight="1" x14ac:dyDescent="0.2">
      <c r="A181" s="249">
        <v>4</v>
      </c>
      <c r="B181" s="147" t="s">
        <v>424</v>
      </c>
      <c r="C181" s="265">
        <v>61101</v>
      </c>
      <c r="D181" s="154" t="s">
        <v>144</v>
      </c>
      <c r="E181" s="74"/>
      <c r="F181" s="74"/>
      <c r="G181" s="76">
        <v>400</v>
      </c>
      <c r="H181" s="76">
        <f t="shared" si="4"/>
        <v>400</v>
      </c>
    </row>
    <row r="182" spans="1:18" ht="15" customHeight="1" x14ac:dyDescent="0.2">
      <c r="A182" s="249">
        <v>4</v>
      </c>
      <c r="B182" s="147" t="s">
        <v>424</v>
      </c>
      <c r="C182" s="265">
        <v>61104</v>
      </c>
      <c r="D182" s="154" t="s">
        <v>46</v>
      </c>
      <c r="E182" s="74"/>
      <c r="F182" s="74"/>
      <c r="G182" s="76">
        <v>600</v>
      </c>
      <c r="H182" s="76">
        <f t="shared" si="4"/>
        <v>600</v>
      </c>
    </row>
    <row r="183" spans="1:18" ht="15" customHeight="1" x14ac:dyDescent="0.2">
      <c r="A183" s="249">
        <v>4</v>
      </c>
      <c r="B183" s="147" t="s">
        <v>424</v>
      </c>
      <c r="C183" s="265">
        <v>61199</v>
      </c>
      <c r="D183" s="154" t="s">
        <v>135</v>
      </c>
      <c r="E183" s="74"/>
      <c r="F183" s="74"/>
      <c r="G183" s="76">
        <v>0</v>
      </c>
      <c r="H183" s="76">
        <f t="shared" si="4"/>
        <v>0</v>
      </c>
    </row>
    <row r="184" spans="1:18" ht="15" customHeight="1" x14ac:dyDescent="0.2">
      <c r="A184" s="249">
        <v>4</v>
      </c>
      <c r="B184" s="147" t="s">
        <v>425</v>
      </c>
      <c r="C184" s="61"/>
      <c r="D184" s="153" t="s">
        <v>14</v>
      </c>
      <c r="E184" s="138">
        <f>SUM(E152:E177)</f>
        <v>0</v>
      </c>
      <c r="F184" s="138">
        <f>SUM(F152:F171)</f>
        <v>0</v>
      </c>
      <c r="G184" s="138">
        <f>SUM(G152:G183)</f>
        <v>18932.75</v>
      </c>
      <c r="H184" s="83">
        <f t="shared" si="4"/>
        <v>18932.75</v>
      </c>
      <c r="O184" s="258"/>
      <c r="P184" s="259"/>
    </row>
    <row r="185" spans="1:18" ht="15" customHeight="1" x14ac:dyDescent="0.2">
      <c r="A185" s="249" t="s">
        <v>387</v>
      </c>
      <c r="B185" s="147" t="s">
        <v>387</v>
      </c>
      <c r="C185" s="148"/>
      <c r="D185" s="267"/>
      <c r="E185" s="149"/>
      <c r="F185" s="149"/>
      <c r="G185" s="261"/>
      <c r="H185" s="261"/>
      <c r="O185" s="258"/>
      <c r="P185" s="259"/>
      <c r="Q185" s="147" t="s">
        <v>594</v>
      </c>
      <c r="R185" s="259">
        <f>+H184-P185</f>
        <v>18932.75</v>
      </c>
    </row>
    <row r="186" spans="1:18" ht="15" customHeight="1" x14ac:dyDescent="0.2">
      <c r="A186" s="249" t="s">
        <v>387</v>
      </c>
      <c r="B186" s="147" t="s">
        <v>387</v>
      </c>
      <c r="C186" s="148"/>
      <c r="D186" s="267"/>
      <c r="E186" s="149"/>
      <c r="F186" s="149"/>
      <c r="G186" s="261"/>
      <c r="H186" s="261"/>
    </row>
    <row r="187" spans="1:18" ht="15" customHeight="1" x14ac:dyDescent="0.2">
      <c r="A187" s="249" t="s">
        <v>387</v>
      </c>
      <c r="B187" s="147" t="s">
        <v>387</v>
      </c>
      <c r="C187" s="363"/>
      <c r="D187" s="363"/>
      <c r="E187" s="363"/>
      <c r="F187" s="363"/>
      <c r="G187" s="363"/>
      <c r="H187" s="366"/>
      <c r="I187" s="259"/>
      <c r="J187" s="259"/>
      <c r="K187" s="259"/>
      <c r="L187" s="259"/>
      <c r="M187" s="259"/>
    </row>
    <row r="188" spans="1:18" ht="15" customHeight="1" x14ac:dyDescent="0.2">
      <c r="A188" s="249" t="s">
        <v>387</v>
      </c>
      <c r="B188" s="147" t="s">
        <v>387</v>
      </c>
      <c r="C188" s="427" t="s">
        <v>119</v>
      </c>
      <c r="D188" s="427"/>
      <c r="E188" s="427"/>
      <c r="F188" s="427"/>
      <c r="G188" s="427"/>
      <c r="H188" s="427"/>
      <c r="I188" s="259"/>
      <c r="J188" s="259"/>
      <c r="K188" s="259"/>
      <c r="L188" s="259"/>
      <c r="M188" s="259"/>
    </row>
    <row r="189" spans="1:18" ht="15" customHeight="1" x14ac:dyDescent="0.2">
      <c r="A189" s="249" t="s">
        <v>387</v>
      </c>
      <c r="B189" s="147" t="s">
        <v>387</v>
      </c>
      <c r="C189" s="428" t="str">
        <f>C3</f>
        <v xml:space="preserve"> PRESUPUESTO AÑO 2024</v>
      </c>
      <c r="D189" s="428"/>
      <c r="E189" s="428"/>
      <c r="F189" s="428"/>
      <c r="G189" s="428"/>
      <c r="H189" s="428"/>
      <c r="I189" s="259"/>
      <c r="J189" s="259"/>
      <c r="K189" s="259"/>
      <c r="L189" s="259"/>
      <c r="M189" s="259"/>
    </row>
    <row r="190" spans="1:18" ht="15" customHeight="1" x14ac:dyDescent="0.2">
      <c r="A190" s="249" t="s">
        <v>387</v>
      </c>
      <c r="B190" s="147" t="s">
        <v>387</v>
      </c>
      <c r="C190" s="428" t="str">
        <f>C4</f>
        <v>PRESUPUESTO EXTRA CONTABLE</v>
      </c>
      <c r="D190" s="428"/>
      <c r="E190" s="428"/>
      <c r="F190" s="428"/>
      <c r="G190" s="428"/>
      <c r="H190" s="428"/>
      <c r="I190" s="259"/>
      <c r="J190" s="259"/>
      <c r="K190" s="259"/>
      <c r="L190" s="259"/>
      <c r="M190" s="259"/>
    </row>
    <row r="191" spans="1:18" ht="15" customHeight="1" x14ac:dyDescent="0.2">
      <c r="A191" s="249" t="s">
        <v>387</v>
      </c>
      <c r="B191" s="147" t="s">
        <v>387</v>
      </c>
      <c r="C191" s="427" t="s">
        <v>117</v>
      </c>
      <c r="D191" s="427"/>
      <c r="E191" s="427"/>
      <c r="F191" s="427"/>
      <c r="G191" s="427"/>
      <c r="H191" s="427"/>
      <c r="I191" s="259"/>
      <c r="J191" s="259"/>
      <c r="K191" s="259"/>
      <c r="L191" s="259"/>
      <c r="M191" s="259"/>
    </row>
    <row r="192" spans="1:18" ht="15" customHeight="1" x14ac:dyDescent="0.2">
      <c r="A192" s="249" t="s">
        <v>387</v>
      </c>
      <c r="B192" s="147" t="s">
        <v>387</v>
      </c>
      <c r="C192" s="427" t="s">
        <v>623</v>
      </c>
      <c r="D192" s="427"/>
      <c r="E192" s="427"/>
      <c r="F192" s="427"/>
      <c r="G192" s="427"/>
      <c r="H192" s="427"/>
      <c r="I192" s="259"/>
      <c r="J192" s="259"/>
      <c r="K192" s="259"/>
      <c r="L192" s="259"/>
      <c r="M192" s="259"/>
    </row>
    <row r="193" spans="1:15" ht="15" customHeight="1" x14ac:dyDescent="0.2">
      <c r="A193" s="249" t="s">
        <v>387</v>
      </c>
      <c r="B193" s="147" t="s">
        <v>387</v>
      </c>
      <c r="C193" s="430" t="s">
        <v>1</v>
      </c>
      <c r="D193" s="430" t="s">
        <v>0</v>
      </c>
      <c r="E193" s="255" t="s">
        <v>56</v>
      </c>
      <c r="F193" s="255" t="str">
        <f>+F113</f>
        <v>REFORMA</v>
      </c>
      <c r="G193" s="255" t="s">
        <v>56</v>
      </c>
      <c r="H193" s="432" t="str">
        <f>+H7</f>
        <v>TOTAL 2024</v>
      </c>
      <c r="I193" s="259"/>
      <c r="J193" s="259"/>
      <c r="K193" s="259"/>
      <c r="L193" s="259"/>
      <c r="M193" s="259"/>
    </row>
    <row r="194" spans="1:15" ht="15" customHeight="1" x14ac:dyDescent="0.2">
      <c r="A194" s="249" t="s">
        <v>387</v>
      </c>
      <c r="B194" s="147" t="s">
        <v>387</v>
      </c>
      <c r="C194" s="431"/>
      <c r="D194" s="431"/>
      <c r="E194" s="255" t="s">
        <v>139</v>
      </c>
      <c r="F194" s="255"/>
      <c r="G194" s="255" t="s">
        <v>140</v>
      </c>
      <c r="H194" s="433"/>
      <c r="I194" s="259"/>
      <c r="J194" s="259"/>
      <c r="K194" s="259"/>
      <c r="L194" s="259"/>
      <c r="M194" s="259"/>
    </row>
    <row r="195" spans="1:15" ht="15" customHeight="1" x14ac:dyDescent="0.2">
      <c r="A195" s="249">
        <v>4</v>
      </c>
      <c r="B195" s="147" t="s">
        <v>442</v>
      </c>
      <c r="C195" s="61">
        <v>51101</v>
      </c>
      <c r="D195" s="73" t="s">
        <v>15</v>
      </c>
      <c r="E195" s="74"/>
      <c r="F195" s="74"/>
      <c r="G195" s="290">
        <v>9900</v>
      </c>
      <c r="H195" s="76">
        <f t="shared" ref="H195:H220" si="5">E195+F195+G195</f>
        <v>9900</v>
      </c>
      <c r="I195" s="259"/>
      <c r="J195" s="259"/>
      <c r="K195" s="259"/>
      <c r="L195" s="259"/>
      <c r="M195" s="259"/>
    </row>
    <row r="196" spans="1:15" ht="15" customHeight="1" x14ac:dyDescent="0.2">
      <c r="A196" s="249">
        <v>4</v>
      </c>
      <c r="B196" s="147" t="s">
        <v>442</v>
      </c>
      <c r="C196" s="61">
        <v>51103</v>
      </c>
      <c r="D196" s="73" t="s">
        <v>16</v>
      </c>
      <c r="E196" s="76"/>
      <c r="F196" s="76"/>
      <c r="G196" s="290">
        <v>825</v>
      </c>
      <c r="H196" s="76">
        <f t="shared" si="5"/>
        <v>825</v>
      </c>
      <c r="I196" s="259"/>
      <c r="J196" s="259"/>
      <c r="K196" s="259"/>
      <c r="L196" s="259"/>
      <c r="M196" s="259"/>
    </row>
    <row r="197" spans="1:15" ht="15" customHeight="1" x14ac:dyDescent="0.2">
      <c r="A197" s="249">
        <v>4</v>
      </c>
      <c r="B197" s="147" t="s">
        <v>442</v>
      </c>
      <c r="C197" s="61">
        <v>51107</v>
      </c>
      <c r="D197" s="73" t="s">
        <v>34</v>
      </c>
      <c r="E197" s="76"/>
      <c r="F197" s="76"/>
      <c r="G197" s="290">
        <v>400</v>
      </c>
      <c r="H197" s="76">
        <f t="shared" si="5"/>
        <v>400</v>
      </c>
      <c r="I197" s="259"/>
      <c r="J197" s="259"/>
      <c r="K197" s="259"/>
      <c r="L197" s="259"/>
      <c r="M197" s="259"/>
    </row>
    <row r="198" spans="1:15" ht="15" customHeight="1" x14ac:dyDescent="0.2">
      <c r="A198" s="249">
        <v>4</v>
      </c>
      <c r="B198" s="147" t="s">
        <v>442</v>
      </c>
      <c r="C198" s="61">
        <v>51401</v>
      </c>
      <c r="D198" s="62" t="s">
        <v>47</v>
      </c>
      <c r="E198" s="74"/>
      <c r="F198" s="74"/>
      <c r="G198" s="290">
        <v>841.50000000000011</v>
      </c>
      <c r="H198" s="76">
        <f t="shared" si="5"/>
        <v>841.50000000000011</v>
      </c>
      <c r="I198" s="259"/>
      <c r="J198" s="259"/>
      <c r="K198" s="259"/>
      <c r="L198" s="259"/>
      <c r="M198" s="259"/>
      <c r="O198" s="257"/>
    </row>
    <row r="199" spans="1:15" ht="15" customHeight="1" x14ac:dyDescent="0.2">
      <c r="A199" s="249">
        <v>4</v>
      </c>
      <c r="B199" s="147" t="s">
        <v>442</v>
      </c>
      <c r="C199" s="61">
        <v>51501</v>
      </c>
      <c r="D199" s="73" t="s">
        <v>29</v>
      </c>
      <c r="E199" s="74"/>
      <c r="F199" s="74"/>
      <c r="G199" s="290">
        <v>866.25</v>
      </c>
      <c r="H199" s="76">
        <f t="shared" si="5"/>
        <v>866.25</v>
      </c>
      <c r="I199" s="259"/>
      <c r="J199" s="259"/>
      <c r="K199" s="259"/>
      <c r="L199" s="259"/>
      <c r="M199" s="259"/>
    </row>
    <row r="200" spans="1:15" ht="15" customHeight="1" x14ac:dyDescent="0.2">
      <c r="A200" s="249">
        <v>4</v>
      </c>
      <c r="B200" s="147" t="s">
        <v>442</v>
      </c>
      <c r="C200" s="61">
        <v>54101</v>
      </c>
      <c r="D200" s="73" t="s">
        <v>38</v>
      </c>
      <c r="E200" s="74"/>
      <c r="F200" s="74"/>
      <c r="G200" s="140">
        <v>500</v>
      </c>
      <c r="H200" s="76">
        <f t="shared" si="5"/>
        <v>500</v>
      </c>
      <c r="I200" s="259"/>
      <c r="J200" s="259"/>
      <c r="K200" s="259"/>
      <c r="L200" s="259"/>
      <c r="M200" s="259"/>
    </row>
    <row r="201" spans="1:15" ht="15" customHeight="1" x14ac:dyDescent="0.2">
      <c r="A201" s="249">
        <v>4</v>
      </c>
      <c r="B201" s="147" t="s">
        <v>442</v>
      </c>
      <c r="C201" s="61">
        <v>54104</v>
      </c>
      <c r="D201" s="73" t="s">
        <v>17</v>
      </c>
      <c r="E201" s="74"/>
      <c r="F201" s="74"/>
      <c r="G201" s="140">
        <v>600</v>
      </c>
      <c r="H201" s="76">
        <f t="shared" si="5"/>
        <v>600</v>
      </c>
      <c r="I201" s="259"/>
      <c r="J201" s="259"/>
      <c r="K201" s="259"/>
      <c r="L201" s="259"/>
      <c r="M201" s="259"/>
    </row>
    <row r="202" spans="1:15" ht="15" customHeight="1" x14ac:dyDescent="0.2">
      <c r="A202" s="249">
        <v>4</v>
      </c>
      <c r="B202" s="147" t="s">
        <v>442</v>
      </c>
      <c r="C202" s="61">
        <v>54105</v>
      </c>
      <c r="D202" s="73" t="s">
        <v>131</v>
      </c>
      <c r="E202" s="74"/>
      <c r="F202" s="74"/>
      <c r="G202" s="140">
        <v>2400</v>
      </c>
      <c r="H202" s="76">
        <f t="shared" si="5"/>
        <v>2400</v>
      </c>
      <c r="I202" s="259"/>
      <c r="J202" s="259"/>
      <c r="K202" s="259"/>
      <c r="L202" s="259"/>
      <c r="M202" s="259"/>
    </row>
    <row r="203" spans="1:15" ht="15" customHeight="1" x14ac:dyDescent="0.2">
      <c r="A203" s="249">
        <v>4</v>
      </c>
      <c r="B203" s="147" t="s">
        <v>442</v>
      </c>
      <c r="C203" s="61">
        <v>54106</v>
      </c>
      <c r="D203" s="73" t="s">
        <v>18</v>
      </c>
      <c r="E203" s="74"/>
      <c r="F203" s="74"/>
      <c r="G203" s="140">
        <v>200</v>
      </c>
      <c r="H203" s="76">
        <f t="shared" si="5"/>
        <v>200</v>
      </c>
      <c r="I203" s="259"/>
      <c r="J203" s="259"/>
      <c r="K203" s="259"/>
      <c r="L203" s="259"/>
      <c r="M203" s="259"/>
    </row>
    <row r="204" spans="1:15" ht="15" customHeight="1" x14ac:dyDescent="0.2">
      <c r="A204" s="249">
        <v>4</v>
      </c>
      <c r="B204" s="147" t="s">
        <v>442</v>
      </c>
      <c r="C204" s="61">
        <v>54107</v>
      </c>
      <c r="D204" s="73" t="s">
        <v>43</v>
      </c>
      <c r="E204" s="74"/>
      <c r="F204" s="74"/>
      <c r="G204" s="140">
        <v>900</v>
      </c>
      <c r="H204" s="76">
        <f t="shared" si="5"/>
        <v>900</v>
      </c>
      <c r="I204" s="259"/>
      <c r="J204" s="259"/>
      <c r="K204" s="259"/>
      <c r="L204" s="259"/>
      <c r="M204" s="259"/>
    </row>
    <row r="205" spans="1:15" ht="15" customHeight="1" x14ac:dyDescent="0.2">
      <c r="A205" s="249">
        <v>4</v>
      </c>
      <c r="B205" s="147" t="s">
        <v>442</v>
      </c>
      <c r="C205" s="61">
        <v>54111</v>
      </c>
      <c r="D205" s="73" t="s">
        <v>162</v>
      </c>
      <c r="E205" s="74"/>
      <c r="F205" s="74"/>
      <c r="G205" s="140">
        <v>1000</v>
      </c>
      <c r="H205" s="76">
        <f t="shared" si="5"/>
        <v>1000</v>
      </c>
      <c r="I205" s="259"/>
      <c r="J205" s="259"/>
      <c r="K205" s="259"/>
      <c r="L205" s="259"/>
      <c r="M205" s="259"/>
    </row>
    <row r="206" spans="1:15" ht="15" customHeight="1" x14ac:dyDescent="0.2">
      <c r="A206" s="249">
        <v>4</v>
      </c>
      <c r="B206" s="147" t="s">
        <v>442</v>
      </c>
      <c r="C206" s="61">
        <v>54112</v>
      </c>
      <c r="D206" s="73" t="s">
        <v>42</v>
      </c>
      <c r="E206" s="74"/>
      <c r="F206" s="74"/>
      <c r="G206" s="140">
        <v>350</v>
      </c>
      <c r="H206" s="76">
        <f t="shared" si="5"/>
        <v>350</v>
      </c>
      <c r="I206" s="259"/>
      <c r="J206" s="259"/>
      <c r="K206" s="259"/>
      <c r="L206" s="259"/>
      <c r="M206" s="259"/>
    </row>
    <row r="207" spans="1:15" ht="15" customHeight="1" x14ac:dyDescent="0.2">
      <c r="A207" s="249">
        <v>4</v>
      </c>
      <c r="B207" s="147" t="s">
        <v>442</v>
      </c>
      <c r="C207" s="61">
        <v>54114</v>
      </c>
      <c r="D207" s="73" t="s">
        <v>5</v>
      </c>
      <c r="E207" s="74"/>
      <c r="F207" s="74"/>
      <c r="G207" s="140">
        <v>500</v>
      </c>
      <c r="H207" s="76">
        <f t="shared" si="5"/>
        <v>500</v>
      </c>
      <c r="I207" s="259"/>
      <c r="J207" s="259"/>
      <c r="K207" s="259"/>
      <c r="L207" s="259"/>
      <c r="M207" s="259"/>
    </row>
    <row r="208" spans="1:15" ht="15" customHeight="1" x14ac:dyDescent="0.2">
      <c r="A208" s="249">
        <v>4</v>
      </c>
      <c r="B208" s="147" t="s">
        <v>442</v>
      </c>
      <c r="C208" s="61">
        <v>54115</v>
      </c>
      <c r="D208" s="73" t="s">
        <v>49</v>
      </c>
      <c r="E208" s="74"/>
      <c r="F208" s="74"/>
      <c r="G208" s="140">
        <v>550</v>
      </c>
      <c r="H208" s="76">
        <f t="shared" si="5"/>
        <v>550</v>
      </c>
      <c r="I208" s="259"/>
      <c r="J208" s="259"/>
      <c r="K208" s="259"/>
      <c r="L208" s="259"/>
      <c r="M208" s="259"/>
    </row>
    <row r="209" spans="1:18" ht="15" customHeight="1" x14ac:dyDescent="0.2">
      <c r="A209" s="249">
        <v>4</v>
      </c>
      <c r="B209" s="147" t="s">
        <v>442</v>
      </c>
      <c r="C209" s="61">
        <v>54116</v>
      </c>
      <c r="D209" s="62" t="s">
        <v>155</v>
      </c>
      <c r="E209" s="74"/>
      <c r="F209" s="74"/>
      <c r="G209" s="140">
        <v>600</v>
      </c>
      <c r="H209" s="76">
        <f t="shared" si="5"/>
        <v>600</v>
      </c>
      <c r="I209" s="259"/>
      <c r="J209" s="259"/>
      <c r="K209" s="259"/>
      <c r="L209" s="259"/>
      <c r="M209" s="259"/>
    </row>
    <row r="210" spans="1:18" ht="15" customHeight="1" x14ac:dyDescent="0.2">
      <c r="A210" s="249">
        <v>4</v>
      </c>
      <c r="B210" s="147" t="s">
        <v>442</v>
      </c>
      <c r="C210" s="61">
        <v>54119</v>
      </c>
      <c r="D210" s="73" t="s">
        <v>44</v>
      </c>
      <c r="E210" s="74"/>
      <c r="F210" s="74"/>
      <c r="G210" s="140">
        <v>200</v>
      </c>
      <c r="H210" s="76">
        <f t="shared" si="5"/>
        <v>200</v>
      </c>
      <c r="I210" s="259"/>
      <c r="J210" s="259"/>
      <c r="K210" s="259"/>
      <c r="L210" s="259"/>
      <c r="M210" s="259"/>
    </row>
    <row r="211" spans="1:18" ht="15" customHeight="1" x14ac:dyDescent="0.2">
      <c r="A211" s="249">
        <v>4</v>
      </c>
      <c r="B211" s="147" t="s">
        <v>442</v>
      </c>
      <c r="C211" s="61">
        <v>54199</v>
      </c>
      <c r="D211" s="73" t="s">
        <v>318</v>
      </c>
      <c r="E211" s="74"/>
      <c r="F211" s="74"/>
      <c r="G211" s="140">
        <v>200</v>
      </c>
      <c r="H211" s="76">
        <f t="shared" si="5"/>
        <v>200</v>
      </c>
      <c r="I211" s="259"/>
      <c r="J211" s="259"/>
      <c r="K211" s="259"/>
      <c r="L211" s="259"/>
      <c r="M211" s="259"/>
    </row>
    <row r="212" spans="1:18" ht="15" customHeight="1" x14ac:dyDescent="0.2">
      <c r="A212" s="249">
        <v>4</v>
      </c>
      <c r="B212" s="147" t="s">
        <v>442</v>
      </c>
      <c r="C212" s="61">
        <v>54301</v>
      </c>
      <c r="D212" s="62" t="s">
        <v>8</v>
      </c>
      <c r="E212" s="74"/>
      <c r="F212" s="74"/>
      <c r="G212" s="140">
        <v>400</v>
      </c>
      <c r="H212" s="76">
        <f t="shared" si="5"/>
        <v>400</v>
      </c>
      <c r="I212" s="259"/>
      <c r="J212" s="259"/>
      <c r="K212" s="259"/>
      <c r="L212" s="259"/>
      <c r="M212" s="259"/>
    </row>
    <row r="213" spans="1:18" ht="15" customHeight="1" x14ac:dyDescent="0.2">
      <c r="A213" s="249">
        <v>4</v>
      </c>
      <c r="B213" s="147" t="s">
        <v>442</v>
      </c>
      <c r="C213" s="61">
        <v>54303</v>
      </c>
      <c r="D213" s="62" t="s">
        <v>183</v>
      </c>
      <c r="E213" s="74"/>
      <c r="F213" s="74"/>
      <c r="G213" s="140">
        <v>400</v>
      </c>
      <c r="H213" s="76">
        <f t="shared" si="5"/>
        <v>400</v>
      </c>
      <c r="I213" s="259"/>
      <c r="J213" s="259"/>
      <c r="K213" s="259"/>
      <c r="L213" s="259"/>
      <c r="M213" s="259"/>
    </row>
    <row r="214" spans="1:18" ht="15" customHeight="1" x14ac:dyDescent="0.2">
      <c r="A214" s="249">
        <v>4</v>
      </c>
      <c r="B214" s="147" t="s">
        <v>442</v>
      </c>
      <c r="C214" s="61">
        <v>54307</v>
      </c>
      <c r="D214" s="62" t="s">
        <v>10</v>
      </c>
      <c r="E214" s="74"/>
      <c r="F214" s="74"/>
      <c r="G214" s="140">
        <v>200</v>
      </c>
      <c r="H214" s="76">
        <f t="shared" si="5"/>
        <v>200</v>
      </c>
      <c r="I214" s="259"/>
      <c r="J214" s="259"/>
      <c r="K214" s="259"/>
      <c r="L214" s="259"/>
      <c r="M214" s="259"/>
    </row>
    <row r="215" spans="1:18" ht="15" customHeight="1" x14ac:dyDescent="0.2">
      <c r="A215" s="249">
        <v>4</v>
      </c>
      <c r="B215" s="147" t="s">
        <v>442</v>
      </c>
      <c r="C215" s="61">
        <v>54401</v>
      </c>
      <c r="D215" s="62" t="s">
        <v>143</v>
      </c>
      <c r="E215" s="74"/>
      <c r="F215" s="74"/>
      <c r="G215" s="140">
        <v>200</v>
      </c>
      <c r="H215" s="76">
        <f t="shared" si="5"/>
        <v>200</v>
      </c>
      <c r="I215" s="259"/>
      <c r="J215" s="259"/>
      <c r="K215" s="259"/>
      <c r="L215" s="259"/>
      <c r="M215" s="259"/>
    </row>
    <row r="216" spans="1:18" ht="15" customHeight="1" x14ac:dyDescent="0.2">
      <c r="A216" s="249">
        <v>4</v>
      </c>
      <c r="B216" s="147" t="s">
        <v>442</v>
      </c>
      <c r="C216" s="61">
        <v>54402</v>
      </c>
      <c r="D216" s="62" t="s">
        <v>184</v>
      </c>
      <c r="E216" s="74"/>
      <c r="F216" s="74"/>
      <c r="G216" s="140">
        <v>0</v>
      </c>
      <c r="H216" s="76"/>
      <c r="I216" s="259"/>
      <c r="J216" s="259"/>
      <c r="K216" s="259"/>
      <c r="L216" s="259"/>
      <c r="M216" s="259"/>
    </row>
    <row r="217" spans="1:18" ht="15" customHeight="1" x14ac:dyDescent="0.2">
      <c r="A217" s="249">
        <v>4</v>
      </c>
      <c r="B217" s="147" t="s">
        <v>442</v>
      </c>
      <c r="C217" s="61">
        <v>61101</v>
      </c>
      <c r="D217" s="73" t="s">
        <v>144</v>
      </c>
      <c r="E217" s="74"/>
      <c r="F217" s="74"/>
      <c r="G217" s="140">
        <v>1000</v>
      </c>
      <c r="H217" s="76">
        <f t="shared" si="5"/>
        <v>1000</v>
      </c>
      <c r="I217" s="259"/>
      <c r="J217" s="259"/>
      <c r="K217" s="259"/>
      <c r="L217" s="259"/>
      <c r="M217" s="259"/>
    </row>
    <row r="218" spans="1:18" ht="15" customHeight="1" x14ac:dyDescent="0.2">
      <c r="A218" s="249">
        <v>4</v>
      </c>
      <c r="B218" s="147" t="s">
        <v>442</v>
      </c>
      <c r="C218" s="61">
        <v>61102</v>
      </c>
      <c r="D218" s="62" t="s">
        <v>28</v>
      </c>
      <c r="E218" s="74"/>
      <c r="F218" s="74"/>
      <c r="G218" s="140">
        <v>200</v>
      </c>
      <c r="H218" s="76">
        <f t="shared" si="5"/>
        <v>200</v>
      </c>
      <c r="I218" s="259"/>
      <c r="J218" s="259"/>
      <c r="K218" s="259"/>
      <c r="L218" s="259"/>
      <c r="M218" s="259"/>
    </row>
    <row r="219" spans="1:18" ht="15" customHeight="1" x14ac:dyDescent="0.2">
      <c r="A219" s="249">
        <v>4</v>
      </c>
      <c r="B219" s="147" t="s">
        <v>442</v>
      </c>
      <c r="C219" s="61">
        <v>61104</v>
      </c>
      <c r="D219" s="73" t="s">
        <v>46</v>
      </c>
      <c r="E219" s="74"/>
      <c r="F219" s="74"/>
      <c r="G219" s="140">
        <v>2000</v>
      </c>
      <c r="H219" s="76">
        <f t="shared" si="5"/>
        <v>2000</v>
      </c>
      <c r="I219" s="259"/>
      <c r="J219" s="259"/>
      <c r="K219" s="259"/>
      <c r="L219" s="259"/>
      <c r="M219" s="259"/>
    </row>
    <row r="220" spans="1:18" ht="15" customHeight="1" x14ac:dyDescent="0.2">
      <c r="A220" s="249">
        <v>4</v>
      </c>
      <c r="B220" s="147" t="s">
        <v>491</v>
      </c>
      <c r="C220" s="61"/>
      <c r="D220" s="61" t="s">
        <v>14</v>
      </c>
      <c r="E220" s="138">
        <f>SUM(E195:E217)</f>
        <v>0</v>
      </c>
      <c r="F220" s="138">
        <f>SUM(F195:F219)</f>
        <v>0</v>
      </c>
      <c r="G220" s="138">
        <f>SUM(G195:G219)</f>
        <v>25232.75</v>
      </c>
      <c r="H220" s="83">
        <f t="shared" si="5"/>
        <v>25232.75</v>
      </c>
      <c r="I220" s="259"/>
      <c r="J220" s="259"/>
      <c r="K220" s="259"/>
      <c r="L220" s="259"/>
      <c r="M220" s="259"/>
      <c r="O220" s="258">
        <f>+H220+H812</f>
        <v>65484.43</v>
      </c>
      <c r="P220" s="259"/>
    </row>
    <row r="221" spans="1:18" ht="15" customHeight="1" x14ac:dyDescent="0.2">
      <c r="A221" s="249" t="s">
        <v>387</v>
      </c>
      <c r="B221" s="147" t="s">
        <v>387</v>
      </c>
      <c r="C221" s="148"/>
      <c r="D221" s="148"/>
      <c r="E221" s="260"/>
      <c r="F221" s="260"/>
      <c r="G221" s="261"/>
      <c r="H221" s="261"/>
      <c r="I221" s="259"/>
      <c r="J221" s="259"/>
      <c r="K221" s="259"/>
      <c r="L221" s="259"/>
      <c r="M221" s="259"/>
      <c r="O221" s="258"/>
      <c r="P221" s="259"/>
      <c r="Q221" s="147" t="s">
        <v>590</v>
      </c>
      <c r="R221" s="259">
        <f>+H220-P221</f>
        <v>25232.75</v>
      </c>
    </row>
    <row r="222" spans="1:18" ht="15" customHeight="1" x14ac:dyDescent="0.2">
      <c r="A222" s="249" t="s">
        <v>387</v>
      </c>
      <c r="B222" s="147" t="s">
        <v>387</v>
      </c>
      <c r="C222" s="368"/>
      <c r="D222" s="369"/>
      <c r="E222" s="370"/>
      <c r="F222" s="370"/>
      <c r="G222" s="370"/>
      <c r="H222" s="370"/>
    </row>
    <row r="223" spans="1:18" ht="15" customHeight="1" x14ac:dyDescent="0.2">
      <c r="A223" s="249" t="s">
        <v>387</v>
      </c>
      <c r="B223" s="147" t="s">
        <v>387</v>
      </c>
      <c r="C223" s="427" t="s">
        <v>119</v>
      </c>
      <c r="D223" s="427"/>
      <c r="E223" s="427"/>
      <c r="F223" s="427"/>
      <c r="G223" s="427"/>
      <c r="H223" s="427"/>
    </row>
    <row r="224" spans="1:18" ht="15" customHeight="1" x14ac:dyDescent="0.2">
      <c r="A224" s="249" t="s">
        <v>387</v>
      </c>
      <c r="B224" s="147" t="s">
        <v>387</v>
      </c>
      <c r="C224" s="428" t="str">
        <f>C3</f>
        <v xml:space="preserve"> PRESUPUESTO AÑO 2024</v>
      </c>
      <c r="D224" s="428"/>
      <c r="E224" s="428"/>
      <c r="F224" s="428"/>
      <c r="G224" s="428"/>
      <c r="H224" s="428"/>
    </row>
    <row r="225" spans="1:15" ht="15" customHeight="1" x14ac:dyDescent="0.2">
      <c r="A225" s="249" t="s">
        <v>387</v>
      </c>
      <c r="B225" s="147" t="s">
        <v>387</v>
      </c>
      <c r="C225" s="428" t="str">
        <f>C4</f>
        <v>PRESUPUESTO EXTRA CONTABLE</v>
      </c>
      <c r="D225" s="428"/>
      <c r="E225" s="428"/>
      <c r="F225" s="428"/>
      <c r="G225" s="428"/>
      <c r="H225" s="428"/>
    </row>
    <row r="226" spans="1:15" ht="15" customHeight="1" x14ac:dyDescent="0.2">
      <c r="A226" s="249" t="s">
        <v>387</v>
      </c>
      <c r="B226" s="147" t="s">
        <v>387</v>
      </c>
      <c r="C226" s="427" t="s">
        <v>117</v>
      </c>
      <c r="D226" s="427"/>
      <c r="E226" s="427"/>
      <c r="F226" s="427"/>
      <c r="G226" s="427"/>
      <c r="H226" s="427"/>
    </row>
    <row r="227" spans="1:15" ht="15" customHeight="1" x14ac:dyDescent="0.2">
      <c r="A227" s="249" t="s">
        <v>387</v>
      </c>
      <c r="B227" s="147" t="s">
        <v>387</v>
      </c>
      <c r="C227" s="429" t="s">
        <v>765</v>
      </c>
      <c r="D227" s="429"/>
      <c r="E227" s="429"/>
      <c r="F227" s="429"/>
      <c r="G227" s="429"/>
      <c r="H227" s="429"/>
    </row>
    <row r="228" spans="1:15" ht="15" customHeight="1" x14ac:dyDescent="0.2">
      <c r="A228" s="249" t="s">
        <v>387</v>
      </c>
      <c r="B228" s="147" t="s">
        <v>387</v>
      </c>
      <c r="C228" s="430" t="s">
        <v>1</v>
      </c>
      <c r="D228" s="430" t="s">
        <v>0</v>
      </c>
      <c r="E228" s="255" t="s">
        <v>56</v>
      </c>
      <c r="F228" s="255" t="str">
        <f>+F193</f>
        <v>REFORMA</v>
      </c>
      <c r="G228" s="255" t="s">
        <v>56</v>
      </c>
      <c r="H228" s="432" t="str">
        <f>+H7</f>
        <v>TOTAL 2024</v>
      </c>
    </row>
    <row r="229" spans="1:15" ht="15" customHeight="1" x14ac:dyDescent="0.2">
      <c r="A229" s="249" t="s">
        <v>387</v>
      </c>
      <c r="B229" s="147" t="s">
        <v>387</v>
      </c>
      <c r="C229" s="431"/>
      <c r="D229" s="431"/>
      <c r="E229" s="255" t="s">
        <v>139</v>
      </c>
      <c r="F229" s="255"/>
      <c r="G229" s="255" t="s">
        <v>140</v>
      </c>
      <c r="H229" s="433"/>
    </row>
    <row r="230" spans="1:15" ht="15" customHeight="1" x14ac:dyDescent="0.2">
      <c r="A230" s="249">
        <v>4</v>
      </c>
      <c r="B230" s="147" t="s">
        <v>441</v>
      </c>
      <c r="C230" s="61">
        <v>51101</v>
      </c>
      <c r="D230" s="73" t="s">
        <v>15</v>
      </c>
      <c r="E230" s="74"/>
      <c r="F230" s="74"/>
      <c r="G230" s="290">
        <v>6000</v>
      </c>
      <c r="H230" s="76">
        <f t="shared" ref="H230:H259" si="6">E230+F230+G230</f>
        <v>6000</v>
      </c>
    </row>
    <row r="231" spans="1:15" ht="15" customHeight="1" x14ac:dyDescent="0.2">
      <c r="A231" s="249">
        <v>4</v>
      </c>
      <c r="B231" s="147" t="s">
        <v>441</v>
      </c>
      <c r="C231" s="61">
        <v>51103</v>
      </c>
      <c r="D231" s="73" t="s">
        <v>16</v>
      </c>
      <c r="E231" s="76"/>
      <c r="F231" s="76"/>
      <c r="G231" s="290">
        <v>500</v>
      </c>
      <c r="H231" s="76">
        <f t="shared" si="6"/>
        <v>500</v>
      </c>
    </row>
    <row r="232" spans="1:15" ht="15" customHeight="1" x14ac:dyDescent="0.2">
      <c r="A232" s="249">
        <v>4</v>
      </c>
      <c r="B232" s="147" t="s">
        <v>441</v>
      </c>
      <c r="C232" s="61">
        <v>51107</v>
      </c>
      <c r="D232" s="73" t="s">
        <v>34</v>
      </c>
      <c r="E232" s="76"/>
      <c r="F232" s="76"/>
      <c r="G232" s="290">
        <v>200</v>
      </c>
      <c r="H232" s="76">
        <f t="shared" si="6"/>
        <v>200</v>
      </c>
    </row>
    <row r="233" spans="1:15" ht="15" customHeight="1" x14ac:dyDescent="0.2">
      <c r="A233" s="249">
        <v>4</v>
      </c>
      <c r="B233" s="147" t="s">
        <v>441</v>
      </c>
      <c r="C233" s="61">
        <v>51401</v>
      </c>
      <c r="D233" s="62" t="s">
        <v>47</v>
      </c>
      <c r="E233" s="74"/>
      <c r="F233" s="74"/>
      <c r="G233" s="290">
        <v>1657.5000000000002</v>
      </c>
      <c r="H233" s="76">
        <f t="shared" si="6"/>
        <v>1657.5000000000002</v>
      </c>
      <c r="O233" s="257"/>
    </row>
    <row r="234" spans="1:15" ht="15" customHeight="1" x14ac:dyDescent="0.2">
      <c r="A234" s="249">
        <v>4</v>
      </c>
      <c r="B234" s="147" t="s">
        <v>441</v>
      </c>
      <c r="C234" s="61">
        <v>51501</v>
      </c>
      <c r="D234" s="73" t="s">
        <v>29</v>
      </c>
      <c r="E234" s="74"/>
      <c r="F234" s="74"/>
      <c r="G234" s="290">
        <v>1706.25</v>
      </c>
      <c r="H234" s="76">
        <f t="shared" si="6"/>
        <v>1706.25</v>
      </c>
    </row>
    <row r="235" spans="1:15" ht="15" customHeight="1" x14ac:dyDescent="0.2">
      <c r="A235" s="249">
        <v>4</v>
      </c>
      <c r="B235" s="147" t="s">
        <v>441</v>
      </c>
      <c r="C235" s="61">
        <v>54101</v>
      </c>
      <c r="D235" s="73" t="s">
        <v>38</v>
      </c>
      <c r="E235" s="74"/>
      <c r="F235" s="74"/>
      <c r="G235" s="140">
        <v>300</v>
      </c>
      <c r="H235" s="76">
        <f t="shared" si="6"/>
        <v>300</v>
      </c>
    </row>
    <row r="236" spans="1:15" ht="15" customHeight="1" x14ac:dyDescent="0.2">
      <c r="A236" s="249">
        <v>4</v>
      </c>
      <c r="B236" s="147" t="s">
        <v>441</v>
      </c>
      <c r="C236" s="61">
        <v>54103</v>
      </c>
      <c r="D236" s="73" t="s">
        <v>630</v>
      </c>
      <c r="E236" s="74"/>
      <c r="F236" s="74"/>
      <c r="G236" s="140">
        <v>100</v>
      </c>
      <c r="H236" s="76">
        <f t="shared" si="6"/>
        <v>100</v>
      </c>
    </row>
    <row r="237" spans="1:15" ht="15" customHeight="1" x14ac:dyDescent="0.2">
      <c r="A237" s="249">
        <v>4</v>
      </c>
      <c r="B237" s="147" t="s">
        <v>441</v>
      </c>
      <c r="C237" s="61">
        <v>54104</v>
      </c>
      <c r="D237" s="73" t="s">
        <v>17</v>
      </c>
      <c r="E237" s="74"/>
      <c r="F237" s="74"/>
      <c r="G237" s="140">
        <v>300</v>
      </c>
      <c r="H237" s="76">
        <f t="shared" si="6"/>
        <v>300</v>
      </c>
    </row>
    <row r="238" spans="1:15" ht="15" customHeight="1" x14ac:dyDescent="0.2">
      <c r="A238" s="249">
        <v>4</v>
      </c>
      <c r="B238" s="147" t="s">
        <v>441</v>
      </c>
      <c r="C238" s="61">
        <v>54105</v>
      </c>
      <c r="D238" s="73" t="s">
        <v>131</v>
      </c>
      <c r="E238" s="74"/>
      <c r="F238" s="74"/>
      <c r="G238" s="140">
        <v>250</v>
      </c>
      <c r="H238" s="76">
        <f t="shared" si="6"/>
        <v>250</v>
      </c>
    </row>
    <row r="239" spans="1:15" ht="15" customHeight="1" x14ac:dyDescent="0.2">
      <c r="A239" s="249">
        <v>4</v>
      </c>
      <c r="B239" s="147" t="s">
        <v>441</v>
      </c>
      <c r="C239" s="61">
        <v>54107</v>
      </c>
      <c r="D239" s="73" t="s">
        <v>631</v>
      </c>
      <c r="E239" s="74"/>
      <c r="F239" s="74"/>
      <c r="G239" s="140">
        <v>200</v>
      </c>
      <c r="H239" s="76">
        <f t="shared" si="6"/>
        <v>200</v>
      </c>
    </row>
    <row r="240" spans="1:15" ht="15" customHeight="1" x14ac:dyDescent="0.2">
      <c r="A240" s="249">
        <v>4</v>
      </c>
      <c r="B240" s="147" t="s">
        <v>441</v>
      </c>
      <c r="C240" s="61" t="s">
        <v>535</v>
      </c>
      <c r="D240" s="73" t="s">
        <v>147</v>
      </c>
      <c r="E240" s="74"/>
      <c r="F240" s="74"/>
      <c r="G240" s="140">
        <v>0</v>
      </c>
      <c r="H240" s="76">
        <f t="shared" si="6"/>
        <v>0</v>
      </c>
    </row>
    <row r="241" spans="1:8" ht="15" customHeight="1" x14ac:dyDescent="0.2">
      <c r="A241" s="249">
        <v>4</v>
      </c>
      <c r="B241" s="147" t="s">
        <v>441</v>
      </c>
      <c r="C241" s="61">
        <v>54111</v>
      </c>
      <c r="D241" s="73" t="s">
        <v>162</v>
      </c>
      <c r="E241" s="74"/>
      <c r="F241" s="74"/>
      <c r="G241" s="140">
        <v>100</v>
      </c>
      <c r="H241" s="76">
        <f t="shared" si="6"/>
        <v>100</v>
      </c>
    </row>
    <row r="242" spans="1:8" ht="15" customHeight="1" x14ac:dyDescent="0.2">
      <c r="A242" s="249">
        <v>4</v>
      </c>
      <c r="B242" s="147" t="s">
        <v>441</v>
      </c>
      <c r="C242" s="61">
        <v>54112</v>
      </c>
      <c r="D242" s="73" t="s">
        <v>42</v>
      </c>
      <c r="E242" s="74"/>
      <c r="F242" s="74"/>
      <c r="G242" s="140">
        <v>100</v>
      </c>
      <c r="H242" s="76">
        <f t="shared" si="6"/>
        <v>100</v>
      </c>
    </row>
    <row r="243" spans="1:8" ht="15" customHeight="1" x14ac:dyDescent="0.2">
      <c r="A243" s="249">
        <v>4</v>
      </c>
      <c r="B243" s="147" t="s">
        <v>441</v>
      </c>
      <c r="C243" s="61">
        <v>54114</v>
      </c>
      <c r="D243" s="73" t="s">
        <v>5</v>
      </c>
      <c r="E243" s="74"/>
      <c r="F243" s="74"/>
      <c r="G243" s="140">
        <v>500</v>
      </c>
      <c r="H243" s="76">
        <f t="shared" si="6"/>
        <v>500</v>
      </c>
    </row>
    <row r="244" spans="1:8" ht="15" customHeight="1" x14ac:dyDescent="0.2">
      <c r="A244" s="249">
        <v>4</v>
      </c>
      <c r="B244" s="147" t="s">
        <v>441</v>
      </c>
      <c r="C244" s="61">
        <v>54115</v>
      </c>
      <c r="D244" s="73" t="s">
        <v>49</v>
      </c>
      <c r="E244" s="74"/>
      <c r="F244" s="74"/>
      <c r="G244" s="140">
        <v>250</v>
      </c>
      <c r="H244" s="76">
        <f t="shared" si="6"/>
        <v>250</v>
      </c>
    </row>
    <row r="245" spans="1:8" ht="15" customHeight="1" x14ac:dyDescent="0.2">
      <c r="A245" s="249">
        <v>4</v>
      </c>
      <c r="B245" s="147" t="s">
        <v>441</v>
      </c>
      <c r="C245" s="61">
        <v>54116</v>
      </c>
      <c r="D245" s="62" t="s">
        <v>155</v>
      </c>
      <c r="E245" s="74"/>
      <c r="F245" s="74"/>
      <c r="G245" s="140">
        <v>100</v>
      </c>
      <c r="H245" s="76">
        <f t="shared" si="6"/>
        <v>100</v>
      </c>
    </row>
    <row r="246" spans="1:8" ht="15" customHeight="1" x14ac:dyDescent="0.2">
      <c r="A246" s="249">
        <v>4</v>
      </c>
      <c r="B246" s="147" t="s">
        <v>441</v>
      </c>
      <c r="C246" s="61">
        <v>54118</v>
      </c>
      <c r="D246" s="62" t="s">
        <v>35</v>
      </c>
      <c r="E246" s="74"/>
      <c r="F246" s="74"/>
      <c r="G246" s="140">
        <v>100</v>
      </c>
      <c r="H246" s="76">
        <f t="shared" si="6"/>
        <v>100</v>
      </c>
    </row>
    <row r="247" spans="1:8" ht="15" customHeight="1" x14ac:dyDescent="0.2">
      <c r="A247" s="249">
        <v>4</v>
      </c>
      <c r="B247" s="147" t="s">
        <v>441</v>
      </c>
      <c r="C247" s="61">
        <v>54119</v>
      </c>
      <c r="D247" s="62" t="s">
        <v>44</v>
      </c>
      <c r="E247" s="74"/>
      <c r="F247" s="74"/>
      <c r="G247" s="140">
        <v>100</v>
      </c>
      <c r="H247" s="76">
        <f t="shared" si="6"/>
        <v>100</v>
      </c>
    </row>
    <row r="248" spans="1:8" ht="15" customHeight="1" x14ac:dyDescent="0.2">
      <c r="A248" s="249">
        <v>4</v>
      </c>
      <c r="B248" s="147" t="s">
        <v>441</v>
      </c>
      <c r="C248" s="61">
        <v>54199</v>
      </c>
      <c r="D248" s="62" t="s">
        <v>318</v>
      </c>
      <c r="E248" s="74"/>
      <c r="F248" s="74"/>
      <c r="G248" s="140">
        <v>200</v>
      </c>
      <c r="H248" s="76">
        <f t="shared" si="6"/>
        <v>200</v>
      </c>
    </row>
    <row r="249" spans="1:8" ht="15" customHeight="1" x14ac:dyDescent="0.2">
      <c r="A249" s="249">
        <v>4</v>
      </c>
      <c r="B249" s="147" t="s">
        <v>441</v>
      </c>
      <c r="C249" s="61">
        <v>54301</v>
      </c>
      <c r="D249" s="62" t="s">
        <v>8</v>
      </c>
      <c r="E249" s="74"/>
      <c r="F249" s="74"/>
      <c r="G249" s="140">
        <v>100</v>
      </c>
      <c r="H249" s="76">
        <f t="shared" si="6"/>
        <v>100</v>
      </c>
    </row>
    <row r="250" spans="1:8" ht="15" customHeight="1" x14ac:dyDescent="0.2">
      <c r="A250" s="249">
        <v>4</v>
      </c>
      <c r="B250" s="147" t="s">
        <v>441</v>
      </c>
      <c r="C250" s="61">
        <v>54303</v>
      </c>
      <c r="D250" s="62" t="s">
        <v>183</v>
      </c>
      <c r="E250" s="74"/>
      <c r="F250" s="74"/>
      <c r="G250" s="140">
        <v>100</v>
      </c>
      <c r="H250" s="76">
        <f t="shared" si="6"/>
        <v>100</v>
      </c>
    </row>
    <row r="251" spans="1:8" ht="15" customHeight="1" x14ac:dyDescent="0.2">
      <c r="A251" s="249">
        <v>4</v>
      </c>
      <c r="B251" s="147" t="s">
        <v>441</v>
      </c>
      <c r="C251" s="61">
        <v>54310</v>
      </c>
      <c r="D251" s="62" t="s">
        <v>390</v>
      </c>
      <c r="E251" s="74"/>
      <c r="F251" s="74"/>
      <c r="G251" s="140">
        <v>100</v>
      </c>
      <c r="H251" s="76">
        <f t="shared" si="6"/>
        <v>100</v>
      </c>
    </row>
    <row r="252" spans="1:8" ht="15" customHeight="1" x14ac:dyDescent="0.2">
      <c r="A252" s="249">
        <v>4</v>
      </c>
      <c r="B252" s="147" t="s">
        <v>441</v>
      </c>
      <c r="C252" s="61">
        <v>54313</v>
      </c>
      <c r="D252" s="62" t="s">
        <v>11</v>
      </c>
      <c r="E252" s="74"/>
      <c r="F252" s="74"/>
      <c r="G252" s="140">
        <v>100</v>
      </c>
      <c r="H252" s="76">
        <f t="shared" si="6"/>
        <v>100</v>
      </c>
    </row>
    <row r="253" spans="1:8" ht="15" customHeight="1" x14ac:dyDescent="0.2">
      <c r="A253" s="249">
        <v>4</v>
      </c>
      <c r="B253" s="147" t="s">
        <v>441</v>
      </c>
      <c r="C253" s="61">
        <v>54314</v>
      </c>
      <c r="D253" s="62" t="s">
        <v>12</v>
      </c>
      <c r="E253" s="74"/>
      <c r="F253" s="74"/>
      <c r="G253" s="140">
        <v>100</v>
      </c>
      <c r="H253" s="76">
        <f t="shared" si="6"/>
        <v>100</v>
      </c>
    </row>
    <row r="254" spans="1:8" ht="15" customHeight="1" x14ac:dyDescent="0.2">
      <c r="A254" s="249">
        <v>4</v>
      </c>
      <c r="B254" s="147" t="s">
        <v>441</v>
      </c>
      <c r="C254" s="61">
        <v>54399</v>
      </c>
      <c r="D254" s="62" t="s">
        <v>153</v>
      </c>
      <c r="E254" s="74"/>
      <c r="F254" s="74"/>
      <c r="G254" s="140">
        <v>100</v>
      </c>
      <c r="H254" s="76">
        <f t="shared" si="6"/>
        <v>100</v>
      </c>
    </row>
    <row r="255" spans="1:8" ht="15" customHeight="1" x14ac:dyDescent="0.2">
      <c r="A255" s="249">
        <v>4</v>
      </c>
      <c r="B255" s="147" t="s">
        <v>441</v>
      </c>
      <c r="C255" s="61">
        <v>54401</v>
      </c>
      <c r="D255" s="62" t="s">
        <v>30</v>
      </c>
      <c r="E255" s="74"/>
      <c r="F255" s="74"/>
      <c r="G255" s="140">
        <v>150</v>
      </c>
      <c r="H255" s="76">
        <f t="shared" si="6"/>
        <v>150</v>
      </c>
    </row>
    <row r="256" spans="1:8" ht="15" customHeight="1" x14ac:dyDescent="0.2">
      <c r="A256" s="249">
        <v>4</v>
      </c>
      <c r="B256" s="147" t="s">
        <v>441</v>
      </c>
      <c r="C256" s="61">
        <v>54402</v>
      </c>
      <c r="D256" s="62" t="s">
        <v>184</v>
      </c>
      <c r="E256" s="74"/>
      <c r="F256" s="74"/>
      <c r="G256" s="140">
        <v>100</v>
      </c>
      <c r="H256" s="76">
        <f t="shared" si="6"/>
        <v>100</v>
      </c>
    </row>
    <row r="257" spans="1:18" ht="15" customHeight="1" x14ac:dyDescent="0.2">
      <c r="A257" s="249">
        <v>4</v>
      </c>
      <c r="B257" s="147" t="s">
        <v>441</v>
      </c>
      <c r="C257" s="61">
        <v>61101</v>
      </c>
      <c r="D257" s="73" t="s">
        <v>144</v>
      </c>
      <c r="E257" s="74"/>
      <c r="F257" s="74"/>
      <c r="G257" s="140">
        <v>200</v>
      </c>
      <c r="H257" s="76">
        <f t="shared" si="6"/>
        <v>200</v>
      </c>
    </row>
    <row r="258" spans="1:18" ht="15" customHeight="1" x14ac:dyDescent="0.2">
      <c r="A258" s="249">
        <v>4</v>
      </c>
      <c r="B258" s="147" t="s">
        <v>441</v>
      </c>
      <c r="C258" s="61">
        <v>61102</v>
      </c>
      <c r="D258" s="73" t="s">
        <v>28</v>
      </c>
      <c r="E258" s="74"/>
      <c r="F258" s="74"/>
      <c r="G258" s="140">
        <v>100</v>
      </c>
      <c r="H258" s="76">
        <f t="shared" si="6"/>
        <v>100</v>
      </c>
    </row>
    <row r="259" spans="1:18" ht="15" customHeight="1" x14ac:dyDescent="0.2">
      <c r="A259" s="249">
        <v>4</v>
      </c>
      <c r="B259" s="147" t="s">
        <v>441</v>
      </c>
      <c r="C259" s="61">
        <v>61104</v>
      </c>
      <c r="D259" s="73" t="s">
        <v>46</v>
      </c>
      <c r="E259" s="74"/>
      <c r="F259" s="74"/>
      <c r="G259" s="140">
        <v>700</v>
      </c>
      <c r="H259" s="76">
        <f t="shared" si="6"/>
        <v>700</v>
      </c>
    </row>
    <row r="260" spans="1:18" ht="15" customHeight="1" x14ac:dyDescent="0.2">
      <c r="A260" s="249">
        <v>4</v>
      </c>
      <c r="B260" s="147" t="s">
        <v>492</v>
      </c>
      <c r="C260" s="61"/>
      <c r="D260" s="61" t="s">
        <v>14</v>
      </c>
      <c r="E260" s="138">
        <f>SUM(E230:E257)</f>
        <v>0</v>
      </c>
      <c r="F260" s="138">
        <f>SUM(F230:F257)</f>
        <v>0</v>
      </c>
      <c r="G260" s="138">
        <f>SUM(G230:G259)</f>
        <v>14513.75</v>
      </c>
      <c r="H260" s="138">
        <f>SUM(H230:H259)</f>
        <v>14513.75</v>
      </c>
      <c r="O260" s="258"/>
      <c r="P260" s="259"/>
    </row>
    <row r="261" spans="1:18" ht="15" customHeight="1" x14ac:dyDescent="0.2">
      <c r="A261" s="249" t="s">
        <v>532</v>
      </c>
      <c r="B261" s="147" t="s">
        <v>387</v>
      </c>
      <c r="C261" s="396"/>
      <c r="D261" s="396"/>
      <c r="E261" s="149"/>
      <c r="F261" s="149"/>
      <c r="G261" s="149"/>
      <c r="H261" s="149"/>
      <c r="O261" s="258"/>
      <c r="P261" s="259"/>
    </row>
    <row r="262" spans="1:18" ht="15" customHeight="1" x14ac:dyDescent="0.2">
      <c r="A262" s="249" t="s">
        <v>387</v>
      </c>
      <c r="B262" s="147" t="s">
        <v>387</v>
      </c>
      <c r="C262" s="368"/>
      <c r="D262" s="369"/>
      <c r="E262" s="370"/>
      <c r="F262" s="370"/>
      <c r="G262" s="370"/>
      <c r="H262" s="370"/>
      <c r="O262" s="258"/>
      <c r="P262" s="259"/>
      <c r="Q262" s="147" t="s">
        <v>590</v>
      </c>
      <c r="R262" s="259">
        <f>+H260-P262</f>
        <v>14513.75</v>
      </c>
    </row>
    <row r="263" spans="1:18" ht="15" customHeight="1" x14ac:dyDescent="0.2">
      <c r="A263" s="249" t="s">
        <v>532</v>
      </c>
      <c r="B263" s="147" t="s">
        <v>387</v>
      </c>
      <c r="C263" s="427" t="s">
        <v>119</v>
      </c>
      <c r="D263" s="427"/>
      <c r="E263" s="427"/>
      <c r="F263" s="427"/>
      <c r="G263" s="427"/>
      <c r="H263" s="427"/>
      <c r="O263" s="258"/>
      <c r="P263" s="259"/>
      <c r="R263" s="259"/>
    </row>
    <row r="264" spans="1:18" ht="15" customHeight="1" x14ac:dyDescent="0.2">
      <c r="A264" s="249" t="s">
        <v>532</v>
      </c>
      <c r="B264" s="147" t="s">
        <v>387</v>
      </c>
      <c r="C264" s="428" t="str">
        <f>C3</f>
        <v xml:space="preserve"> PRESUPUESTO AÑO 2024</v>
      </c>
      <c r="D264" s="428"/>
      <c r="E264" s="428"/>
      <c r="F264" s="428"/>
      <c r="G264" s="428"/>
      <c r="H264" s="428"/>
      <c r="O264" s="258"/>
      <c r="P264" s="259"/>
      <c r="R264" s="259"/>
    </row>
    <row r="265" spans="1:18" ht="15" customHeight="1" x14ac:dyDescent="0.2">
      <c r="A265" s="249" t="s">
        <v>532</v>
      </c>
      <c r="B265" s="147" t="s">
        <v>387</v>
      </c>
      <c r="C265" s="428" t="str">
        <f>C4</f>
        <v>PRESUPUESTO EXTRA CONTABLE</v>
      </c>
      <c r="D265" s="428"/>
      <c r="E265" s="428"/>
      <c r="F265" s="428"/>
      <c r="G265" s="428"/>
      <c r="H265" s="428"/>
      <c r="O265" s="258"/>
      <c r="P265" s="259"/>
      <c r="R265" s="259"/>
    </row>
    <row r="266" spans="1:18" ht="15" customHeight="1" x14ac:dyDescent="0.2">
      <c r="A266" s="249" t="s">
        <v>532</v>
      </c>
      <c r="B266" s="147" t="s">
        <v>387</v>
      </c>
      <c r="C266" s="427" t="s">
        <v>117</v>
      </c>
      <c r="D266" s="427"/>
      <c r="E266" s="427"/>
      <c r="F266" s="427"/>
      <c r="G266" s="427"/>
      <c r="H266" s="427"/>
      <c r="O266" s="258"/>
      <c r="P266" s="259"/>
      <c r="R266" s="259"/>
    </row>
    <row r="267" spans="1:18" ht="15" customHeight="1" x14ac:dyDescent="0.2">
      <c r="A267" s="249" t="s">
        <v>532</v>
      </c>
      <c r="B267" s="147" t="s">
        <v>387</v>
      </c>
      <c r="C267" s="429" t="s">
        <v>868</v>
      </c>
      <c r="D267" s="429"/>
      <c r="E267" s="429"/>
      <c r="F267" s="429"/>
      <c r="G267" s="429"/>
      <c r="H267" s="429"/>
      <c r="O267" s="258"/>
      <c r="P267" s="259"/>
      <c r="R267" s="259"/>
    </row>
    <row r="268" spans="1:18" ht="15" customHeight="1" x14ac:dyDescent="0.2">
      <c r="A268" s="249" t="s">
        <v>532</v>
      </c>
      <c r="B268" s="147" t="s">
        <v>387</v>
      </c>
      <c r="C268" s="430" t="s">
        <v>1</v>
      </c>
      <c r="D268" s="430" t="s">
        <v>0</v>
      </c>
      <c r="E268" s="255" t="s">
        <v>56</v>
      </c>
      <c r="F268" s="255">
        <f>+F231</f>
        <v>0</v>
      </c>
      <c r="G268" s="255" t="s">
        <v>56</v>
      </c>
      <c r="H268" s="432">
        <f>+H46</f>
        <v>15000</v>
      </c>
      <c r="O268" s="258"/>
      <c r="P268" s="259"/>
      <c r="R268" s="259"/>
    </row>
    <row r="269" spans="1:18" ht="15" customHeight="1" x14ac:dyDescent="0.2">
      <c r="A269" s="249" t="s">
        <v>532</v>
      </c>
      <c r="B269" s="147" t="s">
        <v>387</v>
      </c>
      <c r="C269" s="431"/>
      <c r="D269" s="431"/>
      <c r="E269" s="255" t="s">
        <v>139</v>
      </c>
      <c r="F269" s="255"/>
      <c r="G269" s="255" t="s">
        <v>140</v>
      </c>
      <c r="H269" s="433"/>
      <c r="O269" s="258"/>
      <c r="P269" s="259"/>
      <c r="R269" s="259"/>
    </row>
    <row r="270" spans="1:18" ht="15" customHeight="1" x14ac:dyDescent="0.2">
      <c r="A270" s="249">
        <v>4</v>
      </c>
      <c r="B270" s="147" t="s">
        <v>866</v>
      </c>
      <c r="C270" s="61">
        <v>51101</v>
      </c>
      <c r="D270" s="73" t="s">
        <v>15</v>
      </c>
      <c r="E270" s="74"/>
      <c r="F270" s="74"/>
      <c r="G270" s="290">
        <v>9600</v>
      </c>
      <c r="H270" s="76">
        <f t="shared" ref="H270:H277" si="7">E270+F270+G270</f>
        <v>9600</v>
      </c>
      <c r="O270" s="258"/>
      <c r="P270" s="259"/>
      <c r="R270" s="259"/>
    </row>
    <row r="271" spans="1:18" ht="15" customHeight="1" x14ac:dyDescent="0.2">
      <c r="A271" s="249">
        <v>4</v>
      </c>
      <c r="B271" s="147" t="s">
        <v>866</v>
      </c>
      <c r="C271" s="61">
        <v>51103</v>
      </c>
      <c r="D271" s="73" t="s">
        <v>16</v>
      </c>
      <c r="E271" s="76"/>
      <c r="F271" s="76"/>
      <c r="G271" s="290">
        <v>800</v>
      </c>
      <c r="H271" s="76">
        <f t="shared" si="7"/>
        <v>800</v>
      </c>
      <c r="O271" s="258"/>
      <c r="P271" s="259"/>
      <c r="R271" s="259"/>
    </row>
    <row r="272" spans="1:18" ht="15" customHeight="1" x14ac:dyDescent="0.2">
      <c r="A272" s="249">
        <v>4</v>
      </c>
      <c r="B272" s="147" t="s">
        <v>866</v>
      </c>
      <c r="C272" s="61">
        <v>51107</v>
      </c>
      <c r="D272" s="73" t="s">
        <v>34</v>
      </c>
      <c r="E272" s="76"/>
      <c r="F272" s="76"/>
      <c r="G272" s="290">
        <v>200</v>
      </c>
      <c r="H272" s="76">
        <f t="shared" si="7"/>
        <v>200</v>
      </c>
      <c r="O272" s="258"/>
      <c r="P272" s="259"/>
      <c r="R272" s="259"/>
    </row>
    <row r="273" spans="1:18" ht="15" customHeight="1" x14ac:dyDescent="0.2">
      <c r="A273" s="249">
        <v>4</v>
      </c>
      <c r="B273" s="147" t="s">
        <v>866</v>
      </c>
      <c r="C273" s="61">
        <v>51401</v>
      </c>
      <c r="D273" s="62" t="s">
        <v>47</v>
      </c>
      <c r="E273" s="74"/>
      <c r="F273" s="74"/>
      <c r="G273" s="290">
        <f>G270*0.085</f>
        <v>816.00000000000011</v>
      </c>
      <c r="H273" s="76">
        <f t="shared" si="7"/>
        <v>816.00000000000011</v>
      </c>
      <c r="O273" s="258"/>
      <c r="P273" s="259"/>
      <c r="R273" s="259"/>
    </row>
    <row r="274" spans="1:18" ht="15" customHeight="1" x14ac:dyDescent="0.2">
      <c r="A274" s="249">
        <v>4</v>
      </c>
      <c r="B274" s="147" t="s">
        <v>866</v>
      </c>
      <c r="C274" s="61">
        <v>51501</v>
      </c>
      <c r="D274" s="73" t="s">
        <v>29</v>
      </c>
      <c r="E274" s="74"/>
      <c r="F274" s="74"/>
      <c r="G274" s="290">
        <f>G270*8.75%</f>
        <v>840</v>
      </c>
      <c r="H274" s="76">
        <f t="shared" si="7"/>
        <v>840</v>
      </c>
      <c r="O274" s="258"/>
      <c r="P274" s="259"/>
      <c r="R274" s="259"/>
    </row>
    <row r="275" spans="1:18" ht="15" customHeight="1" x14ac:dyDescent="0.2">
      <c r="A275" s="249">
        <v>4</v>
      </c>
      <c r="B275" s="147" t="s">
        <v>866</v>
      </c>
      <c r="C275" s="61">
        <v>51901</v>
      </c>
      <c r="D275" s="73" t="s">
        <v>330</v>
      </c>
      <c r="E275" s="74"/>
      <c r="F275" s="74"/>
      <c r="G275" s="140">
        <v>6000</v>
      </c>
      <c r="H275" s="76">
        <f t="shared" si="7"/>
        <v>6000</v>
      </c>
      <c r="O275" s="258"/>
      <c r="P275" s="259"/>
      <c r="R275" s="259"/>
    </row>
    <row r="276" spans="1:18" ht="15" customHeight="1" x14ac:dyDescent="0.2">
      <c r="A276" s="249">
        <v>4</v>
      </c>
      <c r="B276" s="147" t="s">
        <v>866</v>
      </c>
      <c r="C276" s="61">
        <v>54102</v>
      </c>
      <c r="D276" s="73" t="s">
        <v>37</v>
      </c>
      <c r="E276" s="74"/>
      <c r="F276" s="74"/>
      <c r="G276" s="140">
        <v>3000</v>
      </c>
      <c r="H276" s="76">
        <f t="shared" si="7"/>
        <v>3000</v>
      </c>
      <c r="O276" s="258"/>
      <c r="P276" s="259"/>
      <c r="R276" s="259"/>
    </row>
    <row r="277" spans="1:18" ht="15" customHeight="1" x14ac:dyDescent="0.2">
      <c r="A277" s="249">
        <v>4</v>
      </c>
      <c r="B277" s="147" t="s">
        <v>866</v>
      </c>
      <c r="C277" s="61">
        <v>54199</v>
      </c>
      <c r="D277" s="62" t="s">
        <v>318</v>
      </c>
      <c r="E277" s="74"/>
      <c r="F277" s="74"/>
      <c r="G277" s="140">
        <v>5000</v>
      </c>
      <c r="H277" s="76">
        <f t="shared" si="7"/>
        <v>5000</v>
      </c>
      <c r="O277" s="258"/>
      <c r="P277" s="259"/>
      <c r="R277" s="259"/>
    </row>
    <row r="278" spans="1:18" ht="15" customHeight="1" x14ac:dyDescent="0.2">
      <c r="A278" s="249">
        <v>4</v>
      </c>
      <c r="B278" s="147" t="s">
        <v>867</v>
      </c>
      <c r="C278" s="61"/>
      <c r="D278" s="61" t="s">
        <v>14</v>
      </c>
      <c r="E278" s="138">
        <f>SUM(E270:E277)</f>
        <v>0</v>
      </c>
      <c r="F278" s="138">
        <f>SUM(F270:F277)</f>
        <v>0</v>
      </c>
      <c r="G278" s="138">
        <f>SUM(G270:G277)</f>
        <v>26256</v>
      </c>
      <c r="H278" s="138">
        <f>SUM(H270:H277)</f>
        <v>26256</v>
      </c>
      <c r="O278" s="258"/>
      <c r="P278" s="259"/>
      <c r="R278" s="259"/>
    </row>
    <row r="279" spans="1:18" ht="15" customHeight="1" x14ac:dyDescent="0.2">
      <c r="A279" s="249" t="s">
        <v>532</v>
      </c>
      <c r="B279" s="147" t="s">
        <v>387</v>
      </c>
      <c r="C279" s="396"/>
      <c r="D279" s="396"/>
      <c r="E279" s="149"/>
      <c r="F279" s="149"/>
      <c r="G279" s="149"/>
      <c r="H279" s="149"/>
      <c r="O279" s="258"/>
      <c r="P279" s="259"/>
      <c r="R279" s="259"/>
    </row>
    <row r="280" spans="1:18" ht="15" customHeight="1" x14ac:dyDescent="0.2">
      <c r="A280" s="249" t="s">
        <v>387</v>
      </c>
      <c r="B280" s="147" t="s">
        <v>387</v>
      </c>
      <c r="C280" s="368"/>
      <c r="D280" s="368"/>
      <c r="E280" s="367"/>
      <c r="F280" s="367"/>
      <c r="G280" s="366"/>
      <c r="H280" s="366"/>
    </row>
    <row r="281" spans="1:18" ht="15" customHeight="1" x14ac:dyDescent="0.2">
      <c r="A281" s="249" t="s">
        <v>387</v>
      </c>
      <c r="B281" s="147" t="s">
        <v>387</v>
      </c>
      <c r="C281" s="427" t="s">
        <v>119</v>
      </c>
      <c r="D281" s="427"/>
      <c r="E281" s="427"/>
      <c r="F281" s="427"/>
      <c r="G281" s="427"/>
      <c r="H281" s="427"/>
    </row>
    <row r="282" spans="1:18" ht="15" customHeight="1" x14ac:dyDescent="0.2">
      <c r="A282" s="249" t="s">
        <v>387</v>
      </c>
      <c r="B282" s="147" t="s">
        <v>387</v>
      </c>
      <c r="C282" s="428" t="str">
        <f>C3</f>
        <v xml:space="preserve"> PRESUPUESTO AÑO 2024</v>
      </c>
      <c r="D282" s="428"/>
      <c r="E282" s="428"/>
      <c r="F282" s="428"/>
      <c r="G282" s="428"/>
      <c r="H282" s="428"/>
    </row>
    <row r="283" spans="1:18" ht="15" customHeight="1" x14ac:dyDescent="0.2">
      <c r="A283" s="249" t="s">
        <v>387</v>
      </c>
      <c r="B283" s="147" t="s">
        <v>387</v>
      </c>
      <c r="C283" s="428" t="str">
        <f>C4</f>
        <v>PRESUPUESTO EXTRA CONTABLE</v>
      </c>
      <c r="D283" s="428"/>
      <c r="E283" s="428"/>
      <c r="F283" s="428"/>
      <c r="G283" s="428"/>
      <c r="H283" s="428"/>
    </row>
    <row r="284" spans="1:18" ht="15" customHeight="1" x14ac:dyDescent="0.2">
      <c r="A284" s="249" t="s">
        <v>387</v>
      </c>
      <c r="B284" s="147" t="s">
        <v>387</v>
      </c>
      <c r="C284" s="427" t="s">
        <v>117</v>
      </c>
      <c r="D284" s="427"/>
      <c r="E284" s="427"/>
      <c r="F284" s="427"/>
      <c r="G284" s="427"/>
      <c r="H284" s="427"/>
    </row>
    <row r="285" spans="1:18" ht="15" customHeight="1" x14ac:dyDescent="0.2">
      <c r="A285" s="249" t="s">
        <v>387</v>
      </c>
      <c r="B285" s="147" t="s">
        <v>387</v>
      </c>
      <c r="C285" s="427" t="s">
        <v>431</v>
      </c>
      <c r="D285" s="427"/>
      <c r="E285" s="427"/>
      <c r="F285" s="427"/>
      <c r="G285" s="427"/>
      <c r="H285" s="427"/>
    </row>
    <row r="286" spans="1:18" ht="15" customHeight="1" x14ac:dyDescent="0.2">
      <c r="A286" s="249" t="s">
        <v>387</v>
      </c>
      <c r="B286" s="147" t="s">
        <v>387</v>
      </c>
      <c r="C286" s="430" t="s">
        <v>1</v>
      </c>
      <c r="D286" s="430" t="s">
        <v>0</v>
      </c>
      <c r="E286" s="255" t="s">
        <v>56</v>
      </c>
      <c r="F286" s="255" t="str">
        <f>+F228</f>
        <v>REFORMA</v>
      </c>
      <c r="G286" s="255" t="s">
        <v>56</v>
      </c>
      <c r="H286" s="432" t="str">
        <f>+H7</f>
        <v>TOTAL 2024</v>
      </c>
    </row>
    <row r="287" spans="1:18" ht="15" customHeight="1" x14ac:dyDescent="0.2">
      <c r="A287" s="249" t="s">
        <v>387</v>
      </c>
      <c r="B287" s="147" t="s">
        <v>387</v>
      </c>
      <c r="C287" s="431"/>
      <c r="D287" s="431"/>
      <c r="E287" s="255" t="s">
        <v>139</v>
      </c>
      <c r="F287" s="255"/>
      <c r="G287" s="255" t="s">
        <v>140</v>
      </c>
      <c r="H287" s="433"/>
    </row>
    <row r="288" spans="1:18" ht="15" customHeight="1" x14ac:dyDescent="0.2">
      <c r="A288" s="249">
        <v>48</v>
      </c>
      <c r="B288" s="147">
        <v>48</v>
      </c>
      <c r="C288" s="61">
        <v>51101</v>
      </c>
      <c r="D288" s="73" t="s">
        <v>15</v>
      </c>
      <c r="E288" s="74"/>
      <c r="F288" s="74"/>
      <c r="G288" s="272">
        <v>29280</v>
      </c>
      <c r="H288" s="76">
        <f t="shared" ref="H288:H316" si="8">E288+F288+G288</f>
        <v>29280</v>
      </c>
    </row>
    <row r="289" spans="1:15" ht="15" customHeight="1" x14ac:dyDescent="0.2">
      <c r="A289" s="249">
        <v>48</v>
      </c>
      <c r="B289" s="147">
        <v>48</v>
      </c>
      <c r="C289" s="61">
        <v>51103</v>
      </c>
      <c r="D289" s="73" t="s">
        <v>16</v>
      </c>
      <c r="E289" s="76"/>
      <c r="F289" s="76"/>
      <c r="G289" s="272">
        <v>2440</v>
      </c>
      <c r="H289" s="76">
        <f t="shared" si="8"/>
        <v>2440</v>
      </c>
    </row>
    <row r="290" spans="1:15" ht="15" customHeight="1" x14ac:dyDescent="0.2">
      <c r="A290" s="249">
        <v>48</v>
      </c>
      <c r="B290" s="147">
        <v>48</v>
      </c>
      <c r="C290" s="61">
        <v>51107</v>
      </c>
      <c r="D290" s="73" t="s">
        <v>34</v>
      </c>
      <c r="E290" s="76"/>
      <c r="F290" s="76"/>
      <c r="G290" s="272">
        <v>400</v>
      </c>
      <c r="H290" s="76">
        <f t="shared" si="8"/>
        <v>400</v>
      </c>
    </row>
    <row r="291" spans="1:15" ht="15" customHeight="1" x14ac:dyDescent="0.2">
      <c r="A291" s="249">
        <v>48</v>
      </c>
      <c r="B291" s="147">
        <v>48</v>
      </c>
      <c r="C291" s="61">
        <v>51401</v>
      </c>
      <c r="D291" s="62" t="s">
        <v>47</v>
      </c>
      <c r="E291" s="74"/>
      <c r="F291" s="74"/>
      <c r="G291" s="272">
        <v>2488.8000000000002</v>
      </c>
      <c r="H291" s="76">
        <f t="shared" si="8"/>
        <v>2488.8000000000002</v>
      </c>
      <c r="O291" s="257"/>
    </row>
    <row r="292" spans="1:15" ht="15" customHeight="1" x14ac:dyDescent="0.2">
      <c r="A292" s="249">
        <v>48</v>
      </c>
      <c r="B292" s="147">
        <v>48</v>
      </c>
      <c r="C292" s="61">
        <v>51501</v>
      </c>
      <c r="D292" s="73" t="s">
        <v>29</v>
      </c>
      <c r="E292" s="74"/>
      <c r="F292" s="74"/>
      <c r="G292" s="272">
        <v>2562</v>
      </c>
      <c r="H292" s="76">
        <f t="shared" si="8"/>
        <v>2562</v>
      </c>
    </row>
    <row r="293" spans="1:15" ht="15" customHeight="1" x14ac:dyDescent="0.2">
      <c r="A293" s="249">
        <v>48</v>
      </c>
      <c r="B293" s="147">
        <v>48</v>
      </c>
      <c r="C293" s="61">
        <v>54101</v>
      </c>
      <c r="D293" s="73" t="s">
        <v>38</v>
      </c>
      <c r="E293" s="74"/>
      <c r="F293" s="74"/>
      <c r="G293" s="76">
        <v>1000</v>
      </c>
      <c r="H293" s="76">
        <f t="shared" si="8"/>
        <v>1000</v>
      </c>
    </row>
    <row r="294" spans="1:15" ht="15" customHeight="1" x14ac:dyDescent="0.2">
      <c r="A294" s="249">
        <v>48</v>
      </c>
      <c r="B294" s="147">
        <v>48</v>
      </c>
      <c r="C294" s="61">
        <v>54103</v>
      </c>
      <c r="D294" s="73" t="s">
        <v>586</v>
      </c>
      <c r="E294" s="74"/>
      <c r="F294" s="74"/>
      <c r="G294" s="76">
        <v>300</v>
      </c>
      <c r="H294" s="76">
        <f t="shared" si="8"/>
        <v>300</v>
      </c>
    </row>
    <row r="295" spans="1:15" ht="15" customHeight="1" x14ac:dyDescent="0.2">
      <c r="A295" s="249">
        <v>48</v>
      </c>
      <c r="B295" s="147">
        <v>48</v>
      </c>
      <c r="C295" s="61">
        <v>54104</v>
      </c>
      <c r="D295" s="73" t="s">
        <v>17</v>
      </c>
      <c r="E295" s="74"/>
      <c r="F295" s="74"/>
      <c r="G295" s="76">
        <v>800</v>
      </c>
      <c r="H295" s="76">
        <f t="shared" si="8"/>
        <v>800</v>
      </c>
    </row>
    <row r="296" spans="1:15" ht="15" customHeight="1" x14ac:dyDescent="0.2">
      <c r="A296" s="249">
        <v>48</v>
      </c>
      <c r="B296" s="147">
        <v>48</v>
      </c>
      <c r="C296" s="61">
        <v>54105</v>
      </c>
      <c r="D296" s="73" t="s">
        <v>3</v>
      </c>
      <c r="E296" s="74"/>
      <c r="F296" s="74"/>
      <c r="G296" s="76">
        <v>800</v>
      </c>
      <c r="H296" s="76">
        <f t="shared" si="8"/>
        <v>800</v>
      </c>
    </row>
    <row r="297" spans="1:15" ht="15" customHeight="1" x14ac:dyDescent="0.2">
      <c r="A297" s="249">
        <v>48</v>
      </c>
      <c r="B297" s="147">
        <v>48</v>
      </c>
      <c r="C297" s="61">
        <v>54106</v>
      </c>
      <c r="D297" s="73" t="s">
        <v>18</v>
      </c>
      <c r="E297" s="74"/>
      <c r="F297" s="74"/>
      <c r="G297" s="76">
        <v>200</v>
      </c>
      <c r="H297" s="76">
        <f t="shared" si="8"/>
        <v>200</v>
      </c>
    </row>
    <row r="298" spans="1:15" ht="15" customHeight="1" x14ac:dyDescent="0.2">
      <c r="A298" s="249">
        <v>48</v>
      </c>
      <c r="B298" s="147">
        <v>48</v>
      </c>
      <c r="C298" s="61">
        <v>54107</v>
      </c>
      <c r="D298" s="73" t="s">
        <v>43</v>
      </c>
      <c r="E298" s="74"/>
      <c r="F298" s="74"/>
      <c r="G298" s="76">
        <v>500</v>
      </c>
      <c r="H298" s="76">
        <f t="shared" si="8"/>
        <v>500</v>
      </c>
    </row>
    <row r="299" spans="1:15" ht="15" customHeight="1" x14ac:dyDescent="0.2">
      <c r="A299" s="249">
        <v>48</v>
      </c>
      <c r="B299" s="147">
        <v>48</v>
      </c>
      <c r="C299" s="61">
        <v>54110</v>
      </c>
      <c r="D299" s="73" t="s">
        <v>147</v>
      </c>
      <c r="E299" s="74"/>
      <c r="F299" s="74"/>
      <c r="G299" s="76">
        <v>200</v>
      </c>
      <c r="H299" s="76">
        <f t="shared" si="8"/>
        <v>200</v>
      </c>
    </row>
    <row r="300" spans="1:15" ht="15" customHeight="1" x14ac:dyDescent="0.2">
      <c r="A300" s="249">
        <v>48</v>
      </c>
      <c r="B300" s="147">
        <v>48</v>
      </c>
      <c r="C300" s="61">
        <v>54111</v>
      </c>
      <c r="D300" s="73" t="s">
        <v>162</v>
      </c>
      <c r="E300" s="74"/>
      <c r="F300" s="74"/>
      <c r="G300" s="76">
        <v>400</v>
      </c>
      <c r="H300" s="76">
        <f t="shared" si="8"/>
        <v>400</v>
      </c>
    </row>
    <row r="301" spans="1:15" ht="15" customHeight="1" x14ac:dyDescent="0.2">
      <c r="A301" s="249">
        <v>48</v>
      </c>
      <c r="B301" s="147">
        <v>48</v>
      </c>
      <c r="C301" s="61">
        <v>54112</v>
      </c>
      <c r="D301" s="73" t="s">
        <v>42</v>
      </c>
      <c r="E301" s="74"/>
      <c r="F301" s="74"/>
      <c r="G301" s="76">
        <v>600</v>
      </c>
      <c r="H301" s="76">
        <f t="shared" si="8"/>
        <v>600</v>
      </c>
    </row>
    <row r="302" spans="1:15" ht="15" customHeight="1" x14ac:dyDescent="0.2">
      <c r="A302" s="249">
        <v>48</v>
      </c>
      <c r="B302" s="147">
        <v>48</v>
      </c>
      <c r="C302" s="61">
        <v>54113</v>
      </c>
      <c r="D302" s="62" t="s">
        <v>148</v>
      </c>
      <c r="E302" s="74"/>
      <c r="F302" s="74"/>
      <c r="G302" s="76">
        <v>100</v>
      </c>
      <c r="H302" s="76">
        <f t="shared" si="8"/>
        <v>100</v>
      </c>
    </row>
    <row r="303" spans="1:15" ht="15" customHeight="1" x14ac:dyDescent="0.2">
      <c r="A303" s="249">
        <v>48</v>
      </c>
      <c r="B303" s="147">
        <v>48</v>
      </c>
      <c r="C303" s="61">
        <v>54114</v>
      </c>
      <c r="D303" s="73" t="s">
        <v>5</v>
      </c>
      <c r="E303" s="74"/>
      <c r="F303" s="74"/>
      <c r="G303" s="76">
        <v>500</v>
      </c>
      <c r="H303" s="76">
        <f t="shared" si="8"/>
        <v>500</v>
      </c>
    </row>
    <row r="304" spans="1:15" ht="15" customHeight="1" x14ac:dyDescent="0.2">
      <c r="A304" s="249">
        <v>48</v>
      </c>
      <c r="B304" s="147">
        <v>48</v>
      </c>
      <c r="C304" s="61">
        <v>54115</v>
      </c>
      <c r="D304" s="73" t="s">
        <v>49</v>
      </c>
      <c r="E304" s="74"/>
      <c r="F304" s="74"/>
      <c r="G304" s="76">
        <v>1000</v>
      </c>
      <c r="H304" s="76">
        <f t="shared" si="8"/>
        <v>1000</v>
      </c>
    </row>
    <row r="305" spans="1:18" ht="15" customHeight="1" x14ac:dyDescent="0.2">
      <c r="A305" s="249">
        <v>48</v>
      </c>
      <c r="B305" s="147">
        <v>48</v>
      </c>
      <c r="C305" s="61">
        <v>54116</v>
      </c>
      <c r="D305" s="62" t="s">
        <v>167</v>
      </c>
      <c r="E305" s="74"/>
      <c r="F305" s="74"/>
      <c r="G305" s="76">
        <v>300</v>
      </c>
      <c r="H305" s="76">
        <f t="shared" si="8"/>
        <v>300</v>
      </c>
    </row>
    <row r="306" spans="1:18" ht="15" customHeight="1" x14ac:dyDescent="0.2">
      <c r="A306" s="249">
        <v>48</v>
      </c>
      <c r="B306" s="147">
        <v>48</v>
      </c>
      <c r="C306" s="61">
        <v>54118</v>
      </c>
      <c r="D306" s="62" t="s">
        <v>35</v>
      </c>
      <c r="E306" s="74"/>
      <c r="F306" s="74"/>
      <c r="G306" s="76">
        <v>500</v>
      </c>
      <c r="H306" s="76">
        <f t="shared" si="8"/>
        <v>500</v>
      </c>
    </row>
    <row r="307" spans="1:18" ht="15" customHeight="1" x14ac:dyDescent="0.2">
      <c r="A307" s="249">
        <v>48</v>
      </c>
      <c r="B307" s="147">
        <v>48</v>
      </c>
      <c r="C307" s="61">
        <v>54119</v>
      </c>
      <c r="D307" s="62" t="s">
        <v>44</v>
      </c>
      <c r="E307" s="74"/>
      <c r="F307" s="74"/>
      <c r="G307" s="76">
        <v>1000</v>
      </c>
      <c r="H307" s="76">
        <f t="shared" si="8"/>
        <v>1000</v>
      </c>
    </row>
    <row r="308" spans="1:18" ht="15" customHeight="1" x14ac:dyDescent="0.2">
      <c r="A308" s="249">
        <v>48</v>
      </c>
      <c r="B308" s="147">
        <v>48</v>
      </c>
      <c r="C308" s="61">
        <v>54199</v>
      </c>
      <c r="D308" s="62" t="s">
        <v>26</v>
      </c>
      <c r="E308" s="74"/>
      <c r="F308" s="74"/>
      <c r="G308" s="76">
        <v>300</v>
      </c>
      <c r="H308" s="76">
        <f t="shared" si="8"/>
        <v>300</v>
      </c>
    </row>
    <row r="309" spans="1:18" ht="15" customHeight="1" x14ac:dyDescent="0.2">
      <c r="A309" s="249">
        <v>48</v>
      </c>
      <c r="B309" s="147">
        <v>48</v>
      </c>
      <c r="C309" s="61">
        <v>54202</v>
      </c>
      <c r="D309" s="73" t="s">
        <v>27</v>
      </c>
      <c r="E309" s="74"/>
      <c r="F309" s="74"/>
      <c r="G309" s="76">
        <v>500</v>
      </c>
      <c r="H309" s="76">
        <f t="shared" si="8"/>
        <v>500</v>
      </c>
    </row>
    <row r="310" spans="1:18" ht="15" customHeight="1" x14ac:dyDescent="0.2">
      <c r="A310" s="249">
        <v>48</v>
      </c>
      <c r="B310" s="147">
        <v>48</v>
      </c>
      <c r="C310" s="61">
        <v>54301</v>
      </c>
      <c r="D310" s="62" t="s">
        <v>8</v>
      </c>
      <c r="E310" s="74"/>
      <c r="F310" s="74"/>
      <c r="G310" s="76">
        <v>400</v>
      </c>
      <c r="H310" s="76">
        <f t="shared" si="8"/>
        <v>400</v>
      </c>
    </row>
    <row r="311" spans="1:18" ht="15" customHeight="1" x14ac:dyDescent="0.2">
      <c r="A311" s="249">
        <v>48</v>
      </c>
      <c r="B311" s="147">
        <v>48</v>
      </c>
      <c r="C311" s="61">
        <v>54307</v>
      </c>
      <c r="D311" s="62" t="s">
        <v>10</v>
      </c>
      <c r="E311" s="74"/>
      <c r="F311" s="74"/>
      <c r="G311" s="76">
        <v>0</v>
      </c>
      <c r="H311" s="76">
        <f t="shared" si="8"/>
        <v>0</v>
      </c>
    </row>
    <row r="312" spans="1:18" ht="15" customHeight="1" x14ac:dyDescent="0.2">
      <c r="A312" s="249">
        <v>48</v>
      </c>
      <c r="B312" s="147">
        <v>48</v>
      </c>
      <c r="C312" s="61">
        <v>54399</v>
      </c>
      <c r="D312" s="62" t="s">
        <v>153</v>
      </c>
      <c r="E312" s="74"/>
      <c r="F312" s="74"/>
      <c r="G312" s="76">
        <v>500</v>
      </c>
      <c r="H312" s="76">
        <f t="shared" si="8"/>
        <v>500</v>
      </c>
    </row>
    <row r="313" spans="1:18" ht="15" customHeight="1" x14ac:dyDescent="0.2">
      <c r="A313" s="249">
        <v>48</v>
      </c>
      <c r="B313" s="147">
        <v>48</v>
      </c>
      <c r="C313" s="61">
        <v>54401</v>
      </c>
      <c r="D313" s="62" t="s">
        <v>143</v>
      </c>
      <c r="E313" s="74"/>
      <c r="F313" s="74"/>
      <c r="G313" s="76">
        <v>1000</v>
      </c>
      <c r="H313" s="76">
        <f t="shared" si="8"/>
        <v>1000</v>
      </c>
    </row>
    <row r="314" spans="1:18" ht="15" customHeight="1" x14ac:dyDescent="0.2">
      <c r="A314" s="249">
        <v>48</v>
      </c>
      <c r="B314" s="147">
        <v>48</v>
      </c>
      <c r="C314" s="61">
        <v>61101</v>
      </c>
      <c r="D314" s="73" t="s">
        <v>188</v>
      </c>
      <c r="E314" s="74"/>
      <c r="F314" s="74"/>
      <c r="G314" s="76">
        <v>2500</v>
      </c>
      <c r="H314" s="76">
        <f t="shared" si="8"/>
        <v>2500</v>
      </c>
    </row>
    <row r="315" spans="1:18" ht="15" customHeight="1" x14ac:dyDescent="0.2">
      <c r="A315" s="249">
        <v>48</v>
      </c>
      <c r="B315" s="147">
        <v>48</v>
      </c>
      <c r="C315" s="61">
        <v>61102</v>
      </c>
      <c r="D315" s="73" t="s">
        <v>28</v>
      </c>
      <c r="E315" s="74"/>
      <c r="F315" s="74"/>
      <c r="G315" s="76">
        <v>500</v>
      </c>
      <c r="H315" s="76">
        <f t="shared" si="8"/>
        <v>500</v>
      </c>
    </row>
    <row r="316" spans="1:18" ht="15" customHeight="1" x14ac:dyDescent="0.2">
      <c r="A316" s="249">
        <v>48</v>
      </c>
      <c r="B316" s="147">
        <v>48</v>
      </c>
      <c r="C316" s="61">
        <v>61104</v>
      </c>
      <c r="D316" s="73" t="s">
        <v>46</v>
      </c>
      <c r="E316" s="74"/>
      <c r="F316" s="74"/>
      <c r="G316" s="76">
        <v>700</v>
      </c>
      <c r="H316" s="76">
        <f t="shared" si="8"/>
        <v>700</v>
      </c>
    </row>
    <row r="317" spans="1:18" ht="15" customHeight="1" x14ac:dyDescent="0.2">
      <c r="A317" s="249">
        <v>48</v>
      </c>
      <c r="B317" s="147" t="s">
        <v>432</v>
      </c>
      <c r="C317" s="61"/>
      <c r="D317" s="61" t="s">
        <v>14</v>
      </c>
      <c r="E317" s="138">
        <f>SUM(E288:E316)</f>
        <v>0</v>
      </c>
      <c r="F317" s="138">
        <f>SUM(F288:F316)</f>
        <v>0</v>
      </c>
      <c r="G317" s="138">
        <f>SUM(G288:G316)</f>
        <v>51770.8</v>
      </c>
      <c r="H317" s="83">
        <f>E317+F317+G317</f>
        <v>51770.8</v>
      </c>
      <c r="O317" s="258"/>
      <c r="P317" s="259"/>
    </row>
    <row r="318" spans="1:18" ht="15" customHeight="1" x14ac:dyDescent="0.2">
      <c r="A318" s="249" t="s">
        <v>387</v>
      </c>
      <c r="B318" s="147" t="s">
        <v>387</v>
      </c>
      <c r="C318" s="148"/>
      <c r="D318" s="148"/>
      <c r="E318" s="260"/>
      <c r="F318" s="260"/>
      <c r="G318" s="261"/>
      <c r="H318" s="261"/>
      <c r="O318" s="258"/>
      <c r="P318" s="268"/>
      <c r="Q318" s="147" t="s">
        <v>590</v>
      </c>
      <c r="R318" s="259">
        <f>+P318-H317</f>
        <v>-51770.8</v>
      </c>
    </row>
    <row r="319" spans="1:18" ht="15" customHeight="1" x14ac:dyDescent="0.2">
      <c r="A319" s="249" t="s">
        <v>387</v>
      </c>
      <c r="B319" s="147" t="s">
        <v>387</v>
      </c>
      <c r="C319" s="148"/>
      <c r="D319" s="148"/>
      <c r="E319" s="260"/>
      <c r="F319" s="260"/>
      <c r="G319" s="261"/>
      <c r="H319" s="261"/>
      <c r="O319" s="258"/>
    </row>
    <row r="320" spans="1:18" ht="15" customHeight="1" x14ac:dyDescent="0.2">
      <c r="A320" s="249" t="s">
        <v>387</v>
      </c>
      <c r="B320" s="147" t="s">
        <v>387</v>
      </c>
      <c r="C320" s="148"/>
      <c r="D320" s="148"/>
      <c r="E320" s="260"/>
      <c r="F320" s="260"/>
      <c r="G320" s="261"/>
      <c r="H320" s="261"/>
    </row>
    <row r="321" spans="1:15" ht="15" customHeight="1" x14ac:dyDescent="0.2">
      <c r="A321" s="249" t="s">
        <v>387</v>
      </c>
      <c r="B321" s="147" t="s">
        <v>387</v>
      </c>
      <c r="C321" s="368"/>
      <c r="D321" s="368"/>
      <c r="E321" s="367"/>
      <c r="F321" s="367"/>
      <c r="G321" s="367"/>
      <c r="H321" s="366"/>
    </row>
    <row r="322" spans="1:15" ht="15" customHeight="1" x14ac:dyDescent="0.2">
      <c r="A322" s="249" t="s">
        <v>387</v>
      </c>
      <c r="B322" s="147" t="s">
        <v>387</v>
      </c>
      <c r="C322" s="427" t="s">
        <v>119</v>
      </c>
      <c r="D322" s="427"/>
      <c r="E322" s="427"/>
      <c r="F322" s="427"/>
      <c r="G322" s="427"/>
      <c r="H322" s="427"/>
    </row>
    <row r="323" spans="1:15" ht="15" customHeight="1" x14ac:dyDescent="0.2">
      <c r="A323" s="249" t="s">
        <v>387</v>
      </c>
      <c r="B323" s="147" t="s">
        <v>387</v>
      </c>
      <c r="C323" s="428" t="str">
        <f>C3</f>
        <v xml:space="preserve"> PRESUPUESTO AÑO 2024</v>
      </c>
      <c r="D323" s="428"/>
      <c r="E323" s="428"/>
      <c r="F323" s="428"/>
      <c r="G323" s="428"/>
      <c r="H323" s="428"/>
    </row>
    <row r="324" spans="1:15" ht="15" customHeight="1" x14ac:dyDescent="0.2">
      <c r="A324" s="249" t="s">
        <v>387</v>
      </c>
      <c r="B324" s="147" t="s">
        <v>387</v>
      </c>
      <c r="C324" s="428" t="str">
        <f>C4</f>
        <v>PRESUPUESTO EXTRA CONTABLE</v>
      </c>
      <c r="D324" s="428"/>
      <c r="E324" s="428"/>
      <c r="F324" s="428"/>
      <c r="G324" s="428"/>
      <c r="H324" s="428"/>
    </row>
    <row r="325" spans="1:15" ht="15" customHeight="1" x14ac:dyDescent="0.2">
      <c r="A325" s="249" t="s">
        <v>387</v>
      </c>
      <c r="B325" s="147" t="s">
        <v>387</v>
      </c>
      <c r="C325" s="427" t="s">
        <v>117</v>
      </c>
      <c r="D325" s="427"/>
      <c r="E325" s="427"/>
      <c r="F325" s="427"/>
      <c r="G325" s="427"/>
      <c r="H325" s="427"/>
    </row>
    <row r="326" spans="1:15" ht="15" customHeight="1" x14ac:dyDescent="0.2">
      <c r="A326" s="249" t="s">
        <v>387</v>
      </c>
      <c r="B326" s="147" t="s">
        <v>387</v>
      </c>
      <c r="C326" s="427" t="s">
        <v>706</v>
      </c>
      <c r="D326" s="427"/>
      <c r="E326" s="427"/>
      <c r="F326" s="427"/>
      <c r="G326" s="427"/>
      <c r="H326" s="427"/>
    </row>
    <row r="327" spans="1:15" ht="15" customHeight="1" x14ac:dyDescent="0.2">
      <c r="A327" s="249" t="s">
        <v>387</v>
      </c>
      <c r="B327" s="147" t="s">
        <v>387</v>
      </c>
      <c r="C327" s="430" t="s">
        <v>1</v>
      </c>
      <c r="D327" s="430" t="s">
        <v>0</v>
      </c>
      <c r="E327" s="255" t="s">
        <v>56</v>
      </c>
      <c r="F327" s="255" t="str">
        <f>F7</f>
        <v>REFORMA</v>
      </c>
      <c r="G327" s="255" t="s">
        <v>56</v>
      </c>
      <c r="H327" s="432" t="str">
        <f>$H$7</f>
        <v>TOTAL 2024</v>
      </c>
      <c r="I327" s="153" t="s">
        <v>285</v>
      </c>
      <c r="J327" s="153"/>
      <c r="K327" s="153"/>
      <c r="L327" s="153"/>
      <c r="M327" s="153"/>
      <c r="N327" s="269"/>
    </row>
    <row r="328" spans="1:15" ht="15" customHeight="1" x14ac:dyDescent="0.2">
      <c r="A328" s="249" t="s">
        <v>387</v>
      </c>
      <c r="B328" s="147" t="s">
        <v>387</v>
      </c>
      <c r="C328" s="431"/>
      <c r="D328" s="431"/>
      <c r="E328" s="255" t="s">
        <v>139</v>
      </c>
      <c r="F328" s="255"/>
      <c r="G328" s="255" t="s">
        <v>140</v>
      </c>
      <c r="H328" s="433"/>
      <c r="I328" s="153" t="s">
        <v>286</v>
      </c>
      <c r="J328" s="153" t="s">
        <v>290</v>
      </c>
      <c r="K328" s="153" t="s">
        <v>291</v>
      </c>
      <c r="L328" s="153" t="s">
        <v>293</v>
      </c>
      <c r="M328" s="153" t="s">
        <v>292</v>
      </c>
    </row>
    <row r="329" spans="1:15" ht="15" customHeight="1" x14ac:dyDescent="0.2">
      <c r="A329" s="249">
        <v>6</v>
      </c>
      <c r="B329" s="147">
        <v>6</v>
      </c>
      <c r="C329" s="61">
        <v>51101</v>
      </c>
      <c r="D329" s="73" t="s">
        <v>15</v>
      </c>
      <c r="E329" s="74"/>
      <c r="F329" s="74"/>
      <c r="G329" s="272">
        <v>23280</v>
      </c>
      <c r="H329" s="76">
        <f t="shared" ref="H329:H336" si="9">E329+F329+G329</f>
        <v>23280</v>
      </c>
      <c r="I329" s="256"/>
      <c r="J329" s="256"/>
      <c r="K329" s="256"/>
      <c r="L329" s="256"/>
      <c r="M329" s="256"/>
    </row>
    <row r="330" spans="1:15" ht="15" customHeight="1" x14ac:dyDescent="0.2">
      <c r="A330" s="249">
        <v>6</v>
      </c>
      <c r="B330" s="147">
        <v>6</v>
      </c>
      <c r="C330" s="61">
        <v>51103</v>
      </c>
      <c r="D330" s="73" t="s">
        <v>16</v>
      </c>
      <c r="E330" s="76"/>
      <c r="F330" s="76"/>
      <c r="G330" s="272">
        <v>1940</v>
      </c>
      <c r="H330" s="76">
        <f t="shared" si="9"/>
        <v>1940</v>
      </c>
      <c r="I330" s="256"/>
      <c r="J330" s="256"/>
      <c r="K330" s="256"/>
      <c r="L330" s="256"/>
      <c r="M330" s="256"/>
      <c r="N330" s="259">
        <f>H329+H330</f>
        <v>25220</v>
      </c>
    </row>
    <row r="331" spans="1:15" ht="15" customHeight="1" x14ac:dyDescent="0.2">
      <c r="A331" s="249">
        <v>6</v>
      </c>
      <c r="B331" s="147">
        <v>6</v>
      </c>
      <c r="C331" s="61">
        <v>51107</v>
      </c>
      <c r="D331" s="73" t="s">
        <v>34</v>
      </c>
      <c r="E331" s="76"/>
      <c r="F331" s="76"/>
      <c r="G331" s="272">
        <v>400</v>
      </c>
      <c r="H331" s="76">
        <f t="shared" si="9"/>
        <v>400</v>
      </c>
      <c r="I331" s="256"/>
      <c r="J331" s="256"/>
      <c r="K331" s="256"/>
      <c r="L331" s="256"/>
      <c r="M331" s="256"/>
      <c r="N331" s="259"/>
    </row>
    <row r="332" spans="1:15" ht="15" customHeight="1" x14ac:dyDescent="0.2">
      <c r="A332" s="249">
        <v>6</v>
      </c>
      <c r="B332" s="147">
        <v>6</v>
      </c>
      <c r="C332" s="61">
        <v>51401</v>
      </c>
      <c r="D332" s="62" t="s">
        <v>47</v>
      </c>
      <c r="E332" s="74"/>
      <c r="F332" s="74"/>
      <c r="G332" s="272">
        <v>1978.8000000000002</v>
      </c>
      <c r="H332" s="76">
        <f t="shared" si="9"/>
        <v>1978.8000000000002</v>
      </c>
      <c r="I332" s="256"/>
      <c r="J332" s="256"/>
      <c r="K332" s="256"/>
      <c r="L332" s="256"/>
      <c r="M332" s="256"/>
      <c r="N332" s="259">
        <f>H332</f>
        <v>1978.8000000000002</v>
      </c>
      <c r="O332" s="257"/>
    </row>
    <row r="333" spans="1:15" ht="15" customHeight="1" x14ac:dyDescent="0.2">
      <c r="A333" s="249">
        <v>6</v>
      </c>
      <c r="B333" s="147">
        <v>6</v>
      </c>
      <c r="C333" s="61">
        <v>51501</v>
      </c>
      <c r="D333" s="73" t="s">
        <v>29</v>
      </c>
      <c r="E333" s="74"/>
      <c r="F333" s="74"/>
      <c r="G333" s="272">
        <v>2036.9999999999998</v>
      </c>
      <c r="H333" s="76">
        <f t="shared" si="9"/>
        <v>2036.9999999999998</v>
      </c>
      <c r="I333" s="256"/>
      <c r="J333" s="256"/>
      <c r="K333" s="256"/>
      <c r="L333" s="256"/>
      <c r="M333" s="256"/>
      <c r="N333" s="259">
        <f>H333</f>
        <v>2036.9999999999998</v>
      </c>
    </row>
    <row r="334" spans="1:15" ht="15" customHeight="1" x14ac:dyDescent="0.2">
      <c r="A334" s="249">
        <v>6</v>
      </c>
      <c r="B334" s="147">
        <v>6</v>
      </c>
      <c r="C334" s="61">
        <v>54101</v>
      </c>
      <c r="D334" s="73" t="s">
        <v>38</v>
      </c>
      <c r="E334" s="74"/>
      <c r="F334" s="74"/>
      <c r="G334" s="76">
        <v>200</v>
      </c>
      <c r="H334" s="76">
        <f t="shared" si="9"/>
        <v>200</v>
      </c>
      <c r="I334" s="256"/>
      <c r="J334" s="256"/>
      <c r="K334" s="256"/>
      <c r="L334" s="256"/>
      <c r="M334" s="256"/>
      <c r="N334" s="259"/>
    </row>
    <row r="335" spans="1:15" ht="15" customHeight="1" x14ac:dyDescent="0.2">
      <c r="A335" s="249">
        <v>6</v>
      </c>
      <c r="B335" s="147">
        <v>6</v>
      </c>
      <c r="C335" s="61">
        <v>54104</v>
      </c>
      <c r="D335" s="73" t="s">
        <v>17</v>
      </c>
      <c r="E335" s="74"/>
      <c r="F335" s="74"/>
      <c r="G335" s="76">
        <v>200</v>
      </c>
      <c r="H335" s="76">
        <f t="shared" si="9"/>
        <v>200</v>
      </c>
      <c r="I335" s="256"/>
      <c r="J335" s="256"/>
      <c r="K335" s="256"/>
      <c r="L335" s="256"/>
      <c r="M335" s="256"/>
    </row>
    <row r="336" spans="1:15" ht="15" customHeight="1" x14ac:dyDescent="0.2">
      <c r="A336" s="249">
        <v>6</v>
      </c>
      <c r="B336" s="147">
        <v>6</v>
      </c>
      <c r="C336" s="61">
        <v>54105</v>
      </c>
      <c r="D336" s="73" t="s">
        <v>3</v>
      </c>
      <c r="E336" s="74"/>
      <c r="F336" s="74"/>
      <c r="G336" s="76">
        <v>300</v>
      </c>
      <c r="H336" s="76">
        <f t="shared" si="9"/>
        <v>300</v>
      </c>
      <c r="I336" s="256"/>
      <c r="J336" s="256"/>
      <c r="K336" s="256"/>
      <c r="L336" s="256"/>
      <c r="M336" s="256"/>
    </row>
    <row r="337" spans="1:13" ht="15" customHeight="1" x14ac:dyDescent="0.2">
      <c r="A337" s="249">
        <v>6</v>
      </c>
      <c r="B337" s="147">
        <v>6</v>
      </c>
      <c r="C337" s="61">
        <v>54106</v>
      </c>
      <c r="D337" s="73" t="s">
        <v>18</v>
      </c>
      <c r="E337" s="74"/>
      <c r="F337" s="74"/>
      <c r="G337" s="76">
        <v>100</v>
      </c>
      <c r="H337" s="76">
        <f t="shared" ref="H337:H360" si="10">G337</f>
        <v>100</v>
      </c>
      <c r="I337" s="256"/>
      <c r="J337" s="256"/>
      <c r="K337" s="256"/>
      <c r="L337" s="256"/>
      <c r="M337" s="256"/>
    </row>
    <row r="338" spans="1:13" ht="15" customHeight="1" x14ac:dyDescent="0.2">
      <c r="A338" s="249">
        <v>6</v>
      </c>
      <c r="B338" s="147">
        <v>6</v>
      </c>
      <c r="C338" s="61">
        <v>54107</v>
      </c>
      <c r="D338" s="73" t="s">
        <v>43</v>
      </c>
      <c r="E338" s="74"/>
      <c r="F338" s="74"/>
      <c r="G338" s="76">
        <v>200</v>
      </c>
      <c r="H338" s="76">
        <f t="shared" si="10"/>
        <v>200</v>
      </c>
      <c r="I338" s="256"/>
      <c r="J338" s="256"/>
      <c r="K338" s="256"/>
      <c r="L338" s="256"/>
      <c r="M338" s="256"/>
    </row>
    <row r="339" spans="1:13" ht="15" customHeight="1" x14ac:dyDescent="0.2">
      <c r="A339" s="249">
        <v>6</v>
      </c>
      <c r="B339" s="147">
        <v>6</v>
      </c>
      <c r="C339" s="61">
        <v>54110</v>
      </c>
      <c r="D339" s="73" t="s">
        <v>20</v>
      </c>
      <c r="E339" s="74"/>
      <c r="F339" s="74"/>
      <c r="G339" s="76">
        <v>200</v>
      </c>
      <c r="H339" s="76">
        <f t="shared" si="10"/>
        <v>200</v>
      </c>
      <c r="I339" s="256"/>
      <c r="J339" s="256"/>
      <c r="K339" s="256"/>
      <c r="L339" s="256"/>
      <c r="M339" s="256"/>
    </row>
    <row r="340" spans="1:13" ht="15" customHeight="1" x14ac:dyDescent="0.2">
      <c r="A340" s="249">
        <v>6</v>
      </c>
      <c r="B340" s="147">
        <v>6</v>
      </c>
      <c r="C340" s="106">
        <v>54111</v>
      </c>
      <c r="D340" s="270" t="s">
        <v>162</v>
      </c>
      <c r="E340" s="271"/>
      <c r="F340" s="271"/>
      <c r="G340" s="272">
        <v>100</v>
      </c>
      <c r="H340" s="272">
        <f t="shared" si="10"/>
        <v>100</v>
      </c>
      <c r="I340" s="256"/>
      <c r="J340" s="256"/>
      <c r="K340" s="256"/>
      <c r="L340" s="256"/>
      <c r="M340" s="256"/>
    </row>
    <row r="341" spans="1:13" ht="15" customHeight="1" x14ac:dyDescent="0.2">
      <c r="A341" s="249">
        <v>6</v>
      </c>
      <c r="B341" s="147">
        <v>6</v>
      </c>
      <c r="C341" s="106">
        <v>54112</v>
      </c>
      <c r="D341" s="270" t="s">
        <v>549</v>
      </c>
      <c r="E341" s="271"/>
      <c r="F341" s="271"/>
      <c r="G341" s="272">
        <v>100</v>
      </c>
      <c r="H341" s="272">
        <f t="shared" si="10"/>
        <v>100</v>
      </c>
      <c r="I341" s="256"/>
      <c r="J341" s="256"/>
      <c r="K341" s="256"/>
      <c r="L341" s="256"/>
      <c r="M341" s="256"/>
    </row>
    <row r="342" spans="1:13" ht="15" customHeight="1" x14ac:dyDescent="0.2">
      <c r="A342" s="249">
        <v>6</v>
      </c>
      <c r="B342" s="147">
        <v>6</v>
      </c>
      <c r="C342" s="106">
        <v>54113</v>
      </c>
      <c r="D342" s="270" t="s">
        <v>148</v>
      </c>
      <c r="E342" s="271"/>
      <c r="F342" s="271"/>
      <c r="G342" s="272">
        <v>100</v>
      </c>
      <c r="H342" s="272">
        <f t="shared" si="10"/>
        <v>100</v>
      </c>
      <c r="I342" s="256"/>
      <c r="J342" s="256"/>
      <c r="K342" s="256"/>
      <c r="L342" s="256"/>
      <c r="M342" s="256"/>
    </row>
    <row r="343" spans="1:13" ht="15" customHeight="1" x14ac:dyDescent="0.2">
      <c r="A343" s="249">
        <v>6</v>
      </c>
      <c r="B343" s="147">
        <v>6</v>
      </c>
      <c r="C343" s="61">
        <v>54114</v>
      </c>
      <c r="D343" s="73" t="s">
        <v>5</v>
      </c>
      <c r="E343" s="74"/>
      <c r="F343" s="74"/>
      <c r="G343" s="76">
        <v>200</v>
      </c>
      <c r="H343" s="76">
        <f t="shared" si="10"/>
        <v>200</v>
      </c>
      <c r="I343" s="256"/>
      <c r="J343" s="256"/>
      <c r="K343" s="256"/>
      <c r="L343" s="256"/>
      <c r="M343" s="256"/>
    </row>
    <row r="344" spans="1:13" ht="15" customHeight="1" x14ac:dyDescent="0.2">
      <c r="A344" s="249">
        <v>6</v>
      </c>
      <c r="B344" s="147">
        <v>6</v>
      </c>
      <c r="C344" s="61">
        <v>54115</v>
      </c>
      <c r="D344" s="73" t="s">
        <v>49</v>
      </c>
      <c r="E344" s="74"/>
      <c r="F344" s="74"/>
      <c r="G344" s="76">
        <v>250</v>
      </c>
      <c r="H344" s="76">
        <f t="shared" si="10"/>
        <v>250</v>
      </c>
      <c r="I344" s="256"/>
      <c r="J344" s="256"/>
      <c r="K344" s="256"/>
      <c r="L344" s="256"/>
      <c r="M344" s="256"/>
    </row>
    <row r="345" spans="1:13" ht="15" customHeight="1" x14ac:dyDescent="0.2">
      <c r="A345" s="249">
        <v>6</v>
      </c>
      <c r="B345" s="147">
        <v>6</v>
      </c>
      <c r="C345" s="61">
        <v>54116</v>
      </c>
      <c r="D345" s="62" t="s">
        <v>167</v>
      </c>
      <c r="E345" s="74"/>
      <c r="F345" s="74"/>
      <c r="G345" s="76">
        <v>100</v>
      </c>
      <c r="H345" s="76">
        <f t="shared" si="10"/>
        <v>100</v>
      </c>
      <c r="I345" s="256"/>
      <c r="J345" s="256"/>
      <c r="K345" s="256"/>
      <c r="L345" s="256"/>
      <c r="M345" s="256"/>
    </row>
    <row r="346" spans="1:13" ht="15" customHeight="1" x14ac:dyDescent="0.2">
      <c r="A346" s="249">
        <v>6</v>
      </c>
      <c r="B346" s="147">
        <v>6</v>
      </c>
      <c r="C346" s="61">
        <v>54118</v>
      </c>
      <c r="D346" s="62" t="s">
        <v>35</v>
      </c>
      <c r="E346" s="74"/>
      <c r="F346" s="74"/>
      <c r="G346" s="76">
        <v>100</v>
      </c>
      <c r="H346" s="76">
        <f t="shared" si="10"/>
        <v>100</v>
      </c>
      <c r="I346" s="256"/>
      <c r="J346" s="256"/>
      <c r="K346" s="256"/>
      <c r="L346" s="256"/>
      <c r="M346" s="256"/>
    </row>
    <row r="347" spans="1:13" ht="15" customHeight="1" x14ac:dyDescent="0.2">
      <c r="A347" s="249">
        <v>6</v>
      </c>
      <c r="B347" s="147">
        <v>6</v>
      </c>
      <c r="C347" s="61">
        <v>54119</v>
      </c>
      <c r="D347" s="62" t="s">
        <v>44</v>
      </c>
      <c r="E347" s="74"/>
      <c r="F347" s="74"/>
      <c r="G347" s="76">
        <v>100</v>
      </c>
      <c r="H347" s="76">
        <f t="shared" si="10"/>
        <v>100</v>
      </c>
      <c r="I347" s="256"/>
      <c r="J347" s="256"/>
      <c r="K347" s="256"/>
      <c r="L347" s="256"/>
      <c r="M347" s="256"/>
    </row>
    <row r="348" spans="1:13" ht="15" customHeight="1" x14ac:dyDescent="0.2">
      <c r="A348" s="249">
        <v>6</v>
      </c>
      <c r="B348" s="147">
        <v>6</v>
      </c>
      <c r="C348" s="61">
        <v>54199</v>
      </c>
      <c r="D348" s="62" t="s">
        <v>26</v>
      </c>
      <c r="E348" s="74"/>
      <c r="F348" s="74"/>
      <c r="G348" s="76">
        <v>200</v>
      </c>
      <c r="H348" s="76">
        <f t="shared" si="10"/>
        <v>200</v>
      </c>
      <c r="I348" s="256"/>
      <c r="J348" s="256"/>
      <c r="K348" s="256"/>
      <c r="L348" s="256"/>
      <c r="M348" s="256"/>
    </row>
    <row r="349" spans="1:13" ht="15" customHeight="1" x14ac:dyDescent="0.2">
      <c r="A349" s="249">
        <v>6</v>
      </c>
      <c r="B349" s="147">
        <v>6</v>
      </c>
      <c r="C349" s="61">
        <v>54201</v>
      </c>
      <c r="D349" s="62" t="s">
        <v>187</v>
      </c>
      <c r="E349" s="74"/>
      <c r="F349" s="74"/>
      <c r="G349" s="76">
        <v>0</v>
      </c>
      <c r="H349" s="76">
        <f t="shared" si="10"/>
        <v>0</v>
      </c>
      <c r="I349" s="256"/>
      <c r="J349" s="256"/>
      <c r="K349" s="256"/>
      <c r="L349" s="256"/>
      <c r="M349" s="256"/>
    </row>
    <row r="350" spans="1:13" ht="15" customHeight="1" x14ac:dyDescent="0.2">
      <c r="A350" s="249">
        <v>6</v>
      </c>
      <c r="B350" s="147">
        <v>6</v>
      </c>
      <c r="C350" s="61">
        <v>54202</v>
      </c>
      <c r="D350" s="73" t="s">
        <v>27</v>
      </c>
      <c r="E350" s="74"/>
      <c r="F350" s="74"/>
      <c r="G350" s="76">
        <v>0</v>
      </c>
      <c r="H350" s="76">
        <f t="shared" si="10"/>
        <v>0</v>
      </c>
      <c r="I350" s="256"/>
      <c r="J350" s="256"/>
      <c r="K350" s="256"/>
      <c r="L350" s="256"/>
      <c r="M350" s="256"/>
    </row>
    <row r="351" spans="1:13" ht="15" customHeight="1" x14ac:dyDescent="0.2">
      <c r="A351" s="249">
        <v>6</v>
      </c>
      <c r="B351" s="147">
        <v>6</v>
      </c>
      <c r="C351" s="61">
        <v>54203</v>
      </c>
      <c r="D351" s="62" t="s">
        <v>7</v>
      </c>
      <c r="E351" s="74"/>
      <c r="F351" s="74"/>
      <c r="G351" s="76">
        <v>0</v>
      </c>
      <c r="H351" s="76">
        <f t="shared" si="10"/>
        <v>0</v>
      </c>
      <c r="I351" s="256"/>
      <c r="J351" s="256"/>
      <c r="K351" s="256"/>
      <c r="L351" s="256"/>
      <c r="M351" s="256"/>
    </row>
    <row r="352" spans="1:13" ht="15" customHeight="1" x14ac:dyDescent="0.2">
      <c r="A352" s="249">
        <v>6</v>
      </c>
      <c r="B352" s="147">
        <v>6</v>
      </c>
      <c r="C352" s="61">
        <v>54301</v>
      </c>
      <c r="D352" s="62" t="s">
        <v>158</v>
      </c>
      <c r="E352" s="74"/>
      <c r="F352" s="74"/>
      <c r="G352" s="76">
        <v>300</v>
      </c>
      <c r="H352" s="76">
        <f t="shared" si="10"/>
        <v>300</v>
      </c>
      <c r="I352" s="256"/>
      <c r="J352" s="256"/>
      <c r="K352" s="256"/>
      <c r="L352" s="256"/>
      <c r="M352" s="256"/>
    </row>
    <row r="353" spans="1:16" ht="15" customHeight="1" x14ac:dyDescent="0.2">
      <c r="A353" s="249">
        <v>6</v>
      </c>
      <c r="B353" s="147">
        <v>6</v>
      </c>
      <c r="C353" s="61">
        <v>54302</v>
      </c>
      <c r="D353" s="62" t="s">
        <v>22</v>
      </c>
      <c r="E353" s="74"/>
      <c r="F353" s="74"/>
      <c r="G353" s="76">
        <v>500</v>
      </c>
      <c r="H353" s="76">
        <f t="shared" si="10"/>
        <v>500</v>
      </c>
      <c r="I353" s="256"/>
      <c r="J353" s="256"/>
      <c r="K353" s="256"/>
      <c r="L353" s="256"/>
      <c r="M353" s="256"/>
    </row>
    <row r="354" spans="1:16" ht="15" customHeight="1" x14ac:dyDescent="0.2">
      <c r="A354" s="249">
        <v>6</v>
      </c>
      <c r="B354" s="147">
        <v>6</v>
      </c>
      <c r="C354" s="61">
        <v>54307</v>
      </c>
      <c r="D354" s="62" t="s">
        <v>10</v>
      </c>
      <c r="E354" s="74"/>
      <c r="F354" s="74"/>
      <c r="G354" s="76">
        <v>0</v>
      </c>
      <c r="H354" s="76">
        <f t="shared" si="10"/>
        <v>0</v>
      </c>
      <c r="I354" s="256"/>
      <c r="J354" s="256"/>
      <c r="K354" s="256"/>
      <c r="L354" s="256"/>
      <c r="M354" s="256"/>
    </row>
    <row r="355" spans="1:16" ht="15" customHeight="1" x14ac:dyDescent="0.2">
      <c r="A355" s="249">
        <v>6</v>
      </c>
      <c r="B355" s="147">
        <v>6</v>
      </c>
      <c r="C355" s="61">
        <v>54401</v>
      </c>
      <c r="D355" s="62" t="s">
        <v>143</v>
      </c>
      <c r="E355" s="74"/>
      <c r="F355" s="74"/>
      <c r="G355" s="76">
        <v>300</v>
      </c>
      <c r="H355" s="76">
        <f t="shared" si="10"/>
        <v>300</v>
      </c>
      <c r="I355" s="256"/>
      <c r="J355" s="256"/>
      <c r="K355" s="256"/>
      <c r="L355" s="256"/>
      <c r="M355" s="256"/>
      <c r="N355" s="259"/>
    </row>
    <row r="356" spans="1:16" ht="15" customHeight="1" x14ac:dyDescent="0.2">
      <c r="A356" s="249">
        <v>6</v>
      </c>
      <c r="B356" s="147">
        <v>6</v>
      </c>
      <c r="C356" s="61">
        <v>55601</v>
      </c>
      <c r="D356" s="62" t="s">
        <v>191</v>
      </c>
      <c r="E356" s="74"/>
      <c r="F356" s="74"/>
      <c r="G356" s="76">
        <v>2000</v>
      </c>
      <c r="H356" s="76">
        <f t="shared" si="10"/>
        <v>2000</v>
      </c>
      <c r="I356" s="256"/>
      <c r="J356" s="256"/>
      <c r="K356" s="256"/>
      <c r="L356" s="256"/>
      <c r="M356" s="256"/>
      <c r="N356" s="259"/>
    </row>
    <row r="357" spans="1:16" ht="15" customHeight="1" x14ac:dyDescent="0.2">
      <c r="A357" s="249">
        <v>6</v>
      </c>
      <c r="B357" s="147">
        <v>6</v>
      </c>
      <c r="C357" s="61">
        <v>61101</v>
      </c>
      <c r="D357" s="73" t="s">
        <v>188</v>
      </c>
      <c r="E357" s="74"/>
      <c r="F357" s="74"/>
      <c r="G357" s="76">
        <v>500</v>
      </c>
      <c r="H357" s="76">
        <f t="shared" si="10"/>
        <v>500</v>
      </c>
      <c r="I357" s="256"/>
      <c r="J357" s="256"/>
      <c r="K357" s="256"/>
      <c r="L357" s="256"/>
      <c r="M357" s="256"/>
    </row>
    <row r="358" spans="1:16" ht="15" customHeight="1" x14ac:dyDescent="0.2">
      <c r="A358" s="249">
        <v>6</v>
      </c>
      <c r="B358" s="147">
        <v>6</v>
      </c>
      <c r="C358" s="61">
        <v>61102</v>
      </c>
      <c r="D358" s="73" t="str">
        <f>+D717</f>
        <v>MAQUINARIA Y EQUIPO</v>
      </c>
      <c r="E358" s="74"/>
      <c r="F358" s="74"/>
      <c r="G358" s="76">
        <v>0</v>
      </c>
      <c r="H358" s="76">
        <f t="shared" si="10"/>
        <v>0</v>
      </c>
      <c r="I358" s="256"/>
      <c r="J358" s="256"/>
      <c r="K358" s="256"/>
      <c r="L358" s="256"/>
      <c r="M358" s="256"/>
    </row>
    <row r="359" spans="1:16" ht="15" customHeight="1" x14ac:dyDescent="0.2">
      <c r="A359" s="249">
        <v>6</v>
      </c>
      <c r="B359" s="147">
        <v>6</v>
      </c>
      <c r="C359" s="61">
        <v>61104</v>
      </c>
      <c r="D359" s="73" t="s">
        <v>46</v>
      </c>
      <c r="E359" s="74"/>
      <c r="F359" s="74"/>
      <c r="G359" s="76">
        <v>500</v>
      </c>
      <c r="H359" s="76">
        <f t="shared" si="10"/>
        <v>500</v>
      </c>
      <c r="I359" s="256"/>
      <c r="J359" s="256"/>
      <c r="K359" s="256"/>
      <c r="L359" s="256"/>
      <c r="M359" s="256"/>
      <c r="N359" s="259"/>
    </row>
    <row r="360" spans="1:16" ht="15" customHeight="1" x14ac:dyDescent="0.2">
      <c r="A360" s="249">
        <v>6</v>
      </c>
      <c r="B360" s="147">
        <v>6</v>
      </c>
      <c r="C360" s="61">
        <v>61199</v>
      </c>
      <c r="D360" s="73" t="s">
        <v>135</v>
      </c>
      <c r="E360" s="74"/>
      <c r="F360" s="74"/>
      <c r="G360" s="76">
        <v>500</v>
      </c>
      <c r="H360" s="76">
        <f t="shared" si="10"/>
        <v>500</v>
      </c>
      <c r="I360" s="256"/>
      <c r="J360" s="256"/>
      <c r="K360" s="256"/>
      <c r="L360" s="256"/>
      <c r="M360" s="256"/>
      <c r="N360" s="259"/>
    </row>
    <row r="361" spans="1:16" ht="15" customHeight="1" x14ac:dyDescent="0.2">
      <c r="A361" s="249">
        <v>6</v>
      </c>
      <c r="B361" s="147" t="s">
        <v>395</v>
      </c>
      <c r="C361" s="61"/>
      <c r="D361" s="61" t="s">
        <v>14</v>
      </c>
      <c r="E361" s="138">
        <f>SUM(E329:E359)</f>
        <v>0</v>
      </c>
      <c r="F361" s="138">
        <f>SUM(F329:F359)</f>
        <v>0</v>
      </c>
      <c r="G361" s="138">
        <f>SUM(G329:G360)</f>
        <v>36685.800000000003</v>
      </c>
      <c r="H361" s="83">
        <f>E361+F361+G361</f>
        <v>36685.800000000003</v>
      </c>
      <c r="I361" s="256"/>
      <c r="J361" s="256"/>
      <c r="K361" s="256"/>
      <c r="L361" s="256"/>
      <c r="M361" s="256"/>
      <c r="O361" s="258"/>
      <c r="P361" s="259"/>
    </row>
    <row r="362" spans="1:16" ht="15" customHeight="1" x14ac:dyDescent="0.2">
      <c r="A362" s="249" t="s">
        <v>387</v>
      </c>
      <c r="B362" s="147" t="s">
        <v>387</v>
      </c>
      <c r="C362" s="148"/>
      <c r="D362" s="148"/>
      <c r="E362" s="149"/>
      <c r="F362" s="149"/>
      <c r="G362" s="149"/>
      <c r="H362" s="273"/>
      <c r="I362" s="259"/>
      <c r="J362" s="259"/>
      <c r="K362" s="259"/>
      <c r="L362" s="259"/>
      <c r="M362" s="259"/>
      <c r="O362" s="258"/>
      <c r="P362" s="259"/>
    </row>
    <row r="363" spans="1:16" ht="15" customHeight="1" x14ac:dyDescent="0.2">
      <c r="A363" s="249" t="s">
        <v>387</v>
      </c>
      <c r="B363" s="147" t="s">
        <v>387</v>
      </c>
      <c r="C363" s="427" t="s">
        <v>119</v>
      </c>
      <c r="D363" s="427"/>
      <c r="E363" s="427"/>
      <c r="F363" s="427"/>
      <c r="G363" s="427"/>
      <c r="H363" s="427"/>
      <c r="I363" s="259"/>
      <c r="J363" s="259"/>
      <c r="K363" s="259"/>
      <c r="L363" s="259"/>
      <c r="M363" s="259"/>
      <c r="O363" s="258"/>
      <c r="P363" s="259"/>
    </row>
    <row r="364" spans="1:16" ht="15" customHeight="1" x14ac:dyDescent="0.2">
      <c r="A364" s="249" t="s">
        <v>387</v>
      </c>
      <c r="B364" s="147" t="s">
        <v>387</v>
      </c>
      <c r="C364" s="428" t="str">
        <f>+C3</f>
        <v xml:space="preserve"> PRESUPUESTO AÑO 2024</v>
      </c>
      <c r="D364" s="428"/>
      <c r="E364" s="428"/>
      <c r="F364" s="428"/>
      <c r="G364" s="428"/>
      <c r="H364" s="428"/>
      <c r="I364" s="259"/>
      <c r="J364" s="259"/>
      <c r="K364" s="259"/>
      <c r="L364" s="259"/>
      <c r="M364" s="259"/>
      <c r="O364" s="258"/>
      <c r="P364" s="259"/>
    </row>
    <row r="365" spans="1:16" ht="15" customHeight="1" x14ac:dyDescent="0.2">
      <c r="A365" s="249" t="s">
        <v>387</v>
      </c>
      <c r="B365" s="147" t="s">
        <v>387</v>
      </c>
      <c r="C365" s="428" t="s">
        <v>499</v>
      </c>
      <c r="D365" s="428"/>
      <c r="E365" s="428"/>
      <c r="F365" s="428"/>
      <c r="G365" s="428"/>
      <c r="H365" s="428"/>
      <c r="I365" s="259"/>
      <c r="J365" s="259"/>
      <c r="K365" s="259"/>
      <c r="L365" s="259"/>
      <c r="M365" s="259"/>
      <c r="O365" s="258"/>
      <c r="P365" s="259"/>
    </row>
    <row r="366" spans="1:16" ht="15" customHeight="1" x14ac:dyDescent="0.2">
      <c r="A366" s="249" t="s">
        <v>387</v>
      </c>
      <c r="B366" s="147" t="s">
        <v>387</v>
      </c>
      <c r="C366" s="427" t="s">
        <v>117</v>
      </c>
      <c r="D366" s="427"/>
      <c r="E366" s="427"/>
      <c r="F366" s="427"/>
      <c r="G366" s="427"/>
      <c r="H366" s="427"/>
      <c r="I366" s="259"/>
      <c r="J366" s="259"/>
      <c r="K366" s="259"/>
      <c r="L366" s="259"/>
      <c r="M366" s="259"/>
      <c r="O366" s="258"/>
      <c r="P366" s="259"/>
    </row>
    <row r="367" spans="1:16" ht="15" customHeight="1" x14ac:dyDescent="0.2">
      <c r="A367" s="249" t="s">
        <v>387</v>
      </c>
      <c r="B367" s="147" t="s">
        <v>387</v>
      </c>
      <c r="C367" s="427" t="s">
        <v>683</v>
      </c>
      <c r="D367" s="427"/>
      <c r="E367" s="427"/>
      <c r="F367" s="427"/>
      <c r="G367" s="427"/>
      <c r="H367" s="427"/>
      <c r="I367" s="259"/>
      <c r="J367" s="259"/>
      <c r="K367" s="259"/>
      <c r="L367" s="259"/>
      <c r="M367" s="259"/>
      <c r="O367" s="258"/>
      <c r="P367" s="259"/>
    </row>
    <row r="368" spans="1:16" ht="15" customHeight="1" x14ac:dyDescent="0.2">
      <c r="A368" s="249" t="s">
        <v>387</v>
      </c>
      <c r="B368" s="147" t="s">
        <v>387</v>
      </c>
      <c r="C368" s="430" t="s">
        <v>1</v>
      </c>
      <c r="D368" s="430" t="s">
        <v>0</v>
      </c>
      <c r="E368" s="255" t="s">
        <v>56</v>
      </c>
      <c r="F368" s="255" t="str">
        <f>+F327</f>
        <v>REFORMA</v>
      </c>
      <c r="G368" s="255" t="s">
        <v>56</v>
      </c>
      <c r="H368" s="432" t="str">
        <f>+H7</f>
        <v>TOTAL 2024</v>
      </c>
      <c r="I368" s="259"/>
      <c r="J368" s="259"/>
      <c r="K368" s="259"/>
      <c r="L368" s="259"/>
      <c r="M368" s="259"/>
      <c r="O368" s="258"/>
      <c r="P368" s="259"/>
    </row>
    <row r="369" spans="1:16" ht="15" customHeight="1" x14ac:dyDescent="0.2">
      <c r="A369" s="249" t="s">
        <v>387</v>
      </c>
      <c r="B369" s="147" t="s">
        <v>387</v>
      </c>
      <c r="C369" s="431"/>
      <c r="D369" s="431"/>
      <c r="E369" s="255" t="s">
        <v>139</v>
      </c>
      <c r="F369" s="255"/>
      <c r="G369" s="255" t="s">
        <v>140</v>
      </c>
      <c r="H369" s="433"/>
      <c r="I369" s="259"/>
      <c r="J369" s="259"/>
      <c r="K369" s="259"/>
      <c r="L369" s="259"/>
      <c r="M369" s="259"/>
      <c r="O369" s="258"/>
      <c r="P369" s="259"/>
    </row>
    <row r="370" spans="1:16" ht="15" customHeight="1" x14ac:dyDescent="0.2">
      <c r="A370" s="249">
        <v>6</v>
      </c>
      <c r="B370" s="147" t="s">
        <v>671</v>
      </c>
      <c r="C370" s="61">
        <v>51101</v>
      </c>
      <c r="D370" s="73" t="s">
        <v>15</v>
      </c>
      <c r="E370" s="74"/>
      <c r="F370" s="74"/>
      <c r="G370" s="272">
        <v>12900</v>
      </c>
      <c r="H370" s="76">
        <f t="shared" ref="H370:H377" si="11">E370+F370+G370</f>
        <v>12900</v>
      </c>
      <c r="I370" s="259"/>
      <c r="J370" s="259"/>
      <c r="K370" s="259"/>
      <c r="L370" s="259"/>
      <c r="M370" s="259"/>
      <c r="O370" s="258"/>
      <c r="P370" s="259"/>
    </row>
    <row r="371" spans="1:16" ht="15" customHeight="1" x14ac:dyDescent="0.2">
      <c r="A371" s="249">
        <v>6</v>
      </c>
      <c r="B371" s="147" t="s">
        <v>671</v>
      </c>
      <c r="C371" s="61">
        <v>51103</v>
      </c>
      <c r="D371" s="73" t="s">
        <v>16</v>
      </c>
      <c r="E371" s="76"/>
      <c r="F371" s="76"/>
      <c r="G371" s="272">
        <v>1075</v>
      </c>
      <c r="H371" s="76">
        <f t="shared" si="11"/>
        <v>1075</v>
      </c>
      <c r="I371" s="259"/>
      <c r="J371" s="259"/>
      <c r="K371" s="259"/>
      <c r="L371" s="259"/>
      <c r="M371" s="259"/>
      <c r="O371" s="258"/>
      <c r="P371" s="259"/>
    </row>
    <row r="372" spans="1:16" ht="15" customHeight="1" x14ac:dyDescent="0.2">
      <c r="A372" s="249">
        <v>6</v>
      </c>
      <c r="B372" s="147" t="s">
        <v>671</v>
      </c>
      <c r="C372" s="61">
        <v>51107</v>
      </c>
      <c r="D372" s="73" t="s">
        <v>34</v>
      </c>
      <c r="E372" s="76"/>
      <c r="F372" s="76"/>
      <c r="G372" s="272">
        <v>400</v>
      </c>
      <c r="H372" s="76">
        <f t="shared" si="11"/>
        <v>400</v>
      </c>
      <c r="I372" s="259"/>
      <c r="J372" s="259"/>
      <c r="K372" s="259"/>
      <c r="L372" s="259"/>
      <c r="M372" s="259"/>
      <c r="O372" s="258"/>
      <c r="P372" s="259"/>
    </row>
    <row r="373" spans="1:16" ht="15" customHeight="1" x14ac:dyDescent="0.2">
      <c r="A373" s="249">
        <v>6</v>
      </c>
      <c r="B373" s="147" t="s">
        <v>671</v>
      </c>
      <c r="C373" s="61">
        <v>51401</v>
      </c>
      <c r="D373" s="62" t="s">
        <v>47</v>
      </c>
      <c r="E373" s="74"/>
      <c r="F373" s="74"/>
      <c r="G373" s="272">
        <v>1096.5</v>
      </c>
      <c r="H373" s="76">
        <f t="shared" si="11"/>
        <v>1096.5</v>
      </c>
      <c r="I373" s="259"/>
      <c r="J373" s="259"/>
      <c r="K373" s="259"/>
      <c r="L373" s="259"/>
      <c r="M373" s="259"/>
      <c r="O373" s="258"/>
      <c r="P373" s="259"/>
    </row>
    <row r="374" spans="1:16" ht="15" customHeight="1" x14ac:dyDescent="0.2">
      <c r="A374" s="249">
        <v>6</v>
      </c>
      <c r="B374" s="147" t="s">
        <v>671</v>
      </c>
      <c r="C374" s="61">
        <v>51501</v>
      </c>
      <c r="D374" s="73" t="s">
        <v>29</v>
      </c>
      <c r="E374" s="74"/>
      <c r="F374" s="74"/>
      <c r="G374" s="272">
        <v>1128.75</v>
      </c>
      <c r="H374" s="76">
        <f t="shared" si="11"/>
        <v>1128.75</v>
      </c>
      <c r="I374" s="259"/>
      <c r="J374" s="259"/>
      <c r="K374" s="259"/>
      <c r="L374" s="259"/>
      <c r="M374" s="259"/>
      <c r="O374" s="258"/>
      <c r="P374" s="259"/>
    </row>
    <row r="375" spans="1:16" ht="15" customHeight="1" x14ac:dyDescent="0.2">
      <c r="A375" s="249">
        <v>6</v>
      </c>
      <c r="B375" s="147" t="s">
        <v>671</v>
      </c>
      <c r="C375" s="61">
        <v>54101</v>
      </c>
      <c r="D375" s="73" t="s">
        <v>38</v>
      </c>
      <c r="E375" s="74"/>
      <c r="F375" s="74"/>
      <c r="G375" s="76">
        <v>0</v>
      </c>
      <c r="H375" s="76">
        <f t="shared" si="11"/>
        <v>0</v>
      </c>
      <c r="I375" s="259"/>
      <c r="J375" s="259"/>
      <c r="K375" s="259"/>
      <c r="L375" s="259"/>
      <c r="M375" s="259"/>
      <c r="O375" s="258"/>
      <c r="P375" s="259"/>
    </row>
    <row r="376" spans="1:16" ht="15" customHeight="1" x14ac:dyDescent="0.2">
      <c r="A376" s="249">
        <v>6</v>
      </c>
      <c r="B376" s="147" t="s">
        <v>671</v>
      </c>
      <c r="C376" s="61">
        <v>54104</v>
      </c>
      <c r="D376" s="73" t="s">
        <v>17</v>
      </c>
      <c r="E376" s="74"/>
      <c r="F376" s="74"/>
      <c r="G376" s="76">
        <v>200</v>
      </c>
      <c r="H376" s="76">
        <f t="shared" si="11"/>
        <v>200</v>
      </c>
      <c r="I376" s="259"/>
      <c r="J376" s="259"/>
      <c r="K376" s="259"/>
      <c r="L376" s="259"/>
      <c r="M376" s="259"/>
      <c r="O376" s="258"/>
      <c r="P376" s="259"/>
    </row>
    <row r="377" spans="1:16" ht="15" customHeight="1" x14ac:dyDescent="0.2">
      <c r="A377" s="249">
        <v>6</v>
      </c>
      <c r="B377" s="147" t="s">
        <v>671</v>
      </c>
      <c r="C377" s="61">
        <v>54105</v>
      </c>
      <c r="D377" s="73" t="s">
        <v>3</v>
      </c>
      <c r="E377" s="74"/>
      <c r="F377" s="74"/>
      <c r="G377" s="76">
        <v>300</v>
      </c>
      <c r="H377" s="76">
        <f t="shared" si="11"/>
        <v>300</v>
      </c>
      <c r="I377" s="259"/>
      <c r="J377" s="259"/>
      <c r="K377" s="259"/>
      <c r="L377" s="259"/>
      <c r="M377" s="259"/>
      <c r="O377" s="258"/>
      <c r="P377" s="259"/>
    </row>
    <row r="378" spans="1:16" ht="15" customHeight="1" x14ac:dyDescent="0.2">
      <c r="A378" s="249">
        <v>6</v>
      </c>
      <c r="B378" s="147" t="s">
        <v>671</v>
      </c>
      <c r="C378" s="61">
        <v>54106</v>
      </c>
      <c r="D378" s="73" t="s">
        <v>18</v>
      </c>
      <c r="E378" s="74"/>
      <c r="F378" s="74"/>
      <c r="G378" s="76">
        <v>100</v>
      </c>
      <c r="H378" s="76">
        <f t="shared" ref="H378:H397" si="12">G378</f>
        <v>100</v>
      </c>
      <c r="I378" s="259"/>
      <c r="J378" s="259"/>
      <c r="K378" s="259"/>
      <c r="L378" s="259"/>
      <c r="M378" s="259"/>
      <c r="O378" s="258"/>
      <c r="P378" s="259"/>
    </row>
    <row r="379" spans="1:16" ht="15" customHeight="1" x14ac:dyDescent="0.2">
      <c r="A379" s="249">
        <v>6</v>
      </c>
      <c r="B379" s="147" t="s">
        <v>671</v>
      </c>
      <c r="C379" s="61">
        <v>54107</v>
      </c>
      <c r="D379" s="73" t="s">
        <v>43</v>
      </c>
      <c r="E379" s="74"/>
      <c r="F379" s="74"/>
      <c r="G379" s="76">
        <v>100</v>
      </c>
      <c r="H379" s="76">
        <f t="shared" si="12"/>
        <v>100</v>
      </c>
      <c r="I379" s="259"/>
      <c r="J379" s="259"/>
      <c r="K379" s="259"/>
      <c r="L379" s="259"/>
      <c r="M379" s="259"/>
      <c r="O379" s="258"/>
      <c r="P379" s="259"/>
    </row>
    <row r="380" spans="1:16" ht="15" customHeight="1" x14ac:dyDescent="0.2">
      <c r="A380" s="249">
        <v>6</v>
      </c>
      <c r="B380" s="147" t="s">
        <v>671</v>
      </c>
      <c r="C380" s="61">
        <v>54110</v>
      </c>
      <c r="D380" s="73" t="s">
        <v>20</v>
      </c>
      <c r="E380" s="74"/>
      <c r="F380" s="74"/>
      <c r="G380" s="76">
        <v>100</v>
      </c>
      <c r="H380" s="76">
        <f t="shared" si="12"/>
        <v>100</v>
      </c>
      <c r="I380" s="259"/>
      <c r="J380" s="259"/>
      <c r="K380" s="259"/>
      <c r="L380" s="259"/>
      <c r="M380" s="259"/>
      <c r="O380" s="258"/>
      <c r="P380" s="259"/>
    </row>
    <row r="381" spans="1:16" ht="15" customHeight="1" x14ac:dyDescent="0.2">
      <c r="A381" s="249">
        <v>6</v>
      </c>
      <c r="B381" s="147" t="s">
        <v>671</v>
      </c>
      <c r="C381" s="61">
        <v>54114</v>
      </c>
      <c r="D381" s="73" t="s">
        <v>5</v>
      </c>
      <c r="E381" s="74"/>
      <c r="F381" s="74"/>
      <c r="G381" s="76">
        <v>450</v>
      </c>
      <c r="H381" s="76">
        <f t="shared" si="12"/>
        <v>450</v>
      </c>
      <c r="I381" s="259"/>
      <c r="J381" s="259"/>
      <c r="K381" s="259"/>
      <c r="L381" s="259"/>
      <c r="M381" s="259"/>
      <c r="O381" s="258"/>
      <c r="P381" s="259"/>
    </row>
    <row r="382" spans="1:16" ht="15" customHeight="1" x14ac:dyDescent="0.2">
      <c r="A382" s="249">
        <v>6</v>
      </c>
      <c r="B382" s="147" t="s">
        <v>671</v>
      </c>
      <c r="C382" s="61">
        <v>54115</v>
      </c>
      <c r="D382" s="73" t="s">
        <v>49</v>
      </c>
      <c r="E382" s="74"/>
      <c r="F382" s="74"/>
      <c r="G382" s="76">
        <v>450</v>
      </c>
      <c r="H382" s="76">
        <f t="shared" si="12"/>
        <v>450</v>
      </c>
      <c r="I382" s="259"/>
      <c r="J382" s="259"/>
      <c r="K382" s="259"/>
      <c r="L382" s="259"/>
      <c r="M382" s="259"/>
      <c r="O382" s="258"/>
      <c r="P382" s="259"/>
    </row>
    <row r="383" spans="1:16" ht="15" customHeight="1" x14ac:dyDescent="0.2">
      <c r="A383" s="249">
        <v>6</v>
      </c>
      <c r="B383" s="147" t="s">
        <v>671</v>
      </c>
      <c r="C383" s="61">
        <v>54116</v>
      </c>
      <c r="D383" s="62" t="s">
        <v>167</v>
      </c>
      <c r="E383" s="74"/>
      <c r="F383" s="74"/>
      <c r="G383" s="76">
        <v>500</v>
      </c>
      <c r="H383" s="76">
        <f t="shared" si="12"/>
        <v>500</v>
      </c>
      <c r="I383" s="259"/>
      <c r="J383" s="259"/>
      <c r="K383" s="259"/>
      <c r="L383" s="259"/>
      <c r="M383" s="259"/>
      <c r="O383" s="258"/>
      <c r="P383" s="259"/>
    </row>
    <row r="384" spans="1:16" ht="15" customHeight="1" x14ac:dyDescent="0.2">
      <c r="A384" s="249">
        <v>6</v>
      </c>
      <c r="B384" s="147" t="s">
        <v>671</v>
      </c>
      <c r="C384" s="61">
        <v>54118</v>
      </c>
      <c r="D384" s="62" t="s">
        <v>35</v>
      </c>
      <c r="E384" s="74"/>
      <c r="F384" s="74"/>
      <c r="G384" s="76">
        <v>100</v>
      </c>
      <c r="H384" s="76">
        <f t="shared" si="12"/>
        <v>100</v>
      </c>
      <c r="I384" s="259"/>
      <c r="J384" s="259"/>
      <c r="K384" s="259"/>
      <c r="L384" s="259"/>
      <c r="M384" s="259"/>
      <c r="O384" s="258"/>
      <c r="P384" s="259"/>
    </row>
    <row r="385" spans="1:18" ht="15" customHeight="1" x14ac:dyDescent="0.2">
      <c r="A385" s="249">
        <v>6</v>
      </c>
      <c r="B385" s="147" t="s">
        <v>671</v>
      </c>
      <c r="C385" s="61">
        <v>54119</v>
      </c>
      <c r="D385" s="62" t="s">
        <v>44</v>
      </c>
      <c r="E385" s="74"/>
      <c r="F385" s="74"/>
      <c r="G385" s="76">
        <v>100</v>
      </c>
      <c r="H385" s="76">
        <f t="shared" si="12"/>
        <v>100</v>
      </c>
      <c r="I385" s="259"/>
      <c r="J385" s="259"/>
      <c r="K385" s="259"/>
      <c r="L385" s="259"/>
      <c r="M385" s="259"/>
      <c r="O385" s="258"/>
      <c r="P385" s="259"/>
    </row>
    <row r="386" spans="1:18" ht="15" customHeight="1" x14ac:dyDescent="0.2">
      <c r="A386" s="249">
        <v>6</v>
      </c>
      <c r="B386" s="147" t="s">
        <v>671</v>
      </c>
      <c r="C386" s="61">
        <v>54199</v>
      </c>
      <c r="D386" s="62" t="s">
        <v>26</v>
      </c>
      <c r="E386" s="74"/>
      <c r="F386" s="74"/>
      <c r="G386" s="76">
        <v>300</v>
      </c>
      <c r="H386" s="76">
        <f t="shared" si="12"/>
        <v>300</v>
      </c>
      <c r="I386" s="259"/>
      <c r="J386" s="259"/>
      <c r="K386" s="259"/>
      <c r="L386" s="259"/>
      <c r="M386" s="259"/>
      <c r="O386" s="258"/>
      <c r="P386" s="259"/>
    </row>
    <row r="387" spans="1:18" ht="15" customHeight="1" x14ac:dyDescent="0.2">
      <c r="A387" s="249">
        <v>6</v>
      </c>
      <c r="B387" s="147" t="s">
        <v>671</v>
      </c>
      <c r="C387" s="61">
        <v>54201</v>
      </c>
      <c r="D387" s="62" t="s">
        <v>187</v>
      </c>
      <c r="E387" s="74"/>
      <c r="F387" s="74"/>
      <c r="G387" s="76">
        <v>0</v>
      </c>
      <c r="H387" s="76">
        <f t="shared" si="12"/>
        <v>0</v>
      </c>
      <c r="I387" s="259"/>
      <c r="J387" s="259"/>
      <c r="K387" s="259"/>
      <c r="L387" s="259"/>
      <c r="M387" s="259"/>
      <c r="O387" s="258"/>
      <c r="P387" s="259"/>
    </row>
    <row r="388" spans="1:18" ht="15" customHeight="1" x14ac:dyDescent="0.2">
      <c r="A388" s="249">
        <v>6</v>
      </c>
      <c r="B388" s="147" t="s">
        <v>671</v>
      </c>
      <c r="C388" s="61">
        <v>54202</v>
      </c>
      <c r="D388" s="73" t="s">
        <v>27</v>
      </c>
      <c r="E388" s="74"/>
      <c r="F388" s="74"/>
      <c r="G388" s="76">
        <v>0</v>
      </c>
      <c r="H388" s="76">
        <f t="shared" si="12"/>
        <v>0</v>
      </c>
      <c r="I388" s="259"/>
      <c r="J388" s="259"/>
      <c r="K388" s="259"/>
      <c r="L388" s="259"/>
      <c r="M388" s="259"/>
      <c r="O388" s="258"/>
      <c r="P388" s="259"/>
    </row>
    <row r="389" spans="1:18" ht="15" customHeight="1" x14ac:dyDescent="0.2">
      <c r="A389" s="249">
        <v>6</v>
      </c>
      <c r="B389" s="147" t="s">
        <v>671</v>
      </c>
      <c r="C389" s="61">
        <v>54203</v>
      </c>
      <c r="D389" s="62" t="s">
        <v>7</v>
      </c>
      <c r="E389" s="74"/>
      <c r="F389" s="74"/>
      <c r="G389" s="76">
        <v>0</v>
      </c>
      <c r="H389" s="76">
        <f t="shared" si="12"/>
        <v>0</v>
      </c>
      <c r="I389" s="259"/>
      <c r="J389" s="259"/>
      <c r="K389" s="259"/>
      <c r="L389" s="259"/>
      <c r="M389" s="259"/>
      <c r="O389" s="258"/>
      <c r="P389" s="259"/>
    </row>
    <row r="390" spans="1:18" ht="15" customHeight="1" x14ac:dyDescent="0.2">
      <c r="A390" s="249">
        <v>6</v>
      </c>
      <c r="B390" s="147" t="s">
        <v>671</v>
      </c>
      <c r="C390" s="61">
        <v>54301</v>
      </c>
      <c r="D390" s="62" t="s">
        <v>158</v>
      </c>
      <c r="E390" s="74"/>
      <c r="F390" s="74"/>
      <c r="G390" s="76">
        <v>200</v>
      </c>
      <c r="H390" s="76">
        <f t="shared" si="12"/>
        <v>200</v>
      </c>
      <c r="I390" s="259"/>
      <c r="J390" s="259"/>
      <c r="K390" s="259"/>
      <c r="L390" s="259"/>
      <c r="M390" s="259"/>
      <c r="O390" s="258"/>
      <c r="P390" s="259"/>
    </row>
    <row r="391" spans="1:18" ht="15" customHeight="1" x14ac:dyDescent="0.2">
      <c r="A391" s="249">
        <v>6</v>
      </c>
      <c r="B391" s="147" t="s">
        <v>671</v>
      </c>
      <c r="C391" s="61">
        <v>54302</v>
      </c>
      <c r="D391" s="62" t="s">
        <v>22</v>
      </c>
      <c r="E391" s="74"/>
      <c r="F391" s="74"/>
      <c r="G391" s="76">
        <v>0</v>
      </c>
      <c r="H391" s="76">
        <f t="shared" si="12"/>
        <v>0</v>
      </c>
      <c r="I391" s="259"/>
      <c r="J391" s="259"/>
      <c r="K391" s="259"/>
      <c r="L391" s="259"/>
      <c r="M391" s="259"/>
      <c r="O391" s="258"/>
      <c r="P391" s="259"/>
    </row>
    <row r="392" spans="1:18" ht="15" customHeight="1" x14ac:dyDescent="0.2">
      <c r="A392" s="249">
        <v>6</v>
      </c>
      <c r="B392" s="147" t="s">
        <v>671</v>
      </c>
      <c r="C392" s="61">
        <v>54307</v>
      </c>
      <c r="D392" s="62" t="s">
        <v>10</v>
      </c>
      <c r="E392" s="74"/>
      <c r="F392" s="74"/>
      <c r="G392" s="76">
        <v>0</v>
      </c>
      <c r="H392" s="76">
        <f t="shared" si="12"/>
        <v>0</v>
      </c>
      <c r="I392" s="259"/>
      <c r="J392" s="259"/>
      <c r="K392" s="259"/>
      <c r="L392" s="259"/>
      <c r="M392" s="259"/>
      <c r="O392" s="258"/>
      <c r="P392" s="259"/>
    </row>
    <row r="393" spans="1:18" ht="15" customHeight="1" x14ac:dyDescent="0.2">
      <c r="A393" s="249">
        <v>6</v>
      </c>
      <c r="B393" s="147" t="s">
        <v>671</v>
      </c>
      <c r="C393" s="61">
        <v>54401</v>
      </c>
      <c r="D393" s="62" t="s">
        <v>143</v>
      </c>
      <c r="E393" s="74"/>
      <c r="F393" s="74"/>
      <c r="G393" s="76">
        <v>500</v>
      </c>
      <c r="H393" s="76">
        <f t="shared" si="12"/>
        <v>500</v>
      </c>
      <c r="I393" s="259"/>
      <c r="J393" s="259"/>
      <c r="K393" s="259"/>
      <c r="L393" s="259"/>
      <c r="M393" s="259"/>
      <c r="O393" s="258"/>
      <c r="P393" s="259"/>
    </row>
    <row r="394" spans="1:18" ht="15" customHeight="1" x14ac:dyDescent="0.2">
      <c r="A394" s="249">
        <v>6</v>
      </c>
      <c r="B394" s="147" t="s">
        <v>671</v>
      </c>
      <c r="C394" s="61">
        <v>61101</v>
      </c>
      <c r="D394" s="73" t="s">
        <v>188</v>
      </c>
      <c r="E394" s="74"/>
      <c r="F394" s="74"/>
      <c r="G394" s="76">
        <v>500</v>
      </c>
      <c r="H394" s="76">
        <f t="shared" si="12"/>
        <v>500</v>
      </c>
      <c r="I394" s="259"/>
      <c r="J394" s="259"/>
      <c r="K394" s="259"/>
      <c r="L394" s="259"/>
      <c r="M394" s="259"/>
      <c r="O394" s="258"/>
      <c r="P394" s="259"/>
    </row>
    <row r="395" spans="1:18" ht="15" customHeight="1" x14ac:dyDescent="0.2">
      <c r="A395" s="249">
        <v>6</v>
      </c>
      <c r="B395" s="147" t="s">
        <v>671</v>
      </c>
      <c r="C395" s="61">
        <v>61102</v>
      </c>
      <c r="D395" s="62" t="s">
        <v>28</v>
      </c>
      <c r="E395" s="74">
        <v>0</v>
      </c>
      <c r="F395" s="74"/>
      <c r="G395" s="76">
        <v>500</v>
      </c>
      <c r="H395" s="76">
        <f t="shared" si="12"/>
        <v>500</v>
      </c>
      <c r="O395" s="258"/>
      <c r="P395" s="268"/>
      <c r="Q395" s="147" t="s">
        <v>590</v>
      </c>
      <c r="R395" s="259">
        <f>+P395-H361</f>
        <v>-36685.800000000003</v>
      </c>
    </row>
    <row r="396" spans="1:18" ht="15" customHeight="1" x14ac:dyDescent="0.2">
      <c r="A396" s="249">
        <v>6</v>
      </c>
      <c r="B396" s="147" t="s">
        <v>671</v>
      </c>
      <c r="C396" s="61">
        <v>61104</v>
      </c>
      <c r="D396" s="73" t="s">
        <v>46</v>
      </c>
      <c r="E396" s="74"/>
      <c r="F396" s="74"/>
      <c r="G396" s="76">
        <v>600</v>
      </c>
      <c r="H396" s="76">
        <f t="shared" si="12"/>
        <v>600</v>
      </c>
    </row>
    <row r="397" spans="1:18" ht="15" customHeight="1" x14ac:dyDescent="0.2">
      <c r="A397" s="249">
        <v>6</v>
      </c>
      <c r="B397" s="147" t="s">
        <v>671</v>
      </c>
      <c r="C397" s="61">
        <v>61199</v>
      </c>
      <c r="D397" s="73" t="s">
        <v>135</v>
      </c>
      <c r="E397" s="74"/>
      <c r="F397" s="74"/>
      <c r="G397" s="76">
        <v>0</v>
      </c>
      <c r="H397" s="76">
        <f t="shared" si="12"/>
        <v>0</v>
      </c>
    </row>
    <row r="398" spans="1:18" ht="15" customHeight="1" x14ac:dyDescent="0.2">
      <c r="A398" s="249">
        <v>6</v>
      </c>
      <c r="B398" s="147" t="s">
        <v>827</v>
      </c>
      <c r="C398" s="61"/>
      <c r="D398" s="61" t="s">
        <v>14</v>
      </c>
      <c r="E398" s="138">
        <f>SUM(E370:E396)</f>
        <v>0</v>
      </c>
      <c r="F398" s="138">
        <f>SUM(F370:F396)</f>
        <v>0</v>
      </c>
      <c r="G398" s="138">
        <f>SUM(G370:G397)</f>
        <v>21600.25</v>
      </c>
      <c r="H398" s="83">
        <f>E398+F398+G398</f>
        <v>21600.25</v>
      </c>
    </row>
    <row r="399" spans="1:18" ht="15" customHeight="1" x14ac:dyDescent="0.2">
      <c r="A399" s="249" t="s">
        <v>387</v>
      </c>
      <c r="B399" s="147" t="s">
        <v>387</v>
      </c>
      <c r="C399" s="148"/>
      <c r="D399" s="148"/>
      <c r="E399" s="149"/>
      <c r="F399" s="149"/>
      <c r="G399" s="149"/>
      <c r="H399" s="273"/>
    </row>
    <row r="400" spans="1:18" ht="15" customHeight="1" x14ac:dyDescent="0.2">
      <c r="A400" s="249" t="s">
        <v>387</v>
      </c>
      <c r="B400" s="147" t="s">
        <v>387</v>
      </c>
      <c r="C400" s="427" t="s">
        <v>119</v>
      </c>
      <c r="D400" s="427"/>
      <c r="E400" s="427"/>
      <c r="F400" s="427"/>
      <c r="G400" s="427"/>
      <c r="H400" s="427"/>
    </row>
    <row r="401" spans="1:8" ht="15" customHeight="1" x14ac:dyDescent="0.2">
      <c r="A401" s="249" t="s">
        <v>387</v>
      </c>
      <c r="B401" s="147" t="s">
        <v>387</v>
      </c>
      <c r="C401" s="428" t="str">
        <f>+C3</f>
        <v xml:space="preserve"> PRESUPUESTO AÑO 2024</v>
      </c>
      <c r="D401" s="428"/>
      <c r="E401" s="428"/>
      <c r="F401" s="428"/>
      <c r="G401" s="428"/>
      <c r="H401" s="428"/>
    </row>
    <row r="402" spans="1:8" ht="15" customHeight="1" x14ac:dyDescent="0.2">
      <c r="A402" s="249" t="s">
        <v>387</v>
      </c>
      <c r="B402" s="147" t="s">
        <v>387</v>
      </c>
      <c r="C402" s="428" t="s">
        <v>499</v>
      </c>
      <c r="D402" s="428"/>
      <c r="E402" s="428"/>
      <c r="F402" s="428"/>
      <c r="G402" s="428"/>
      <c r="H402" s="428"/>
    </row>
    <row r="403" spans="1:8" ht="15" customHeight="1" x14ac:dyDescent="0.2">
      <c r="A403" s="249" t="s">
        <v>387</v>
      </c>
      <c r="B403" s="147" t="s">
        <v>387</v>
      </c>
      <c r="C403" s="427" t="s">
        <v>117</v>
      </c>
      <c r="D403" s="427"/>
      <c r="E403" s="427"/>
      <c r="F403" s="427"/>
      <c r="G403" s="427"/>
      <c r="H403" s="427"/>
    </row>
    <row r="404" spans="1:8" ht="15" customHeight="1" x14ac:dyDescent="0.2">
      <c r="A404" s="249" t="s">
        <v>387</v>
      </c>
      <c r="B404" s="147" t="s">
        <v>387</v>
      </c>
      <c r="C404" s="427" t="s">
        <v>666</v>
      </c>
      <c r="D404" s="427"/>
      <c r="E404" s="427"/>
      <c r="F404" s="427"/>
      <c r="G404" s="427"/>
      <c r="H404" s="427"/>
    </row>
    <row r="405" spans="1:8" ht="15" customHeight="1" x14ac:dyDescent="0.2">
      <c r="A405" s="249" t="s">
        <v>387</v>
      </c>
      <c r="B405" s="147" t="s">
        <v>387</v>
      </c>
      <c r="C405" s="430" t="s">
        <v>1</v>
      </c>
      <c r="D405" s="430" t="s">
        <v>0</v>
      </c>
      <c r="E405" s="255" t="s">
        <v>56</v>
      </c>
      <c r="F405" s="255" t="str">
        <f>+F368</f>
        <v>REFORMA</v>
      </c>
      <c r="G405" s="255" t="s">
        <v>56</v>
      </c>
      <c r="H405" s="432" t="str">
        <f>+H7</f>
        <v>TOTAL 2024</v>
      </c>
    </row>
    <row r="406" spans="1:8" ht="15" customHeight="1" x14ac:dyDescent="0.2">
      <c r="A406" s="249" t="s">
        <v>387</v>
      </c>
      <c r="B406" s="147" t="s">
        <v>387</v>
      </c>
      <c r="C406" s="431"/>
      <c r="D406" s="431"/>
      <c r="E406" s="255" t="s">
        <v>139</v>
      </c>
      <c r="F406" s="255"/>
      <c r="G406" s="255" t="s">
        <v>140</v>
      </c>
      <c r="H406" s="433"/>
    </row>
    <row r="407" spans="1:8" ht="15" customHeight="1" x14ac:dyDescent="0.2">
      <c r="A407" s="249">
        <v>48</v>
      </c>
      <c r="B407" s="147" t="s">
        <v>672</v>
      </c>
      <c r="C407" s="61">
        <v>51101</v>
      </c>
      <c r="D407" s="73" t="s">
        <v>15</v>
      </c>
      <c r="E407" s="74"/>
      <c r="F407" s="74"/>
      <c r="G407" s="272">
        <v>13200</v>
      </c>
      <c r="H407" s="76">
        <f t="shared" ref="H407:H414" si="13">E407+F407+G407</f>
        <v>13200</v>
      </c>
    </row>
    <row r="408" spans="1:8" ht="15" customHeight="1" x14ac:dyDescent="0.2">
      <c r="A408" s="249">
        <v>48</v>
      </c>
      <c r="B408" s="147" t="s">
        <v>672</v>
      </c>
      <c r="C408" s="61">
        <v>51103</v>
      </c>
      <c r="D408" s="73" t="s">
        <v>16</v>
      </c>
      <c r="E408" s="76"/>
      <c r="F408" s="76"/>
      <c r="G408" s="272">
        <v>1100</v>
      </c>
      <c r="H408" s="76">
        <f t="shared" si="13"/>
        <v>1100</v>
      </c>
    </row>
    <row r="409" spans="1:8" ht="15" customHeight="1" x14ac:dyDescent="0.2">
      <c r="A409" s="249">
        <v>48</v>
      </c>
      <c r="B409" s="147" t="s">
        <v>672</v>
      </c>
      <c r="C409" s="61">
        <v>51107</v>
      </c>
      <c r="D409" s="73" t="s">
        <v>34</v>
      </c>
      <c r="E409" s="76"/>
      <c r="F409" s="76"/>
      <c r="G409" s="272">
        <v>400</v>
      </c>
      <c r="H409" s="76">
        <f t="shared" si="13"/>
        <v>400</v>
      </c>
    </row>
    <row r="410" spans="1:8" ht="15" customHeight="1" x14ac:dyDescent="0.2">
      <c r="A410" s="249">
        <v>48</v>
      </c>
      <c r="B410" s="147" t="s">
        <v>672</v>
      </c>
      <c r="C410" s="61">
        <v>51401</v>
      </c>
      <c r="D410" s="62" t="s">
        <v>47</v>
      </c>
      <c r="E410" s="74"/>
      <c r="F410" s="74"/>
      <c r="G410" s="272">
        <v>1122</v>
      </c>
      <c r="H410" s="76">
        <f t="shared" si="13"/>
        <v>1122</v>
      </c>
    </row>
    <row r="411" spans="1:8" ht="15" customHeight="1" x14ac:dyDescent="0.2">
      <c r="A411" s="249">
        <v>48</v>
      </c>
      <c r="B411" s="147" t="s">
        <v>672</v>
      </c>
      <c r="C411" s="61">
        <v>51501</v>
      </c>
      <c r="D411" s="73" t="s">
        <v>29</v>
      </c>
      <c r="E411" s="74"/>
      <c r="F411" s="74"/>
      <c r="G411" s="272">
        <v>1155</v>
      </c>
      <c r="H411" s="76">
        <f t="shared" si="13"/>
        <v>1155</v>
      </c>
    </row>
    <row r="412" spans="1:8" ht="15" customHeight="1" x14ac:dyDescent="0.2">
      <c r="A412" s="249">
        <v>48</v>
      </c>
      <c r="B412" s="147" t="s">
        <v>672</v>
      </c>
      <c r="C412" s="61">
        <v>54101</v>
      </c>
      <c r="D412" s="73" t="s">
        <v>38</v>
      </c>
      <c r="E412" s="74"/>
      <c r="F412" s="74"/>
      <c r="G412" s="76">
        <v>900</v>
      </c>
      <c r="H412" s="76">
        <f t="shared" si="13"/>
        <v>900</v>
      </c>
    </row>
    <row r="413" spans="1:8" ht="15" customHeight="1" x14ac:dyDescent="0.2">
      <c r="A413" s="249">
        <v>48</v>
      </c>
      <c r="B413" s="147" t="s">
        <v>672</v>
      </c>
      <c r="C413" s="61">
        <v>54104</v>
      </c>
      <c r="D413" s="73" t="s">
        <v>17</v>
      </c>
      <c r="E413" s="74"/>
      <c r="F413" s="74"/>
      <c r="G413" s="76">
        <v>200</v>
      </c>
      <c r="H413" s="76">
        <f t="shared" si="13"/>
        <v>200</v>
      </c>
    </row>
    <row r="414" spans="1:8" ht="15" customHeight="1" x14ac:dyDescent="0.2">
      <c r="A414" s="249">
        <v>48</v>
      </c>
      <c r="B414" s="147" t="s">
        <v>672</v>
      </c>
      <c r="C414" s="61">
        <v>54105</v>
      </c>
      <c r="D414" s="73" t="s">
        <v>3</v>
      </c>
      <c r="E414" s="74"/>
      <c r="F414" s="74"/>
      <c r="G414" s="76">
        <v>300</v>
      </c>
      <c r="H414" s="76">
        <f t="shared" si="13"/>
        <v>300</v>
      </c>
    </row>
    <row r="415" spans="1:8" ht="15" customHeight="1" x14ac:dyDescent="0.2">
      <c r="A415" s="249">
        <v>48</v>
      </c>
      <c r="B415" s="147" t="s">
        <v>672</v>
      </c>
      <c r="C415" s="61">
        <v>54106</v>
      </c>
      <c r="D415" s="73" t="s">
        <v>18</v>
      </c>
      <c r="E415" s="74"/>
      <c r="F415" s="74"/>
      <c r="G415" s="76">
        <v>150</v>
      </c>
      <c r="H415" s="76">
        <f t="shared" ref="H415:H432" si="14">G415</f>
        <v>150</v>
      </c>
    </row>
    <row r="416" spans="1:8" ht="15" customHeight="1" x14ac:dyDescent="0.2">
      <c r="A416" s="249">
        <v>48</v>
      </c>
      <c r="B416" s="147" t="s">
        <v>672</v>
      </c>
      <c r="C416" s="61">
        <v>54107</v>
      </c>
      <c r="D416" s="73" t="s">
        <v>43</v>
      </c>
      <c r="E416" s="74"/>
      <c r="F416" s="74"/>
      <c r="G416" s="76">
        <v>100</v>
      </c>
      <c r="H416" s="76">
        <f t="shared" si="14"/>
        <v>100</v>
      </c>
    </row>
    <row r="417" spans="1:8" ht="15" customHeight="1" x14ac:dyDescent="0.2">
      <c r="A417" s="249">
        <v>48</v>
      </c>
      <c r="B417" s="147" t="s">
        <v>672</v>
      </c>
      <c r="C417" s="61">
        <v>54110</v>
      </c>
      <c r="D417" s="73" t="s">
        <v>20</v>
      </c>
      <c r="E417" s="74"/>
      <c r="F417" s="74"/>
      <c r="G417" s="76">
        <v>100</v>
      </c>
      <c r="H417" s="76">
        <f t="shared" si="14"/>
        <v>100</v>
      </c>
    </row>
    <row r="418" spans="1:8" ht="15" customHeight="1" x14ac:dyDescent="0.2">
      <c r="A418" s="249">
        <v>48</v>
      </c>
      <c r="B418" s="147" t="s">
        <v>672</v>
      </c>
      <c r="C418" s="61">
        <v>54114</v>
      </c>
      <c r="D418" s="73" t="s">
        <v>5</v>
      </c>
      <c r="E418" s="74"/>
      <c r="F418" s="74"/>
      <c r="G418" s="76">
        <v>350</v>
      </c>
      <c r="H418" s="76">
        <f t="shared" si="14"/>
        <v>350</v>
      </c>
    </row>
    <row r="419" spans="1:8" ht="15" customHeight="1" x14ac:dyDescent="0.2">
      <c r="A419" s="249">
        <v>48</v>
      </c>
      <c r="B419" s="147" t="s">
        <v>672</v>
      </c>
      <c r="C419" s="61">
        <v>54115</v>
      </c>
      <c r="D419" s="73" t="s">
        <v>49</v>
      </c>
      <c r="E419" s="74"/>
      <c r="F419" s="74"/>
      <c r="G419" s="76">
        <v>400</v>
      </c>
      <c r="H419" s="76">
        <f t="shared" si="14"/>
        <v>400</v>
      </c>
    </row>
    <row r="420" spans="1:8" ht="15" customHeight="1" x14ac:dyDescent="0.2">
      <c r="A420" s="249">
        <v>48</v>
      </c>
      <c r="B420" s="147" t="s">
        <v>672</v>
      </c>
      <c r="C420" s="61">
        <v>54116</v>
      </c>
      <c r="D420" s="62" t="s">
        <v>167</v>
      </c>
      <c r="E420" s="74"/>
      <c r="F420" s="74"/>
      <c r="G420" s="76">
        <v>100</v>
      </c>
      <c r="H420" s="76">
        <f t="shared" si="14"/>
        <v>100</v>
      </c>
    </row>
    <row r="421" spans="1:8" ht="15" customHeight="1" x14ac:dyDescent="0.2">
      <c r="A421" s="249">
        <v>48</v>
      </c>
      <c r="B421" s="147" t="s">
        <v>672</v>
      </c>
      <c r="C421" s="61">
        <v>54118</v>
      </c>
      <c r="D421" s="62" t="s">
        <v>35</v>
      </c>
      <c r="E421" s="74"/>
      <c r="F421" s="74"/>
      <c r="G421" s="76">
        <v>100</v>
      </c>
      <c r="H421" s="76">
        <f t="shared" si="14"/>
        <v>100</v>
      </c>
    </row>
    <row r="422" spans="1:8" ht="15" customHeight="1" x14ac:dyDescent="0.2">
      <c r="A422" s="249">
        <v>48</v>
      </c>
      <c r="B422" s="147" t="s">
        <v>672</v>
      </c>
      <c r="C422" s="61">
        <v>54119</v>
      </c>
      <c r="D422" s="62" t="s">
        <v>44</v>
      </c>
      <c r="E422" s="74"/>
      <c r="F422" s="74"/>
      <c r="G422" s="76">
        <v>100</v>
      </c>
      <c r="H422" s="76">
        <f t="shared" si="14"/>
        <v>100</v>
      </c>
    </row>
    <row r="423" spans="1:8" ht="15" customHeight="1" x14ac:dyDescent="0.2">
      <c r="A423" s="249">
        <v>48</v>
      </c>
      <c r="B423" s="147" t="s">
        <v>672</v>
      </c>
      <c r="C423" s="61">
        <v>54199</v>
      </c>
      <c r="D423" s="62" t="s">
        <v>26</v>
      </c>
      <c r="E423" s="74"/>
      <c r="F423" s="74"/>
      <c r="G423" s="76">
        <v>200</v>
      </c>
      <c r="H423" s="76">
        <f t="shared" si="14"/>
        <v>200</v>
      </c>
    </row>
    <row r="424" spans="1:8" ht="15" customHeight="1" x14ac:dyDescent="0.2">
      <c r="A424" s="249">
        <v>48</v>
      </c>
      <c r="B424" s="147" t="s">
        <v>672</v>
      </c>
      <c r="C424" s="61">
        <v>54201</v>
      </c>
      <c r="D424" s="62" t="s">
        <v>187</v>
      </c>
      <c r="E424" s="74"/>
      <c r="F424" s="74"/>
      <c r="G424" s="76">
        <v>0</v>
      </c>
      <c r="H424" s="76">
        <f t="shared" si="14"/>
        <v>0</v>
      </c>
    </row>
    <row r="425" spans="1:8" ht="15" customHeight="1" x14ac:dyDescent="0.2">
      <c r="A425" s="249">
        <v>48</v>
      </c>
      <c r="B425" s="147" t="s">
        <v>672</v>
      </c>
      <c r="C425" s="61">
        <v>54202</v>
      </c>
      <c r="D425" s="73" t="s">
        <v>27</v>
      </c>
      <c r="E425" s="74"/>
      <c r="F425" s="74"/>
      <c r="G425" s="76">
        <v>0</v>
      </c>
      <c r="H425" s="76">
        <f t="shared" si="14"/>
        <v>0</v>
      </c>
    </row>
    <row r="426" spans="1:8" ht="15" customHeight="1" x14ac:dyDescent="0.2">
      <c r="A426" s="249">
        <v>48</v>
      </c>
      <c r="B426" s="147" t="s">
        <v>672</v>
      </c>
      <c r="C426" s="61">
        <v>54203</v>
      </c>
      <c r="D426" s="62" t="s">
        <v>7</v>
      </c>
      <c r="E426" s="74"/>
      <c r="F426" s="74"/>
      <c r="G426" s="76">
        <v>0</v>
      </c>
      <c r="H426" s="76">
        <f t="shared" si="14"/>
        <v>0</v>
      </c>
    </row>
    <row r="427" spans="1:8" ht="15" customHeight="1" x14ac:dyDescent="0.2">
      <c r="A427" s="249">
        <v>48</v>
      </c>
      <c r="B427" s="147" t="s">
        <v>672</v>
      </c>
      <c r="C427" s="61">
        <v>54301</v>
      </c>
      <c r="D427" s="62" t="s">
        <v>158</v>
      </c>
      <c r="E427" s="74"/>
      <c r="F427" s="74"/>
      <c r="G427" s="76">
        <v>400</v>
      </c>
      <c r="H427" s="76">
        <f t="shared" si="14"/>
        <v>400</v>
      </c>
    </row>
    <row r="428" spans="1:8" ht="15" customHeight="1" x14ac:dyDescent="0.2">
      <c r="A428" s="249">
        <v>48</v>
      </c>
      <c r="B428" s="147" t="s">
        <v>672</v>
      </c>
      <c r="C428" s="61">
        <v>54302</v>
      </c>
      <c r="D428" s="62" t="s">
        <v>22</v>
      </c>
      <c r="E428" s="74"/>
      <c r="F428" s="74"/>
      <c r="G428" s="76">
        <v>300</v>
      </c>
      <c r="H428" s="76">
        <f t="shared" si="14"/>
        <v>300</v>
      </c>
    </row>
    <row r="429" spans="1:8" ht="15" customHeight="1" x14ac:dyDescent="0.2">
      <c r="A429" s="249">
        <v>48</v>
      </c>
      <c r="B429" s="147" t="s">
        <v>672</v>
      </c>
      <c r="C429" s="61">
        <v>54307</v>
      </c>
      <c r="D429" s="62" t="s">
        <v>10</v>
      </c>
      <c r="E429" s="74"/>
      <c r="F429" s="74"/>
      <c r="G429" s="76">
        <v>0</v>
      </c>
      <c r="H429" s="76">
        <f t="shared" si="14"/>
        <v>0</v>
      </c>
    </row>
    <row r="430" spans="1:8" ht="15" customHeight="1" x14ac:dyDescent="0.2">
      <c r="A430" s="249">
        <v>48</v>
      </c>
      <c r="B430" s="147" t="s">
        <v>672</v>
      </c>
      <c r="C430" s="61">
        <v>54401</v>
      </c>
      <c r="D430" s="62" t="s">
        <v>143</v>
      </c>
      <c r="E430" s="74"/>
      <c r="F430" s="74"/>
      <c r="G430" s="76">
        <v>300</v>
      </c>
      <c r="H430" s="76">
        <f t="shared" si="14"/>
        <v>300</v>
      </c>
    </row>
    <row r="431" spans="1:8" ht="15" customHeight="1" x14ac:dyDescent="0.2">
      <c r="A431" s="249">
        <v>48</v>
      </c>
      <c r="B431" s="147" t="s">
        <v>672</v>
      </c>
      <c r="C431" s="61">
        <v>61101</v>
      </c>
      <c r="D431" s="73" t="s">
        <v>188</v>
      </c>
      <c r="E431" s="74"/>
      <c r="F431" s="74"/>
      <c r="G431" s="76">
        <v>700</v>
      </c>
      <c r="H431" s="76">
        <f t="shared" si="14"/>
        <v>700</v>
      </c>
    </row>
    <row r="432" spans="1:8" ht="15" customHeight="1" x14ac:dyDescent="0.2">
      <c r="A432" s="249">
        <v>48</v>
      </c>
      <c r="B432" s="147" t="s">
        <v>672</v>
      </c>
      <c r="C432" s="61">
        <v>61102</v>
      </c>
      <c r="D432" s="62" t="s">
        <v>28</v>
      </c>
      <c r="E432" s="74">
        <v>0</v>
      </c>
      <c r="F432" s="74"/>
      <c r="G432" s="76">
        <v>500</v>
      </c>
      <c r="H432" s="76">
        <f t="shared" si="14"/>
        <v>500</v>
      </c>
    </row>
    <row r="433" spans="1:17" ht="15" customHeight="1" x14ac:dyDescent="0.2">
      <c r="A433" s="249">
        <v>48</v>
      </c>
      <c r="B433" s="147" t="s">
        <v>672</v>
      </c>
      <c r="C433" s="61">
        <v>61104</v>
      </c>
      <c r="D433" s="73" t="s">
        <v>46</v>
      </c>
      <c r="E433" s="74"/>
      <c r="F433" s="74"/>
      <c r="G433" s="76">
        <v>800</v>
      </c>
      <c r="H433" s="76">
        <f>G433</f>
        <v>800</v>
      </c>
    </row>
    <row r="434" spans="1:17" ht="15" customHeight="1" x14ac:dyDescent="0.2">
      <c r="A434" s="249">
        <v>48</v>
      </c>
      <c r="B434" s="147" t="s">
        <v>672</v>
      </c>
      <c r="C434" s="61">
        <v>61199</v>
      </c>
      <c r="D434" s="73" t="s">
        <v>135</v>
      </c>
      <c r="E434" s="74"/>
      <c r="F434" s="74"/>
      <c r="G434" s="76">
        <v>0</v>
      </c>
      <c r="H434" s="76">
        <f>G434</f>
        <v>0</v>
      </c>
    </row>
    <row r="435" spans="1:17" ht="15" customHeight="1" x14ac:dyDescent="0.2">
      <c r="A435" s="249">
        <v>48</v>
      </c>
      <c r="B435" s="147" t="s">
        <v>832</v>
      </c>
      <c r="C435" s="61"/>
      <c r="D435" s="61" t="s">
        <v>14</v>
      </c>
      <c r="E435" s="138">
        <f>SUM(E407:E433)</f>
        <v>0</v>
      </c>
      <c r="F435" s="138">
        <f>SUM(F407:F433)</f>
        <v>0</v>
      </c>
      <c r="G435" s="138">
        <f>SUM(G407:G434)</f>
        <v>22977</v>
      </c>
      <c r="H435" s="83">
        <f>E435+F435+G435</f>
        <v>22977</v>
      </c>
    </row>
    <row r="436" spans="1:17" ht="15" customHeight="1" x14ac:dyDescent="0.2">
      <c r="A436" s="249"/>
      <c r="B436" s="147" t="s">
        <v>387</v>
      </c>
      <c r="C436" s="396"/>
      <c r="D436" s="396"/>
      <c r="E436" s="149"/>
      <c r="F436" s="149"/>
      <c r="G436" s="149"/>
      <c r="H436" s="273"/>
    </row>
    <row r="437" spans="1:17" ht="15" customHeight="1" x14ac:dyDescent="0.2">
      <c r="A437" s="249" t="s">
        <v>387</v>
      </c>
      <c r="B437" s="147" t="s">
        <v>387</v>
      </c>
      <c r="C437" s="148"/>
      <c r="D437" s="148"/>
      <c r="E437" s="149"/>
      <c r="F437" s="149"/>
      <c r="G437" s="149"/>
      <c r="H437" s="273"/>
    </row>
    <row r="438" spans="1:17" ht="15" customHeight="1" x14ac:dyDescent="0.2">
      <c r="A438" s="249" t="s">
        <v>387</v>
      </c>
      <c r="B438" s="147" t="s">
        <v>387</v>
      </c>
      <c r="C438" s="427" t="s">
        <v>119</v>
      </c>
      <c r="D438" s="427"/>
      <c r="E438" s="427"/>
      <c r="F438" s="427"/>
      <c r="G438" s="427"/>
      <c r="H438" s="427"/>
    </row>
    <row r="439" spans="1:17" ht="15" customHeight="1" x14ac:dyDescent="0.2">
      <c r="A439" s="249" t="s">
        <v>387</v>
      </c>
      <c r="B439" s="147" t="s">
        <v>387</v>
      </c>
      <c r="C439" s="428" t="str">
        <f>+C3</f>
        <v xml:space="preserve"> PRESUPUESTO AÑO 2024</v>
      </c>
      <c r="D439" s="428"/>
      <c r="E439" s="428"/>
      <c r="F439" s="428"/>
      <c r="G439" s="428"/>
      <c r="H439" s="428"/>
    </row>
    <row r="440" spans="1:17" ht="15" customHeight="1" x14ac:dyDescent="0.2">
      <c r="A440" s="249" t="s">
        <v>387</v>
      </c>
      <c r="B440" s="147" t="s">
        <v>387</v>
      </c>
      <c r="C440" s="428" t="s">
        <v>499</v>
      </c>
      <c r="D440" s="428"/>
      <c r="E440" s="428"/>
      <c r="F440" s="428"/>
      <c r="G440" s="428"/>
      <c r="H440" s="428"/>
    </row>
    <row r="441" spans="1:17" ht="15" customHeight="1" x14ac:dyDescent="0.2">
      <c r="A441" s="249" t="s">
        <v>387</v>
      </c>
      <c r="B441" s="147" t="s">
        <v>387</v>
      </c>
      <c r="C441" s="427" t="s">
        <v>117</v>
      </c>
      <c r="D441" s="427"/>
      <c r="E441" s="427"/>
      <c r="F441" s="427"/>
      <c r="G441" s="427"/>
      <c r="H441" s="427"/>
    </row>
    <row r="442" spans="1:17" ht="15" customHeight="1" x14ac:dyDescent="0.2">
      <c r="A442" s="249" t="s">
        <v>387</v>
      </c>
      <c r="B442" s="147" t="s">
        <v>387</v>
      </c>
      <c r="C442" s="427" t="s">
        <v>682</v>
      </c>
      <c r="D442" s="427"/>
      <c r="E442" s="427"/>
      <c r="F442" s="427"/>
      <c r="G442" s="427"/>
      <c r="H442" s="427"/>
    </row>
    <row r="443" spans="1:17" ht="15" customHeight="1" x14ac:dyDescent="0.2">
      <c r="A443" s="249" t="s">
        <v>387</v>
      </c>
      <c r="B443" s="147" t="s">
        <v>387</v>
      </c>
      <c r="C443" s="430" t="s">
        <v>1</v>
      </c>
      <c r="D443" s="430" t="s">
        <v>0</v>
      </c>
      <c r="E443" s="255" t="s">
        <v>56</v>
      </c>
      <c r="F443" s="255" t="str">
        <f>+F405</f>
        <v>REFORMA</v>
      </c>
      <c r="G443" s="255" t="s">
        <v>56</v>
      </c>
      <c r="H443" s="432" t="str">
        <f>+H7</f>
        <v>TOTAL 2024</v>
      </c>
    </row>
    <row r="444" spans="1:17" ht="15" customHeight="1" x14ac:dyDescent="0.2">
      <c r="A444" s="249" t="s">
        <v>387</v>
      </c>
      <c r="B444" s="147" t="s">
        <v>387</v>
      </c>
      <c r="C444" s="431"/>
      <c r="D444" s="431"/>
      <c r="E444" s="255" t="s">
        <v>139</v>
      </c>
      <c r="F444" s="255"/>
      <c r="G444" s="255" t="s">
        <v>140</v>
      </c>
      <c r="H444" s="433"/>
    </row>
    <row r="445" spans="1:17" ht="15" customHeight="1" x14ac:dyDescent="0.2">
      <c r="A445" s="249">
        <v>48</v>
      </c>
      <c r="B445" s="147" t="s">
        <v>673</v>
      </c>
      <c r="C445" s="61">
        <v>51101</v>
      </c>
      <c r="D445" s="73" t="s">
        <v>15</v>
      </c>
      <c r="E445" s="74"/>
      <c r="F445" s="74"/>
      <c r="G445" s="272">
        <v>14400</v>
      </c>
      <c r="H445" s="76">
        <f t="shared" ref="H445:H452" si="15">E445+F445+G445</f>
        <v>14400</v>
      </c>
      <c r="P445" s="147">
        <v>14400</v>
      </c>
      <c r="Q445" s="274">
        <f>G445-P445</f>
        <v>0</v>
      </c>
    </row>
    <row r="446" spans="1:17" ht="15" customHeight="1" x14ac:dyDescent="0.2">
      <c r="A446" s="249">
        <v>48</v>
      </c>
      <c r="B446" s="147" t="s">
        <v>673</v>
      </c>
      <c r="C446" s="61">
        <v>51103</v>
      </c>
      <c r="D446" s="73" t="s">
        <v>16</v>
      </c>
      <c r="E446" s="76"/>
      <c r="F446" s="76"/>
      <c r="G446" s="272">
        <v>1200</v>
      </c>
      <c r="H446" s="76">
        <f t="shared" si="15"/>
        <v>1200</v>
      </c>
      <c r="P446" s="147">
        <v>1200</v>
      </c>
      <c r="Q446" s="274">
        <f t="shared" ref="Q446:Q449" si="16">G446-P446</f>
        <v>0</v>
      </c>
    </row>
    <row r="447" spans="1:17" ht="15" customHeight="1" x14ac:dyDescent="0.2">
      <c r="A447" s="249">
        <v>48</v>
      </c>
      <c r="B447" s="147" t="s">
        <v>673</v>
      </c>
      <c r="C447" s="61">
        <v>51107</v>
      </c>
      <c r="D447" s="73" t="s">
        <v>34</v>
      </c>
      <c r="E447" s="76"/>
      <c r="F447" s="76"/>
      <c r="G447" s="272">
        <v>400</v>
      </c>
      <c r="H447" s="76">
        <f t="shared" si="15"/>
        <v>400</v>
      </c>
      <c r="P447" s="147">
        <v>400</v>
      </c>
      <c r="Q447" s="274">
        <f t="shared" si="16"/>
        <v>0</v>
      </c>
    </row>
    <row r="448" spans="1:17" ht="15" customHeight="1" x14ac:dyDescent="0.2">
      <c r="A448" s="249">
        <v>48</v>
      </c>
      <c r="B448" s="147" t="s">
        <v>673</v>
      </c>
      <c r="C448" s="61">
        <v>51401</v>
      </c>
      <c r="D448" s="62" t="s">
        <v>47</v>
      </c>
      <c r="E448" s="74"/>
      <c r="F448" s="74"/>
      <c r="G448" s="272">
        <v>1224</v>
      </c>
      <c r="H448" s="76">
        <f t="shared" si="15"/>
        <v>1224</v>
      </c>
      <c r="P448" s="147">
        <v>1224</v>
      </c>
      <c r="Q448" s="274">
        <f t="shared" si="16"/>
        <v>0</v>
      </c>
    </row>
    <row r="449" spans="1:17" ht="15" customHeight="1" x14ac:dyDescent="0.2">
      <c r="A449" s="249">
        <v>48</v>
      </c>
      <c r="B449" s="147" t="s">
        <v>673</v>
      </c>
      <c r="C449" s="61">
        <v>51501</v>
      </c>
      <c r="D449" s="73" t="s">
        <v>29</v>
      </c>
      <c r="E449" s="74"/>
      <c r="F449" s="74"/>
      <c r="G449" s="272">
        <v>1260</v>
      </c>
      <c r="H449" s="76">
        <f t="shared" si="15"/>
        <v>1260</v>
      </c>
      <c r="P449" s="147">
        <v>1260</v>
      </c>
      <c r="Q449" s="274">
        <f t="shared" si="16"/>
        <v>0</v>
      </c>
    </row>
    <row r="450" spans="1:17" ht="15" customHeight="1" x14ac:dyDescent="0.2">
      <c r="A450" s="249">
        <v>48</v>
      </c>
      <c r="B450" s="147" t="s">
        <v>673</v>
      </c>
      <c r="C450" s="61">
        <v>54101</v>
      </c>
      <c r="D450" s="73" t="s">
        <v>38</v>
      </c>
      <c r="E450" s="74"/>
      <c r="F450" s="74"/>
      <c r="G450" s="76">
        <v>300</v>
      </c>
      <c r="H450" s="76">
        <f t="shared" si="15"/>
        <v>300</v>
      </c>
      <c r="Q450" s="274">
        <f>SUM(Q445:Q449)</f>
        <v>0</v>
      </c>
    </row>
    <row r="451" spans="1:17" ht="15" customHeight="1" x14ac:dyDescent="0.2">
      <c r="A451" s="249">
        <v>48</v>
      </c>
      <c r="B451" s="147" t="s">
        <v>673</v>
      </c>
      <c r="C451" s="61">
        <v>54104</v>
      </c>
      <c r="D451" s="73" t="s">
        <v>17</v>
      </c>
      <c r="E451" s="74"/>
      <c r="F451" s="74"/>
      <c r="G451" s="76">
        <v>200</v>
      </c>
      <c r="H451" s="76">
        <f t="shared" si="15"/>
        <v>200</v>
      </c>
    </row>
    <row r="452" spans="1:17" ht="15" customHeight="1" x14ac:dyDescent="0.2">
      <c r="A452" s="249">
        <v>48</v>
      </c>
      <c r="B452" s="147" t="s">
        <v>673</v>
      </c>
      <c r="C452" s="61">
        <v>54105</v>
      </c>
      <c r="D452" s="73" t="s">
        <v>3</v>
      </c>
      <c r="E452" s="74"/>
      <c r="F452" s="74"/>
      <c r="G452" s="76">
        <v>500</v>
      </c>
      <c r="H452" s="76">
        <f t="shared" si="15"/>
        <v>500</v>
      </c>
    </row>
    <row r="453" spans="1:17" ht="15" customHeight="1" x14ac:dyDescent="0.2">
      <c r="A453" s="249">
        <v>48</v>
      </c>
      <c r="B453" s="147" t="s">
        <v>673</v>
      </c>
      <c r="C453" s="61">
        <v>54106</v>
      </c>
      <c r="D453" s="73" t="s">
        <v>18</v>
      </c>
      <c r="E453" s="74"/>
      <c r="F453" s="74"/>
      <c r="G453" s="76">
        <v>100</v>
      </c>
      <c r="H453" s="76">
        <f t="shared" ref="H453:H470" si="17">G453</f>
        <v>100</v>
      </c>
    </row>
    <row r="454" spans="1:17" ht="15" customHeight="1" x14ac:dyDescent="0.2">
      <c r="A454" s="249">
        <v>48</v>
      </c>
      <c r="B454" s="147" t="s">
        <v>673</v>
      </c>
      <c r="C454" s="61">
        <v>54107</v>
      </c>
      <c r="D454" s="73" t="s">
        <v>43</v>
      </c>
      <c r="E454" s="74"/>
      <c r="F454" s="74"/>
      <c r="G454" s="76">
        <v>200</v>
      </c>
      <c r="H454" s="76">
        <f t="shared" si="17"/>
        <v>200</v>
      </c>
    </row>
    <row r="455" spans="1:17" ht="15" customHeight="1" x14ac:dyDescent="0.2">
      <c r="A455" s="249">
        <v>48</v>
      </c>
      <c r="B455" s="147" t="s">
        <v>673</v>
      </c>
      <c r="C455" s="61">
        <v>54110</v>
      </c>
      <c r="D455" s="73" t="s">
        <v>20</v>
      </c>
      <c r="E455" s="74"/>
      <c r="F455" s="74"/>
      <c r="G455" s="76">
        <v>300</v>
      </c>
      <c r="H455" s="76">
        <f t="shared" si="17"/>
        <v>300</v>
      </c>
    </row>
    <row r="456" spans="1:17" ht="15" customHeight="1" x14ac:dyDescent="0.2">
      <c r="A456" s="249">
        <v>48</v>
      </c>
      <c r="B456" s="147" t="s">
        <v>673</v>
      </c>
      <c r="C456" s="61">
        <v>54114</v>
      </c>
      <c r="D456" s="73" t="s">
        <v>5</v>
      </c>
      <c r="E456" s="74"/>
      <c r="F456" s="74"/>
      <c r="G456" s="76">
        <v>310</v>
      </c>
      <c r="H456" s="76">
        <f t="shared" si="17"/>
        <v>310</v>
      </c>
    </row>
    <row r="457" spans="1:17" ht="15" customHeight="1" x14ac:dyDescent="0.2">
      <c r="A457" s="249">
        <v>48</v>
      </c>
      <c r="B457" s="147" t="s">
        <v>673</v>
      </c>
      <c r="C457" s="61">
        <v>54115</v>
      </c>
      <c r="D457" s="73" t="s">
        <v>49</v>
      </c>
      <c r="E457" s="74"/>
      <c r="F457" s="74"/>
      <c r="G457" s="76">
        <v>700</v>
      </c>
      <c r="H457" s="76">
        <f t="shared" si="17"/>
        <v>700</v>
      </c>
    </row>
    <row r="458" spans="1:17" ht="15" customHeight="1" x14ac:dyDescent="0.2">
      <c r="A458" s="249">
        <v>48</v>
      </c>
      <c r="B458" s="147" t="s">
        <v>673</v>
      </c>
      <c r="C458" s="61">
        <v>54116</v>
      </c>
      <c r="D458" s="62" t="s">
        <v>167</v>
      </c>
      <c r="E458" s="74"/>
      <c r="F458" s="74"/>
      <c r="G458" s="76">
        <v>300</v>
      </c>
      <c r="H458" s="76">
        <f t="shared" si="17"/>
        <v>300</v>
      </c>
    </row>
    <row r="459" spans="1:17" ht="15" customHeight="1" x14ac:dyDescent="0.2">
      <c r="A459" s="249">
        <v>48</v>
      </c>
      <c r="B459" s="147" t="s">
        <v>673</v>
      </c>
      <c r="C459" s="61">
        <v>54118</v>
      </c>
      <c r="D459" s="62" t="s">
        <v>35</v>
      </c>
      <c r="E459" s="74"/>
      <c r="F459" s="74"/>
      <c r="G459" s="76">
        <v>200</v>
      </c>
      <c r="H459" s="76">
        <f t="shared" si="17"/>
        <v>200</v>
      </c>
    </row>
    <row r="460" spans="1:17" ht="15" customHeight="1" x14ac:dyDescent="0.2">
      <c r="A460" s="249">
        <v>48</v>
      </c>
      <c r="B460" s="147" t="s">
        <v>673</v>
      </c>
      <c r="C460" s="61">
        <v>54119</v>
      </c>
      <c r="D460" s="62" t="s">
        <v>44</v>
      </c>
      <c r="E460" s="74"/>
      <c r="F460" s="74"/>
      <c r="G460" s="76">
        <v>200</v>
      </c>
      <c r="H460" s="76">
        <f t="shared" si="17"/>
        <v>200</v>
      </c>
    </row>
    <row r="461" spans="1:17" ht="15" customHeight="1" x14ac:dyDescent="0.2">
      <c r="A461" s="249">
        <v>48</v>
      </c>
      <c r="B461" s="147" t="s">
        <v>673</v>
      </c>
      <c r="C461" s="61">
        <v>54199</v>
      </c>
      <c r="D461" s="62" t="s">
        <v>26</v>
      </c>
      <c r="E461" s="74"/>
      <c r="F461" s="74"/>
      <c r="G461" s="76">
        <v>200</v>
      </c>
      <c r="H461" s="76">
        <f t="shared" si="17"/>
        <v>200</v>
      </c>
    </row>
    <row r="462" spans="1:17" ht="15" customHeight="1" x14ac:dyDescent="0.2">
      <c r="A462" s="249">
        <v>48</v>
      </c>
      <c r="B462" s="147" t="s">
        <v>673</v>
      </c>
      <c r="C462" s="61">
        <v>54201</v>
      </c>
      <c r="D462" s="62" t="s">
        <v>187</v>
      </c>
      <c r="E462" s="74"/>
      <c r="F462" s="74"/>
      <c r="G462" s="76">
        <v>0</v>
      </c>
      <c r="H462" s="76">
        <f t="shared" si="17"/>
        <v>0</v>
      </c>
    </row>
    <row r="463" spans="1:17" ht="15" customHeight="1" x14ac:dyDescent="0.2">
      <c r="A463" s="249">
        <v>48</v>
      </c>
      <c r="B463" s="147" t="s">
        <v>673</v>
      </c>
      <c r="C463" s="61">
        <v>54202</v>
      </c>
      <c r="D463" s="73" t="s">
        <v>27</v>
      </c>
      <c r="E463" s="74"/>
      <c r="F463" s="74"/>
      <c r="G463" s="76">
        <v>0</v>
      </c>
      <c r="H463" s="76">
        <f t="shared" si="17"/>
        <v>0</v>
      </c>
    </row>
    <row r="464" spans="1:17" ht="15" customHeight="1" x14ac:dyDescent="0.2">
      <c r="A464" s="249">
        <v>48</v>
      </c>
      <c r="B464" s="147" t="s">
        <v>673</v>
      </c>
      <c r="C464" s="61">
        <v>54203</v>
      </c>
      <c r="D464" s="62" t="s">
        <v>7</v>
      </c>
      <c r="E464" s="74"/>
      <c r="F464" s="74"/>
      <c r="G464" s="76">
        <v>0</v>
      </c>
      <c r="H464" s="76">
        <f t="shared" si="17"/>
        <v>0</v>
      </c>
    </row>
    <row r="465" spans="1:8" ht="15" customHeight="1" x14ac:dyDescent="0.2">
      <c r="A465" s="249">
        <v>48</v>
      </c>
      <c r="B465" s="147" t="s">
        <v>673</v>
      </c>
      <c r="C465" s="61">
        <v>54301</v>
      </c>
      <c r="D465" s="62" t="s">
        <v>158</v>
      </c>
      <c r="E465" s="74"/>
      <c r="F465" s="74"/>
      <c r="G465" s="76">
        <v>200</v>
      </c>
      <c r="H465" s="76">
        <f t="shared" si="17"/>
        <v>200</v>
      </c>
    </row>
    <row r="466" spans="1:8" ht="15" customHeight="1" x14ac:dyDescent="0.2">
      <c r="A466" s="249">
        <v>48</v>
      </c>
      <c r="B466" s="147" t="s">
        <v>673</v>
      </c>
      <c r="C466" s="61">
        <v>54302</v>
      </c>
      <c r="D466" s="62" t="s">
        <v>22</v>
      </c>
      <c r="E466" s="74"/>
      <c r="F466" s="74"/>
      <c r="G466" s="76">
        <v>200</v>
      </c>
      <c r="H466" s="76">
        <f t="shared" si="17"/>
        <v>200</v>
      </c>
    </row>
    <row r="467" spans="1:8" ht="15" customHeight="1" x14ac:dyDescent="0.2">
      <c r="A467" s="249">
        <v>48</v>
      </c>
      <c r="B467" s="147" t="s">
        <v>673</v>
      </c>
      <c r="C467" s="61">
        <v>54307</v>
      </c>
      <c r="D467" s="62" t="s">
        <v>10</v>
      </c>
      <c r="E467" s="74"/>
      <c r="F467" s="74"/>
      <c r="G467" s="76">
        <v>0</v>
      </c>
      <c r="H467" s="76">
        <f t="shared" si="17"/>
        <v>0</v>
      </c>
    </row>
    <row r="468" spans="1:8" ht="15" customHeight="1" x14ac:dyDescent="0.2">
      <c r="A468" s="249">
        <v>48</v>
      </c>
      <c r="B468" s="147" t="s">
        <v>673</v>
      </c>
      <c r="C468" s="61">
        <v>54401</v>
      </c>
      <c r="D468" s="62" t="s">
        <v>143</v>
      </c>
      <c r="E468" s="74"/>
      <c r="F468" s="74"/>
      <c r="G468" s="76">
        <v>200</v>
      </c>
      <c r="H468" s="76">
        <f t="shared" si="17"/>
        <v>200</v>
      </c>
    </row>
    <row r="469" spans="1:8" ht="15" customHeight="1" x14ac:dyDescent="0.2">
      <c r="A469" s="249">
        <v>48</v>
      </c>
      <c r="B469" s="147" t="s">
        <v>673</v>
      </c>
      <c r="C469" s="61">
        <v>61101</v>
      </c>
      <c r="D469" s="73" t="s">
        <v>188</v>
      </c>
      <c r="E469" s="74"/>
      <c r="F469" s="74"/>
      <c r="G469" s="76">
        <v>500</v>
      </c>
      <c r="H469" s="76">
        <f t="shared" si="17"/>
        <v>500</v>
      </c>
    </row>
    <row r="470" spans="1:8" ht="15" customHeight="1" x14ac:dyDescent="0.2">
      <c r="A470" s="249">
        <v>48</v>
      </c>
      <c r="B470" s="147" t="s">
        <v>673</v>
      </c>
      <c r="C470" s="61">
        <v>61102</v>
      </c>
      <c r="D470" s="62" t="s">
        <v>28</v>
      </c>
      <c r="E470" s="74">
        <v>0</v>
      </c>
      <c r="F470" s="74"/>
      <c r="G470" s="76">
        <v>60</v>
      </c>
      <c r="H470" s="76">
        <f t="shared" si="17"/>
        <v>60</v>
      </c>
    </row>
    <row r="471" spans="1:8" ht="15" customHeight="1" x14ac:dyDescent="0.2">
      <c r="A471" s="249">
        <v>48</v>
      </c>
      <c r="B471" s="147" t="s">
        <v>673</v>
      </c>
      <c r="C471" s="61">
        <v>61104</v>
      </c>
      <c r="D471" s="73" t="s">
        <v>46</v>
      </c>
      <c r="E471" s="74"/>
      <c r="F471" s="74"/>
      <c r="G471" s="76">
        <v>1000</v>
      </c>
      <c r="H471" s="76">
        <f>G471</f>
        <v>1000</v>
      </c>
    </row>
    <row r="472" spans="1:8" ht="15" customHeight="1" x14ac:dyDescent="0.2">
      <c r="A472" s="249">
        <v>48</v>
      </c>
      <c r="B472" s="147" t="s">
        <v>673</v>
      </c>
      <c r="C472" s="61">
        <v>61199</v>
      </c>
      <c r="D472" s="73" t="s">
        <v>135</v>
      </c>
      <c r="E472" s="74"/>
      <c r="F472" s="74"/>
      <c r="G472" s="76">
        <v>0</v>
      </c>
      <c r="H472" s="76">
        <f>G472</f>
        <v>0</v>
      </c>
    </row>
    <row r="473" spans="1:8" ht="15" customHeight="1" x14ac:dyDescent="0.2">
      <c r="A473" s="249">
        <v>48</v>
      </c>
      <c r="B473" s="147" t="s">
        <v>833</v>
      </c>
      <c r="C473" s="61"/>
      <c r="D473" s="61" t="s">
        <v>14</v>
      </c>
      <c r="E473" s="138">
        <f>SUM(E445:E471)</f>
        <v>0</v>
      </c>
      <c r="F473" s="138">
        <f>SUM(F445:F471)</f>
        <v>0</v>
      </c>
      <c r="G473" s="138">
        <f>SUM(G445:G472)</f>
        <v>24154</v>
      </c>
      <c r="H473" s="83">
        <f>E473+F473+G473</f>
        <v>24154</v>
      </c>
    </row>
    <row r="474" spans="1:8" ht="15" customHeight="1" x14ac:dyDescent="0.2">
      <c r="A474" s="249" t="s">
        <v>387</v>
      </c>
      <c r="B474" s="147" t="s">
        <v>387</v>
      </c>
      <c r="C474" s="148"/>
      <c r="D474" s="148"/>
      <c r="E474" s="149"/>
      <c r="F474" s="149"/>
      <c r="G474" s="149"/>
      <c r="H474" s="273"/>
    </row>
    <row r="475" spans="1:8" ht="15" customHeight="1" x14ac:dyDescent="0.2">
      <c r="A475" s="249" t="s">
        <v>387</v>
      </c>
      <c r="B475" s="147" t="s">
        <v>387</v>
      </c>
      <c r="C475" s="427" t="s">
        <v>119</v>
      </c>
      <c r="D475" s="427"/>
      <c r="E475" s="427"/>
      <c r="F475" s="427"/>
      <c r="G475" s="427"/>
      <c r="H475" s="427"/>
    </row>
    <row r="476" spans="1:8" ht="15" customHeight="1" x14ac:dyDescent="0.2">
      <c r="A476" s="249" t="s">
        <v>387</v>
      </c>
      <c r="B476" s="147" t="s">
        <v>387</v>
      </c>
      <c r="C476" s="428" t="str">
        <f>+C3</f>
        <v xml:space="preserve"> PRESUPUESTO AÑO 2024</v>
      </c>
      <c r="D476" s="428"/>
      <c r="E476" s="428"/>
      <c r="F476" s="428"/>
      <c r="G476" s="428"/>
      <c r="H476" s="428"/>
    </row>
    <row r="477" spans="1:8" ht="15" customHeight="1" x14ac:dyDescent="0.2">
      <c r="A477" s="249" t="s">
        <v>387</v>
      </c>
      <c r="B477" s="147" t="s">
        <v>387</v>
      </c>
      <c r="C477" s="428" t="s">
        <v>499</v>
      </c>
      <c r="D477" s="428"/>
      <c r="E477" s="428"/>
      <c r="F477" s="428"/>
      <c r="G477" s="428"/>
      <c r="H477" s="428"/>
    </row>
    <row r="478" spans="1:8" ht="15" customHeight="1" x14ac:dyDescent="0.2">
      <c r="A478" s="249" t="s">
        <v>387</v>
      </c>
      <c r="B478" s="147" t="s">
        <v>387</v>
      </c>
      <c r="C478" s="427" t="s">
        <v>117</v>
      </c>
      <c r="D478" s="427"/>
      <c r="E478" s="427"/>
      <c r="F478" s="427"/>
      <c r="G478" s="427"/>
      <c r="H478" s="427"/>
    </row>
    <row r="479" spans="1:8" ht="15" customHeight="1" x14ac:dyDescent="0.2">
      <c r="A479" s="249" t="s">
        <v>387</v>
      </c>
      <c r="B479" s="147" t="s">
        <v>387</v>
      </c>
      <c r="C479" s="427" t="s">
        <v>667</v>
      </c>
      <c r="D479" s="427"/>
      <c r="E479" s="427"/>
      <c r="F479" s="427"/>
      <c r="G479" s="427"/>
      <c r="H479" s="427"/>
    </row>
    <row r="480" spans="1:8" ht="15" customHeight="1" x14ac:dyDescent="0.2">
      <c r="A480" s="249" t="s">
        <v>387</v>
      </c>
      <c r="B480" s="147" t="s">
        <v>387</v>
      </c>
      <c r="C480" s="430" t="s">
        <v>1</v>
      </c>
      <c r="D480" s="430" t="s">
        <v>0</v>
      </c>
      <c r="E480" s="255" t="s">
        <v>56</v>
      </c>
      <c r="F480" s="255" t="str">
        <f>+F443</f>
        <v>REFORMA</v>
      </c>
      <c r="G480" s="255" t="s">
        <v>56</v>
      </c>
      <c r="H480" s="432" t="str">
        <f>+H7</f>
        <v>TOTAL 2024</v>
      </c>
    </row>
    <row r="481" spans="1:8" ht="15" customHeight="1" x14ac:dyDescent="0.2">
      <c r="A481" s="249" t="s">
        <v>387</v>
      </c>
      <c r="B481" s="147" t="s">
        <v>387</v>
      </c>
      <c r="C481" s="431"/>
      <c r="D481" s="431"/>
      <c r="E481" s="255" t="s">
        <v>139</v>
      </c>
      <c r="F481" s="255"/>
      <c r="G481" s="255" t="s">
        <v>140</v>
      </c>
      <c r="H481" s="433"/>
    </row>
    <row r="482" spans="1:8" ht="15" customHeight="1" x14ac:dyDescent="0.2">
      <c r="A482" s="249">
        <v>48</v>
      </c>
      <c r="B482" s="147" t="s">
        <v>674</v>
      </c>
      <c r="C482" s="61">
        <v>51101</v>
      </c>
      <c r="D482" s="73" t="s">
        <v>15</v>
      </c>
      <c r="E482" s="74"/>
      <c r="F482" s="74"/>
      <c r="G482" s="272">
        <v>13200</v>
      </c>
      <c r="H482" s="76">
        <f t="shared" ref="H482:H489" si="18">E482+F482+G482</f>
        <v>13200</v>
      </c>
    </row>
    <row r="483" spans="1:8" ht="15" customHeight="1" x14ac:dyDescent="0.2">
      <c r="A483" s="249">
        <v>48</v>
      </c>
      <c r="B483" s="147" t="s">
        <v>674</v>
      </c>
      <c r="C483" s="61">
        <v>51103</v>
      </c>
      <c r="D483" s="73" t="s">
        <v>16</v>
      </c>
      <c r="E483" s="76"/>
      <c r="F483" s="76"/>
      <c r="G483" s="272">
        <v>1100</v>
      </c>
      <c r="H483" s="76">
        <f t="shared" si="18"/>
        <v>1100</v>
      </c>
    </row>
    <row r="484" spans="1:8" ht="15" customHeight="1" x14ac:dyDescent="0.2">
      <c r="A484" s="249">
        <v>48</v>
      </c>
      <c r="B484" s="147" t="s">
        <v>674</v>
      </c>
      <c r="C484" s="61">
        <v>51107</v>
      </c>
      <c r="D484" s="73" t="s">
        <v>34</v>
      </c>
      <c r="E484" s="76"/>
      <c r="F484" s="76"/>
      <c r="G484" s="272">
        <v>400</v>
      </c>
      <c r="H484" s="76">
        <f t="shared" si="18"/>
        <v>400</v>
      </c>
    </row>
    <row r="485" spans="1:8" ht="15" customHeight="1" x14ac:dyDescent="0.2">
      <c r="A485" s="249">
        <v>48</v>
      </c>
      <c r="B485" s="147" t="s">
        <v>674</v>
      </c>
      <c r="C485" s="61">
        <v>51401</v>
      </c>
      <c r="D485" s="62" t="s">
        <v>47</v>
      </c>
      <c r="E485" s="74"/>
      <c r="F485" s="74"/>
      <c r="G485" s="272">
        <v>1122</v>
      </c>
      <c r="H485" s="76">
        <f t="shared" si="18"/>
        <v>1122</v>
      </c>
    </row>
    <row r="486" spans="1:8" ht="15" customHeight="1" x14ac:dyDescent="0.2">
      <c r="A486" s="249">
        <v>48</v>
      </c>
      <c r="B486" s="147" t="s">
        <v>674</v>
      </c>
      <c r="C486" s="61">
        <v>51501</v>
      </c>
      <c r="D486" s="73" t="s">
        <v>29</v>
      </c>
      <c r="E486" s="74"/>
      <c r="F486" s="74"/>
      <c r="G486" s="272">
        <v>1155</v>
      </c>
      <c r="H486" s="76">
        <f t="shared" si="18"/>
        <v>1155</v>
      </c>
    </row>
    <row r="487" spans="1:8" ht="15" customHeight="1" x14ac:dyDescent="0.2">
      <c r="A487" s="249">
        <v>48</v>
      </c>
      <c r="B487" s="147" t="s">
        <v>674</v>
      </c>
      <c r="C487" s="61">
        <v>54101</v>
      </c>
      <c r="D487" s="73" t="s">
        <v>38</v>
      </c>
      <c r="E487" s="74"/>
      <c r="F487" s="74"/>
      <c r="G487" s="76">
        <v>500</v>
      </c>
      <c r="H487" s="76">
        <f t="shared" si="18"/>
        <v>500</v>
      </c>
    </row>
    <row r="488" spans="1:8" ht="15" customHeight="1" x14ac:dyDescent="0.2">
      <c r="A488" s="249">
        <v>48</v>
      </c>
      <c r="B488" s="147" t="s">
        <v>674</v>
      </c>
      <c r="C488" s="61">
        <v>54104</v>
      </c>
      <c r="D488" s="73" t="s">
        <v>17</v>
      </c>
      <c r="E488" s="74"/>
      <c r="F488" s="74"/>
      <c r="G488" s="76">
        <v>200</v>
      </c>
      <c r="H488" s="76">
        <f t="shared" si="18"/>
        <v>200</v>
      </c>
    </row>
    <row r="489" spans="1:8" ht="15" customHeight="1" x14ac:dyDescent="0.2">
      <c r="A489" s="249">
        <v>48</v>
      </c>
      <c r="B489" s="147" t="s">
        <v>674</v>
      </c>
      <c r="C489" s="61">
        <v>54105</v>
      </c>
      <c r="D489" s="73" t="s">
        <v>3</v>
      </c>
      <c r="E489" s="74"/>
      <c r="F489" s="74"/>
      <c r="G489" s="76">
        <v>500</v>
      </c>
      <c r="H489" s="76">
        <f t="shared" si="18"/>
        <v>500</v>
      </c>
    </row>
    <row r="490" spans="1:8" ht="15" customHeight="1" x14ac:dyDescent="0.2">
      <c r="A490" s="249">
        <v>48</v>
      </c>
      <c r="B490" s="147" t="s">
        <v>674</v>
      </c>
      <c r="C490" s="61">
        <v>54106</v>
      </c>
      <c r="D490" s="73" t="s">
        <v>18</v>
      </c>
      <c r="E490" s="74"/>
      <c r="F490" s="74"/>
      <c r="G490" s="76">
        <v>100</v>
      </c>
      <c r="H490" s="76">
        <f t="shared" ref="H490:H509" si="19">G490</f>
        <v>100</v>
      </c>
    </row>
    <row r="491" spans="1:8" ht="15" customHeight="1" x14ac:dyDescent="0.2">
      <c r="A491" s="249">
        <v>48</v>
      </c>
      <c r="B491" s="147" t="s">
        <v>674</v>
      </c>
      <c r="C491" s="61">
        <v>54107</v>
      </c>
      <c r="D491" s="73" t="s">
        <v>43</v>
      </c>
      <c r="E491" s="74"/>
      <c r="F491" s="74"/>
      <c r="G491" s="76">
        <v>600</v>
      </c>
      <c r="H491" s="76">
        <f t="shared" si="19"/>
        <v>600</v>
      </c>
    </row>
    <row r="492" spans="1:8" ht="15" customHeight="1" x14ac:dyDescent="0.2">
      <c r="A492" s="249">
        <v>48</v>
      </c>
      <c r="B492" s="147" t="s">
        <v>674</v>
      </c>
      <c r="C492" s="61">
        <v>54110</v>
      </c>
      <c r="D492" s="73" t="s">
        <v>20</v>
      </c>
      <c r="E492" s="74"/>
      <c r="F492" s="74"/>
      <c r="G492" s="76">
        <v>300</v>
      </c>
      <c r="H492" s="76">
        <f t="shared" si="19"/>
        <v>300</v>
      </c>
    </row>
    <row r="493" spans="1:8" ht="15" customHeight="1" x14ac:dyDescent="0.2">
      <c r="A493" s="249">
        <v>48</v>
      </c>
      <c r="B493" s="147" t="s">
        <v>674</v>
      </c>
      <c r="C493" s="106">
        <v>54111</v>
      </c>
      <c r="D493" s="270" t="s">
        <v>162</v>
      </c>
      <c r="E493" s="271"/>
      <c r="F493" s="74"/>
      <c r="G493" s="272">
        <v>200</v>
      </c>
      <c r="H493" s="272">
        <f t="shared" si="19"/>
        <v>200</v>
      </c>
    </row>
    <row r="494" spans="1:8" ht="15" customHeight="1" x14ac:dyDescent="0.2">
      <c r="A494" s="249">
        <v>48</v>
      </c>
      <c r="B494" s="147" t="s">
        <v>674</v>
      </c>
      <c r="C494" s="106">
        <v>54112</v>
      </c>
      <c r="D494" s="270" t="s">
        <v>42</v>
      </c>
      <c r="E494" s="271"/>
      <c r="F494" s="74"/>
      <c r="G494" s="272">
        <v>200</v>
      </c>
      <c r="H494" s="272">
        <f t="shared" si="19"/>
        <v>200</v>
      </c>
    </row>
    <row r="495" spans="1:8" ht="15" customHeight="1" x14ac:dyDescent="0.2">
      <c r="A495" s="249">
        <v>48</v>
      </c>
      <c r="B495" s="147" t="s">
        <v>674</v>
      </c>
      <c r="C495" s="61">
        <v>54114</v>
      </c>
      <c r="D495" s="73" t="s">
        <v>5</v>
      </c>
      <c r="E495" s="74"/>
      <c r="F495" s="74"/>
      <c r="G495" s="76">
        <v>400</v>
      </c>
      <c r="H495" s="76">
        <f t="shared" si="19"/>
        <v>400</v>
      </c>
    </row>
    <row r="496" spans="1:8" ht="15" customHeight="1" x14ac:dyDescent="0.2">
      <c r="A496" s="249">
        <v>48</v>
      </c>
      <c r="B496" s="147" t="s">
        <v>674</v>
      </c>
      <c r="C496" s="61">
        <v>54115</v>
      </c>
      <c r="D496" s="73" t="s">
        <v>49</v>
      </c>
      <c r="E496" s="74"/>
      <c r="F496" s="74"/>
      <c r="G496" s="76">
        <v>250</v>
      </c>
      <c r="H496" s="76">
        <f t="shared" si="19"/>
        <v>250</v>
      </c>
    </row>
    <row r="497" spans="1:8" ht="15" customHeight="1" x14ac:dyDescent="0.2">
      <c r="A497" s="249">
        <v>48</v>
      </c>
      <c r="B497" s="147" t="s">
        <v>674</v>
      </c>
      <c r="C497" s="61">
        <v>54116</v>
      </c>
      <c r="D497" s="62" t="s">
        <v>167</v>
      </c>
      <c r="E497" s="74"/>
      <c r="F497" s="74"/>
      <c r="G497" s="76">
        <v>100</v>
      </c>
      <c r="H497" s="76">
        <f t="shared" si="19"/>
        <v>100</v>
      </c>
    </row>
    <row r="498" spans="1:8" ht="15" customHeight="1" x14ac:dyDescent="0.2">
      <c r="A498" s="249">
        <v>48</v>
      </c>
      <c r="B498" s="147" t="s">
        <v>674</v>
      </c>
      <c r="C498" s="61">
        <v>54118</v>
      </c>
      <c r="D498" s="62" t="s">
        <v>35</v>
      </c>
      <c r="E498" s="74"/>
      <c r="F498" s="74"/>
      <c r="G498" s="76">
        <v>100</v>
      </c>
      <c r="H498" s="76">
        <f t="shared" si="19"/>
        <v>100</v>
      </c>
    </row>
    <row r="499" spans="1:8" ht="15" customHeight="1" x14ac:dyDescent="0.2">
      <c r="A499" s="249">
        <v>48</v>
      </c>
      <c r="B499" s="147" t="s">
        <v>674</v>
      </c>
      <c r="C499" s="61">
        <v>54119</v>
      </c>
      <c r="D499" s="62" t="s">
        <v>44</v>
      </c>
      <c r="E499" s="74"/>
      <c r="F499" s="74"/>
      <c r="G499" s="76">
        <v>100</v>
      </c>
      <c r="H499" s="76">
        <f t="shared" si="19"/>
        <v>100</v>
      </c>
    </row>
    <row r="500" spans="1:8" ht="15" customHeight="1" x14ac:dyDescent="0.2">
      <c r="A500" s="249">
        <v>48</v>
      </c>
      <c r="B500" s="147" t="s">
        <v>674</v>
      </c>
      <c r="C500" s="61">
        <v>54199</v>
      </c>
      <c r="D500" s="62" t="s">
        <v>26</v>
      </c>
      <c r="E500" s="74"/>
      <c r="F500" s="74"/>
      <c r="G500" s="76">
        <v>400</v>
      </c>
      <c r="H500" s="76">
        <f t="shared" si="19"/>
        <v>400</v>
      </c>
    </row>
    <row r="501" spans="1:8" ht="15" customHeight="1" x14ac:dyDescent="0.2">
      <c r="A501" s="249">
        <v>48</v>
      </c>
      <c r="B501" s="147" t="s">
        <v>674</v>
      </c>
      <c r="C501" s="61">
        <v>54201</v>
      </c>
      <c r="D501" s="62" t="s">
        <v>187</v>
      </c>
      <c r="E501" s="74"/>
      <c r="F501" s="74"/>
      <c r="G501" s="76">
        <v>0</v>
      </c>
      <c r="H501" s="76">
        <f t="shared" si="19"/>
        <v>0</v>
      </c>
    </row>
    <row r="502" spans="1:8" ht="15" customHeight="1" x14ac:dyDescent="0.2">
      <c r="A502" s="249">
        <v>48</v>
      </c>
      <c r="B502" s="147" t="s">
        <v>674</v>
      </c>
      <c r="C502" s="61">
        <v>54202</v>
      </c>
      <c r="D502" s="73" t="s">
        <v>27</v>
      </c>
      <c r="E502" s="74"/>
      <c r="F502" s="74"/>
      <c r="G502" s="76">
        <v>0</v>
      </c>
      <c r="H502" s="76">
        <f t="shared" si="19"/>
        <v>0</v>
      </c>
    </row>
    <row r="503" spans="1:8" ht="15" customHeight="1" x14ac:dyDescent="0.2">
      <c r="A503" s="249">
        <v>48</v>
      </c>
      <c r="B503" s="147" t="s">
        <v>674</v>
      </c>
      <c r="C503" s="61">
        <v>54203</v>
      </c>
      <c r="D503" s="62" t="s">
        <v>7</v>
      </c>
      <c r="E503" s="74"/>
      <c r="F503" s="74"/>
      <c r="G503" s="76">
        <v>0</v>
      </c>
      <c r="H503" s="76">
        <f t="shared" si="19"/>
        <v>0</v>
      </c>
    </row>
    <row r="504" spans="1:8" ht="15" customHeight="1" x14ac:dyDescent="0.2">
      <c r="A504" s="249">
        <v>48</v>
      </c>
      <c r="B504" s="147" t="s">
        <v>674</v>
      </c>
      <c r="C504" s="61">
        <v>54301</v>
      </c>
      <c r="D504" s="62" t="s">
        <v>158</v>
      </c>
      <c r="E504" s="74"/>
      <c r="F504" s="74"/>
      <c r="G504" s="76">
        <v>300</v>
      </c>
      <c r="H504" s="76">
        <f t="shared" si="19"/>
        <v>300</v>
      </c>
    </row>
    <row r="505" spans="1:8" ht="15" customHeight="1" x14ac:dyDescent="0.2">
      <c r="A505" s="249">
        <v>48</v>
      </c>
      <c r="B505" s="147" t="s">
        <v>674</v>
      </c>
      <c r="C505" s="61">
        <v>54302</v>
      </c>
      <c r="D505" s="62" t="s">
        <v>22</v>
      </c>
      <c r="E505" s="74"/>
      <c r="F505" s="74"/>
      <c r="G505" s="76">
        <v>500</v>
      </c>
      <c r="H505" s="76">
        <f t="shared" si="19"/>
        <v>500</v>
      </c>
    </row>
    <row r="506" spans="1:8" ht="15" customHeight="1" x14ac:dyDescent="0.2">
      <c r="A506" s="249">
        <v>48</v>
      </c>
      <c r="B506" s="147" t="s">
        <v>674</v>
      </c>
      <c r="C506" s="61">
        <v>54307</v>
      </c>
      <c r="D506" s="62" t="s">
        <v>10</v>
      </c>
      <c r="E506" s="74"/>
      <c r="F506" s="74"/>
      <c r="G506" s="76">
        <v>0</v>
      </c>
      <c r="H506" s="76">
        <f t="shared" si="19"/>
        <v>0</v>
      </c>
    </row>
    <row r="507" spans="1:8" ht="15" customHeight="1" x14ac:dyDescent="0.2">
      <c r="A507" s="249">
        <v>48</v>
      </c>
      <c r="B507" s="147" t="s">
        <v>674</v>
      </c>
      <c r="C507" s="61">
        <v>54401</v>
      </c>
      <c r="D507" s="62" t="s">
        <v>143</v>
      </c>
      <c r="E507" s="74"/>
      <c r="F507" s="74"/>
      <c r="G507" s="76">
        <v>300</v>
      </c>
      <c r="H507" s="76">
        <f t="shared" si="19"/>
        <v>300</v>
      </c>
    </row>
    <row r="508" spans="1:8" ht="15" customHeight="1" x14ac:dyDescent="0.2">
      <c r="A508" s="249">
        <v>48</v>
      </c>
      <c r="B508" s="147" t="s">
        <v>674</v>
      </c>
      <c r="C508" s="61">
        <v>61101</v>
      </c>
      <c r="D508" s="73" t="s">
        <v>188</v>
      </c>
      <c r="E508" s="74"/>
      <c r="F508" s="74"/>
      <c r="G508" s="76">
        <v>500</v>
      </c>
      <c r="H508" s="76">
        <f t="shared" si="19"/>
        <v>500</v>
      </c>
    </row>
    <row r="509" spans="1:8" ht="15" customHeight="1" x14ac:dyDescent="0.2">
      <c r="A509" s="249">
        <v>48</v>
      </c>
      <c r="B509" s="147" t="s">
        <v>674</v>
      </c>
      <c r="C509" s="61">
        <v>61102</v>
      </c>
      <c r="D509" s="62" t="s">
        <v>28</v>
      </c>
      <c r="E509" s="74">
        <v>0</v>
      </c>
      <c r="F509" s="74"/>
      <c r="G509" s="76">
        <v>500</v>
      </c>
      <c r="H509" s="76">
        <f t="shared" si="19"/>
        <v>500</v>
      </c>
    </row>
    <row r="510" spans="1:8" ht="15" customHeight="1" x14ac:dyDescent="0.2">
      <c r="A510" s="249">
        <v>48</v>
      </c>
      <c r="B510" s="147" t="s">
        <v>674</v>
      </c>
      <c r="C510" s="61">
        <v>61104</v>
      </c>
      <c r="D510" s="73" t="s">
        <v>46</v>
      </c>
      <c r="E510" s="74"/>
      <c r="F510" s="74"/>
      <c r="G510" s="76">
        <v>500</v>
      </c>
      <c r="H510" s="76">
        <f>G510</f>
        <v>500</v>
      </c>
    </row>
    <row r="511" spans="1:8" ht="15" customHeight="1" x14ac:dyDescent="0.2">
      <c r="A511" s="249">
        <v>48</v>
      </c>
      <c r="B511" s="147" t="s">
        <v>674</v>
      </c>
      <c r="C511" s="61">
        <v>61199</v>
      </c>
      <c r="D511" s="73" t="s">
        <v>135</v>
      </c>
      <c r="E511" s="74"/>
      <c r="F511" s="74"/>
      <c r="G511" s="76">
        <v>500</v>
      </c>
      <c r="H511" s="76">
        <f>G511</f>
        <v>500</v>
      </c>
    </row>
    <row r="512" spans="1:8" ht="15" customHeight="1" x14ac:dyDescent="0.2">
      <c r="A512" s="249">
        <v>48</v>
      </c>
      <c r="B512" s="147" t="s">
        <v>834</v>
      </c>
      <c r="C512" s="61"/>
      <c r="D512" s="61" t="s">
        <v>14</v>
      </c>
      <c r="E512" s="138">
        <f>SUM(E482:E510)</f>
        <v>0</v>
      </c>
      <c r="F512" s="138">
        <f>SUM(F482:F510)</f>
        <v>0</v>
      </c>
      <c r="G512" s="138">
        <f>SUM(G482:G511)</f>
        <v>24027</v>
      </c>
      <c r="H512" s="83">
        <f>E512+F512+G512</f>
        <v>24027</v>
      </c>
    </row>
    <row r="513" spans="1:8" ht="15" customHeight="1" x14ac:dyDescent="0.2">
      <c r="A513" s="249" t="s">
        <v>387</v>
      </c>
      <c r="B513" s="147" t="s">
        <v>387</v>
      </c>
      <c r="C513" s="148"/>
      <c r="D513" s="148"/>
      <c r="E513" s="149"/>
      <c r="F513" s="149"/>
      <c r="G513" s="149"/>
      <c r="H513" s="273"/>
    </row>
    <row r="514" spans="1:8" ht="15" customHeight="1" x14ac:dyDescent="0.2">
      <c r="A514" s="249" t="s">
        <v>387</v>
      </c>
      <c r="B514" s="147" t="s">
        <v>387</v>
      </c>
      <c r="C514" s="427" t="s">
        <v>119</v>
      </c>
      <c r="D514" s="427"/>
      <c r="E514" s="427"/>
      <c r="F514" s="427"/>
      <c r="G514" s="427"/>
      <c r="H514" s="427"/>
    </row>
    <row r="515" spans="1:8" ht="15" customHeight="1" x14ac:dyDescent="0.2">
      <c r="A515" s="249" t="s">
        <v>387</v>
      </c>
      <c r="B515" s="147" t="s">
        <v>387</v>
      </c>
      <c r="C515" s="428" t="str">
        <f>+C3</f>
        <v xml:space="preserve"> PRESUPUESTO AÑO 2024</v>
      </c>
      <c r="D515" s="428"/>
      <c r="E515" s="428"/>
      <c r="F515" s="428"/>
      <c r="G515" s="428"/>
      <c r="H515" s="428"/>
    </row>
    <row r="516" spans="1:8" ht="15" customHeight="1" x14ac:dyDescent="0.2">
      <c r="A516" s="249" t="s">
        <v>387</v>
      </c>
      <c r="B516" s="147" t="s">
        <v>387</v>
      </c>
      <c r="C516" s="428" t="s">
        <v>499</v>
      </c>
      <c r="D516" s="428"/>
      <c r="E516" s="428"/>
      <c r="F516" s="428"/>
      <c r="G516" s="428"/>
      <c r="H516" s="428"/>
    </row>
    <row r="517" spans="1:8" ht="15" customHeight="1" x14ac:dyDescent="0.2">
      <c r="A517" s="249" t="s">
        <v>387</v>
      </c>
      <c r="B517" s="147" t="s">
        <v>387</v>
      </c>
      <c r="C517" s="427" t="s">
        <v>117</v>
      </c>
      <c r="D517" s="427"/>
      <c r="E517" s="427"/>
      <c r="F517" s="427"/>
      <c r="G517" s="427"/>
      <c r="H517" s="427"/>
    </row>
    <row r="518" spans="1:8" ht="15" customHeight="1" x14ac:dyDescent="0.2">
      <c r="A518" s="249" t="s">
        <v>387</v>
      </c>
      <c r="B518" s="147" t="s">
        <v>387</v>
      </c>
      <c r="C518" s="427" t="s">
        <v>668</v>
      </c>
      <c r="D518" s="427"/>
      <c r="E518" s="427"/>
      <c r="F518" s="427"/>
      <c r="G518" s="427"/>
      <c r="H518" s="427"/>
    </row>
    <row r="519" spans="1:8" ht="15" customHeight="1" x14ac:dyDescent="0.2">
      <c r="A519" s="249" t="s">
        <v>387</v>
      </c>
      <c r="B519" s="147" t="s">
        <v>387</v>
      </c>
      <c r="C519" s="430" t="s">
        <v>1</v>
      </c>
      <c r="D519" s="430" t="s">
        <v>0</v>
      </c>
      <c r="E519" s="255" t="s">
        <v>56</v>
      </c>
      <c r="F519" s="255" t="str">
        <f>+F480</f>
        <v>REFORMA</v>
      </c>
      <c r="G519" s="255" t="s">
        <v>56</v>
      </c>
      <c r="H519" s="432" t="str">
        <f>+H7</f>
        <v>TOTAL 2024</v>
      </c>
    </row>
    <row r="520" spans="1:8" ht="15" customHeight="1" x14ac:dyDescent="0.2">
      <c r="A520" s="249" t="s">
        <v>387</v>
      </c>
      <c r="B520" s="147" t="s">
        <v>387</v>
      </c>
      <c r="C520" s="431"/>
      <c r="D520" s="431"/>
      <c r="E520" s="255" t="s">
        <v>139</v>
      </c>
      <c r="F520" s="255"/>
      <c r="G520" s="255" t="s">
        <v>140</v>
      </c>
      <c r="H520" s="433"/>
    </row>
    <row r="521" spans="1:8" ht="15" customHeight="1" x14ac:dyDescent="0.2">
      <c r="A521" s="249">
        <v>10</v>
      </c>
      <c r="B521" s="147" t="s">
        <v>675</v>
      </c>
      <c r="C521" s="61">
        <v>51101</v>
      </c>
      <c r="D521" s="73" t="s">
        <v>15</v>
      </c>
      <c r="E521" s="74"/>
      <c r="F521" s="74"/>
      <c r="G521" s="272">
        <v>63648</v>
      </c>
      <c r="H521" s="76">
        <f t="shared" ref="H521:H529" si="20">E521+F521+G521</f>
        <v>63648</v>
      </c>
    </row>
    <row r="522" spans="1:8" ht="15" customHeight="1" x14ac:dyDescent="0.2">
      <c r="A522" s="249">
        <v>10</v>
      </c>
      <c r="B522" s="147" t="s">
        <v>675</v>
      </c>
      <c r="C522" s="61">
        <v>51103</v>
      </c>
      <c r="D522" s="73" t="s">
        <v>16</v>
      </c>
      <c r="E522" s="76"/>
      <c r="F522" s="76"/>
      <c r="G522" s="272">
        <v>5304</v>
      </c>
      <c r="H522" s="76">
        <f t="shared" si="20"/>
        <v>5304</v>
      </c>
    </row>
    <row r="523" spans="1:8" ht="15" customHeight="1" x14ac:dyDescent="0.2">
      <c r="A523" s="249">
        <v>10</v>
      </c>
      <c r="B523" s="147" t="s">
        <v>675</v>
      </c>
      <c r="C523" s="61">
        <v>51107</v>
      </c>
      <c r="D523" s="73" t="s">
        <v>34</v>
      </c>
      <c r="E523" s="76"/>
      <c r="F523" s="76"/>
      <c r="G523" s="377">
        <v>2600</v>
      </c>
      <c r="H523" s="76">
        <f t="shared" si="20"/>
        <v>2600</v>
      </c>
    </row>
    <row r="524" spans="1:8" ht="15" customHeight="1" x14ac:dyDescent="0.2">
      <c r="A524" s="249">
        <v>10</v>
      </c>
      <c r="B524" s="147" t="s">
        <v>675</v>
      </c>
      <c r="C524" s="61">
        <v>51401</v>
      </c>
      <c r="D524" s="62" t="s">
        <v>47</v>
      </c>
      <c r="E524" s="74"/>
      <c r="F524" s="74"/>
      <c r="G524" s="272">
        <v>5410.0800000000008</v>
      </c>
      <c r="H524" s="76">
        <f t="shared" si="20"/>
        <v>5410.0800000000008</v>
      </c>
    </row>
    <row r="525" spans="1:8" ht="15" customHeight="1" x14ac:dyDescent="0.2">
      <c r="A525" s="249">
        <v>10</v>
      </c>
      <c r="B525" s="147" t="s">
        <v>675</v>
      </c>
      <c r="C525" s="61">
        <v>51501</v>
      </c>
      <c r="D525" s="73" t="s">
        <v>29</v>
      </c>
      <c r="E525" s="74"/>
      <c r="F525" s="74"/>
      <c r="G525" s="272">
        <v>5569.2</v>
      </c>
      <c r="H525" s="76">
        <f t="shared" si="20"/>
        <v>5569.2</v>
      </c>
    </row>
    <row r="526" spans="1:8" ht="15" customHeight="1" x14ac:dyDescent="0.2">
      <c r="A526" s="249">
        <v>10</v>
      </c>
      <c r="B526" s="147" t="s">
        <v>675</v>
      </c>
      <c r="C526" s="61">
        <v>54101</v>
      </c>
      <c r="D526" s="73" t="s">
        <v>38</v>
      </c>
      <c r="E526" s="74"/>
      <c r="F526" s="74"/>
      <c r="G526" s="76">
        <v>200</v>
      </c>
      <c r="H526" s="76">
        <f t="shared" si="20"/>
        <v>200</v>
      </c>
    </row>
    <row r="527" spans="1:8" ht="15" customHeight="1" x14ac:dyDescent="0.2">
      <c r="A527" s="249">
        <v>10</v>
      </c>
      <c r="B527" s="147" t="s">
        <v>675</v>
      </c>
      <c r="C527" s="134">
        <v>54103</v>
      </c>
      <c r="D527" s="358" t="s">
        <v>856</v>
      </c>
      <c r="E527" s="136"/>
      <c r="F527" s="136"/>
      <c r="G527" s="262">
        <v>3000</v>
      </c>
      <c r="H527" s="262">
        <f t="shared" ref="H527" si="21">E527+F527+G527</f>
        <v>3000</v>
      </c>
    </row>
    <row r="528" spans="1:8" ht="15" customHeight="1" x14ac:dyDescent="0.2">
      <c r="A528" s="249">
        <v>10</v>
      </c>
      <c r="B528" s="147" t="s">
        <v>675</v>
      </c>
      <c r="C528" s="61">
        <v>54104</v>
      </c>
      <c r="D528" s="73" t="s">
        <v>17</v>
      </c>
      <c r="E528" s="74"/>
      <c r="F528" s="74"/>
      <c r="G528" s="76">
        <v>1000</v>
      </c>
      <c r="H528" s="76">
        <f t="shared" si="20"/>
        <v>1000</v>
      </c>
    </row>
    <row r="529" spans="1:16" ht="15" customHeight="1" x14ac:dyDescent="0.2">
      <c r="A529" s="249">
        <v>10</v>
      </c>
      <c r="B529" s="147" t="s">
        <v>675</v>
      </c>
      <c r="C529" s="61">
        <v>54105</v>
      </c>
      <c r="D529" s="73" t="s">
        <v>3</v>
      </c>
      <c r="E529" s="74"/>
      <c r="F529" s="74"/>
      <c r="G529" s="76">
        <v>800</v>
      </c>
      <c r="H529" s="76">
        <f t="shared" si="20"/>
        <v>800</v>
      </c>
    </row>
    <row r="530" spans="1:16" ht="15" customHeight="1" x14ac:dyDescent="0.2">
      <c r="A530" s="249">
        <v>10</v>
      </c>
      <c r="B530" s="147" t="s">
        <v>675</v>
      </c>
      <c r="C530" s="61">
        <v>54106</v>
      </c>
      <c r="D530" s="73" t="s">
        <v>18</v>
      </c>
      <c r="E530" s="74"/>
      <c r="F530" s="74"/>
      <c r="G530" s="76">
        <v>800</v>
      </c>
      <c r="H530" s="76">
        <f t="shared" ref="H530:H551" si="22">G530</f>
        <v>800</v>
      </c>
    </row>
    <row r="531" spans="1:16" ht="15" customHeight="1" x14ac:dyDescent="0.2">
      <c r="A531" s="249">
        <v>10</v>
      </c>
      <c r="B531" s="147" t="s">
        <v>675</v>
      </c>
      <c r="C531" s="61">
        <v>54107</v>
      </c>
      <c r="D531" s="73" t="s">
        <v>43</v>
      </c>
      <c r="E531" s="74"/>
      <c r="F531" s="74"/>
      <c r="G531" s="76">
        <v>3000</v>
      </c>
      <c r="H531" s="76">
        <f t="shared" si="22"/>
        <v>3000</v>
      </c>
    </row>
    <row r="532" spans="1:16" ht="15" customHeight="1" x14ac:dyDescent="0.2">
      <c r="A532" s="249">
        <v>10</v>
      </c>
      <c r="B532" s="147" t="s">
        <v>675</v>
      </c>
      <c r="C532" s="61">
        <v>54110</v>
      </c>
      <c r="D532" s="73" t="s">
        <v>20</v>
      </c>
      <c r="E532" s="74"/>
      <c r="F532" s="74"/>
      <c r="G532" s="76">
        <v>0</v>
      </c>
      <c r="H532" s="76">
        <f t="shared" si="22"/>
        <v>0</v>
      </c>
    </row>
    <row r="533" spans="1:16" ht="15" customHeight="1" x14ac:dyDescent="0.2">
      <c r="A533" s="249">
        <v>10</v>
      </c>
      <c r="B533" s="147" t="s">
        <v>675</v>
      </c>
      <c r="C533" s="61">
        <v>54111</v>
      </c>
      <c r="D533" s="73" t="s">
        <v>162</v>
      </c>
      <c r="E533" s="74"/>
      <c r="F533" s="74"/>
      <c r="G533" s="76">
        <v>16000</v>
      </c>
      <c r="H533" s="76">
        <f t="shared" si="22"/>
        <v>16000</v>
      </c>
    </row>
    <row r="534" spans="1:16" ht="15" customHeight="1" x14ac:dyDescent="0.2">
      <c r="A534" s="249">
        <v>10</v>
      </c>
      <c r="B534" s="147" t="s">
        <v>675</v>
      </c>
      <c r="C534" s="61">
        <v>54112</v>
      </c>
      <c r="D534" s="73" t="s">
        <v>42</v>
      </c>
      <c r="E534" s="74"/>
      <c r="F534" s="74"/>
      <c r="G534" s="76">
        <v>3000</v>
      </c>
      <c r="H534" s="76">
        <f t="shared" si="22"/>
        <v>3000</v>
      </c>
    </row>
    <row r="535" spans="1:16" ht="15" customHeight="1" x14ac:dyDescent="0.2">
      <c r="A535" s="249">
        <v>10</v>
      </c>
      <c r="B535" s="147" t="s">
        <v>675</v>
      </c>
      <c r="C535" s="61">
        <v>54114</v>
      </c>
      <c r="D535" s="73" t="s">
        <v>5</v>
      </c>
      <c r="E535" s="74"/>
      <c r="F535" s="74"/>
      <c r="G535" s="76">
        <v>2000</v>
      </c>
      <c r="H535" s="76">
        <f t="shared" si="22"/>
        <v>2000</v>
      </c>
    </row>
    <row r="536" spans="1:16" ht="15" customHeight="1" x14ac:dyDescent="0.2">
      <c r="A536" s="249">
        <v>10</v>
      </c>
      <c r="B536" s="147" t="s">
        <v>675</v>
      </c>
      <c r="C536" s="61">
        <v>54115</v>
      </c>
      <c r="D536" s="73" t="s">
        <v>49</v>
      </c>
      <c r="E536" s="74"/>
      <c r="F536" s="74"/>
      <c r="G536" s="76">
        <v>750</v>
      </c>
      <c r="H536" s="76">
        <f t="shared" si="22"/>
        <v>750</v>
      </c>
    </row>
    <row r="537" spans="1:16" ht="15" customHeight="1" x14ac:dyDescent="0.2">
      <c r="A537" s="249">
        <v>10</v>
      </c>
      <c r="B537" s="147" t="s">
        <v>675</v>
      </c>
      <c r="C537" s="61">
        <v>54116</v>
      </c>
      <c r="D537" s="62" t="s">
        <v>167</v>
      </c>
      <c r="E537" s="74"/>
      <c r="F537" s="74"/>
      <c r="G537" s="76">
        <v>0</v>
      </c>
      <c r="H537" s="76">
        <f t="shared" si="22"/>
        <v>0</v>
      </c>
    </row>
    <row r="538" spans="1:16" ht="15" customHeight="1" x14ac:dyDescent="0.2">
      <c r="A538" s="249">
        <v>10</v>
      </c>
      <c r="B538" s="147" t="s">
        <v>675</v>
      </c>
      <c r="C538" s="61">
        <v>54118</v>
      </c>
      <c r="D538" s="62" t="s">
        <v>35</v>
      </c>
      <c r="E538" s="74"/>
      <c r="F538" s="74"/>
      <c r="G538" s="262">
        <v>2000</v>
      </c>
      <c r="H538" s="76">
        <f t="shared" si="22"/>
        <v>2000</v>
      </c>
      <c r="P538" s="274">
        <f>G2239-O2325</f>
        <v>17703</v>
      </c>
    </row>
    <row r="539" spans="1:16" ht="15" customHeight="1" x14ac:dyDescent="0.2">
      <c r="A539" s="249">
        <v>10</v>
      </c>
      <c r="B539" s="147" t="s">
        <v>675</v>
      </c>
      <c r="C539" s="61">
        <v>54119</v>
      </c>
      <c r="D539" s="62" t="s">
        <v>44</v>
      </c>
      <c r="E539" s="74"/>
      <c r="F539" s="74"/>
      <c r="G539" s="262">
        <v>20000</v>
      </c>
      <c r="H539" s="76">
        <f t="shared" si="22"/>
        <v>20000</v>
      </c>
      <c r="P539" s="274">
        <f>G2240-O2325</f>
        <v>20263</v>
      </c>
    </row>
    <row r="540" spans="1:16" ht="15" customHeight="1" x14ac:dyDescent="0.2">
      <c r="A540" s="249">
        <v>10</v>
      </c>
      <c r="B540" s="147" t="s">
        <v>675</v>
      </c>
      <c r="C540" s="61">
        <v>54199</v>
      </c>
      <c r="D540" s="62" t="s">
        <v>26</v>
      </c>
      <c r="E540" s="74"/>
      <c r="F540" s="74"/>
      <c r="G540" s="76">
        <v>400</v>
      </c>
      <c r="H540" s="76">
        <f t="shared" si="22"/>
        <v>400</v>
      </c>
    </row>
    <row r="541" spans="1:16" ht="15" customHeight="1" x14ac:dyDescent="0.2">
      <c r="A541" s="249">
        <v>10</v>
      </c>
      <c r="B541" s="147" t="s">
        <v>675</v>
      </c>
      <c r="C541" s="61">
        <v>54201</v>
      </c>
      <c r="D541" s="62" t="s">
        <v>187</v>
      </c>
      <c r="E541" s="74"/>
      <c r="F541" s="74"/>
      <c r="G541" s="76">
        <v>0</v>
      </c>
      <c r="H541" s="76">
        <f t="shared" si="22"/>
        <v>0</v>
      </c>
    </row>
    <row r="542" spans="1:16" ht="15" customHeight="1" x14ac:dyDescent="0.2">
      <c r="A542" s="249">
        <v>10</v>
      </c>
      <c r="B542" s="147" t="s">
        <v>675</v>
      </c>
      <c r="C542" s="61">
        <v>54202</v>
      </c>
      <c r="D542" s="73" t="s">
        <v>27</v>
      </c>
      <c r="E542" s="74"/>
      <c r="F542" s="74"/>
      <c r="G542" s="76">
        <v>0</v>
      </c>
      <c r="H542" s="76">
        <f t="shared" si="22"/>
        <v>0</v>
      </c>
    </row>
    <row r="543" spans="1:16" ht="15" customHeight="1" x14ac:dyDescent="0.2">
      <c r="A543" s="249">
        <v>10</v>
      </c>
      <c r="B543" s="147" t="s">
        <v>675</v>
      </c>
      <c r="C543" s="61">
        <v>54203</v>
      </c>
      <c r="D543" s="62" t="s">
        <v>7</v>
      </c>
      <c r="E543" s="74"/>
      <c r="F543" s="74"/>
      <c r="G543" s="76">
        <v>0</v>
      </c>
      <c r="H543" s="76">
        <f t="shared" si="22"/>
        <v>0</v>
      </c>
    </row>
    <row r="544" spans="1:16" ht="15" customHeight="1" x14ac:dyDescent="0.2">
      <c r="A544" s="249">
        <v>10</v>
      </c>
      <c r="B544" s="147" t="s">
        <v>675</v>
      </c>
      <c r="C544" s="61">
        <v>54301</v>
      </c>
      <c r="D544" s="62" t="s">
        <v>158</v>
      </c>
      <c r="E544" s="74"/>
      <c r="F544" s="74"/>
      <c r="G544" s="76">
        <v>2000</v>
      </c>
      <c r="H544" s="76">
        <f t="shared" si="22"/>
        <v>2000</v>
      </c>
    </row>
    <row r="545" spans="1:8" ht="15" customHeight="1" x14ac:dyDescent="0.2">
      <c r="A545" s="249">
        <v>10</v>
      </c>
      <c r="B545" s="147" t="s">
        <v>675</v>
      </c>
      <c r="C545" s="61">
        <v>54303</v>
      </c>
      <c r="D545" s="62" t="s">
        <v>183</v>
      </c>
      <c r="E545" s="74"/>
      <c r="F545" s="74"/>
      <c r="G545" s="76">
        <v>10000</v>
      </c>
      <c r="H545" s="76">
        <f t="shared" si="22"/>
        <v>10000</v>
      </c>
    </row>
    <row r="546" spans="1:8" ht="15" customHeight="1" x14ac:dyDescent="0.2">
      <c r="A546" s="249">
        <v>10</v>
      </c>
      <c r="B546" s="147" t="s">
        <v>675</v>
      </c>
      <c r="C546" s="61">
        <v>54302</v>
      </c>
      <c r="D546" s="62" t="s">
        <v>22</v>
      </c>
      <c r="E546" s="74"/>
      <c r="F546" s="74"/>
      <c r="G546" s="76">
        <v>0</v>
      </c>
      <c r="H546" s="76">
        <f t="shared" si="22"/>
        <v>0</v>
      </c>
    </row>
    <row r="547" spans="1:8" ht="15" customHeight="1" x14ac:dyDescent="0.2">
      <c r="A547" s="249">
        <v>10</v>
      </c>
      <c r="B547" s="147" t="s">
        <v>675</v>
      </c>
      <c r="C547" s="61">
        <v>54307</v>
      </c>
      <c r="D547" s="62" t="s">
        <v>10</v>
      </c>
      <c r="E547" s="74"/>
      <c r="F547" s="74"/>
      <c r="G547" s="76">
        <v>0</v>
      </c>
      <c r="H547" s="76">
        <f t="shared" si="22"/>
        <v>0</v>
      </c>
    </row>
    <row r="548" spans="1:8" ht="15" customHeight="1" x14ac:dyDescent="0.2">
      <c r="A548" s="249">
        <v>10</v>
      </c>
      <c r="B548" s="147" t="s">
        <v>675</v>
      </c>
      <c r="C548" s="134">
        <v>54316</v>
      </c>
      <c r="D548" s="135" t="s">
        <v>228</v>
      </c>
      <c r="E548" s="136"/>
      <c r="F548" s="136"/>
      <c r="G548" s="262">
        <v>800</v>
      </c>
      <c r="H548" s="262">
        <f t="shared" ref="H548" si="23">G548</f>
        <v>800</v>
      </c>
    </row>
    <row r="549" spans="1:8" ht="15" customHeight="1" x14ac:dyDescent="0.2">
      <c r="A549" s="249">
        <v>10</v>
      </c>
      <c r="B549" s="147" t="s">
        <v>675</v>
      </c>
      <c r="C549" s="134">
        <v>54399</v>
      </c>
      <c r="D549" s="135" t="s">
        <v>857</v>
      </c>
      <c r="E549" s="136"/>
      <c r="F549" s="136"/>
      <c r="G549" s="262">
        <v>1000</v>
      </c>
      <c r="H549" s="262">
        <f t="shared" ref="H549" si="24">G549</f>
        <v>1000</v>
      </c>
    </row>
    <row r="550" spans="1:8" ht="15" customHeight="1" x14ac:dyDescent="0.2">
      <c r="A550" s="249">
        <v>10</v>
      </c>
      <c r="B550" s="147" t="s">
        <v>675</v>
      </c>
      <c r="C550" s="61">
        <v>54401</v>
      </c>
      <c r="D550" s="62" t="s">
        <v>143</v>
      </c>
      <c r="E550" s="74"/>
      <c r="F550" s="74"/>
      <c r="G550" s="76">
        <v>100</v>
      </c>
      <c r="H550" s="76">
        <f t="shared" si="22"/>
        <v>100</v>
      </c>
    </row>
    <row r="551" spans="1:8" ht="15" customHeight="1" x14ac:dyDescent="0.2">
      <c r="A551" s="249">
        <v>10</v>
      </c>
      <c r="B551" s="147" t="s">
        <v>675</v>
      </c>
      <c r="C551" s="61">
        <v>61101</v>
      </c>
      <c r="D551" s="73" t="s">
        <v>188</v>
      </c>
      <c r="E551" s="74"/>
      <c r="F551" s="74"/>
      <c r="G551" s="76">
        <v>800</v>
      </c>
      <c r="H551" s="76">
        <f t="shared" si="22"/>
        <v>800</v>
      </c>
    </row>
    <row r="552" spans="1:8" ht="15" customHeight="1" x14ac:dyDescent="0.2">
      <c r="A552" s="249">
        <v>10</v>
      </c>
      <c r="B552" s="147" t="s">
        <v>675</v>
      </c>
      <c r="C552" s="61">
        <v>61102</v>
      </c>
      <c r="D552" s="62" t="s">
        <v>28</v>
      </c>
      <c r="E552" s="74">
        <v>0</v>
      </c>
      <c r="F552" s="74">
        <v>0</v>
      </c>
      <c r="G552" s="74">
        <v>3000</v>
      </c>
      <c r="H552" s="74">
        <v>0</v>
      </c>
    </row>
    <row r="553" spans="1:8" ht="15" customHeight="1" x14ac:dyDescent="0.2">
      <c r="A553" s="249">
        <v>10</v>
      </c>
      <c r="B553" s="147" t="s">
        <v>675</v>
      </c>
      <c r="C553" s="61">
        <v>61104</v>
      </c>
      <c r="D553" s="73" t="s">
        <v>46</v>
      </c>
      <c r="E553" s="74"/>
      <c r="F553" s="74"/>
      <c r="G553" s="76">
        <v>1000</v>
      </c>
      <c r="H553" s="76">
        <f>G553</f>
        <v>1000</v>
      </c>
    </row>
    <row r="554" spans="1:8" ht="15" customHeight="1" x14ac:dyDescent="0.2">
      <c r="A554" s="249">
        <v>10</v>
      </c>
      <c r="B554" s="147" t="s">
        <v>675</v>
      </c>
      <c r="C554" s="61">
        <v>61199</v>
      </c>
      <c r="D554" s="73" t="s">
        <v>135</v>
      </c>
      <c r="E554" s="74"/>
      <c r="F554" s="74"/>
      <c r="G554" s="76">
        <v>0</v>
      </c>
      <c r="H554" s="76">
        <f>G554</f>
        <v>0</v>
      </c>
    </row>
    <row r="555" spans="1:8" ht="15" customHeight="1" x14ac:dyDescent="0.2">
      <c r="A555" s="249">
        <v>10</v>
      </c>
      <c r="B555" s="147" t="s">
        <v>828</v>
      </c>
      <c r="C555" s="61"/>
      <c r="D555" s="61" t="s">
        <v>14</v>
      </c>
      <c r="E555" s="138">
        <f>SUM(E521:E553)</f>
        <v>0</v>
      </c>
      <c r="F555" s="138">
        <f>SUM(F521:F553)</f>
        <v>0</v>
      </c>
      <c r="G555" s="138">
        <f>SUM(G521:G554)</f>
        <v>154181.28</v>
      </c>
      <c r="H555" s="83">
        <f>E555+F555+G555</f>
        <v>154181.28</v>
      </c>
    </row>
    <row r="556" spans="1:8" ht="15" customHeight="1" x14ac:dyDescent="0.2">
      <c r="A556" s="249" t="s">
        <v>387</v>
      </c>
      <c r="B556" s="147" t="s">
        <v>387</v>
      </c>
      <c r="C556" s="148"/>
      <c r="D556" s="148"/>
      <c r="E556" s="149"/>
      <c r="F556" s="149"/>
      <c r="G556" s="149"/>
      <c r="H556" s="273"/>
    </row>
    <row r="557" spans="1:8" ht="15" customHeight="1" x14ac:dyDescent="0.2">
      <c r="A557" s="249" t="s">
        <v>387</v>
      </c>
      <c r="B557" s="147" t="s">
        <v>387</v>
      </c>
      <c r="C557" s="427" t="s">
        <v>119</v>
      </c>
      <c r="D557" s="427"/>
      <c r="E557" s="427"/>
      <c r="F557" s="427"/>
      <c r="G557" s="427"/>
      <c r="H557" s="427"/>
    </row>
    <row r="558" spans="1:8" ht="15" customHeight="1" x14ac:dyDescent="0.2">
      <c r="A558" s="249" t="s">
        <v>387</v>
      </c>
      <c r="B558" s="147" t="s">
        <v>387</v>
      </c>
      <c r="C558" s="428" t="str">
        <f>+C3</f>
        <v xml:space="preserve"> PRESUPUESTO AÑO 2024</v>
      </c>
      <c r="D558" s="428"/>
      <c r="E558" s="428"/>
      <c r="F558" s="428"/>
      <c r="G558" s="428"/>
      <c r="H558" s="428"/>
    </row>
    <row r="559" spans="1:8" ht="15" customHeight="1" x14ac:dyDescent="0.2">
      <c r="A559" s="249" t="s">
        <v>387</v>
      </c>
      <c r="B559" s="147" t="s">
        <v>387</v>
      </c>
      <c r="C559" s="428" t="s">
        <v>499</v>
      </c>
      <c r="D559" s="428"/>
      <c r="E559" s="428"/>
      <c r="F559" s="428"/>
      <c r="G559" s="428"/>
      <c r="H559" s="428"/>
    </row>
    <row r="560" spans="1:8" ht="15" customHeight="1" x14ac:dyDescent="0.2">
      <c r="A560" s="249" t="s">
        <v>387</v>
      </c>
      <c r="B560" s="147" t="s">
        <v>387</v>
      </c>
      <c r="C560" s="427" t="s">
        <v>117</v>
      </c>
      <c r="D560" s="427"/>
      <c r="E560" s="427"/>
      <c r="F560" s="427"/>
      <c r="G560" s="427"/>
      <c r="H560" s="427"/>
    </row>
    <row r="561" spans="1:8" ht="15" customHeight="1" x14ac:dyDescent="0.2">
      <c r="A561" s="249" t="s">
        <v>387</v>
      </c>
      <c r="B561" s="147" t="s">
        <v>387</v>
      </c>
      <c r="C561" s="427" t="s">
        <v>702</v>
      </c>
      <c r="D561" s="427"/>
      <c r="E561" s="427"/>
      <c r="F561" s="427"/>
      <c r="G561" s="427"/>
      <c r="H561" s="427"/>
    </row>
    <row r="562" spans="1:8" ht="15" customHeight="1" x14ac:dyDescent="0.2">
      <c r="A562" s="249" t="s">
        <v>387</v>
      </c>
      <c r="B562" s="147" t="s">
        <v>387</v>
      </c>
      <c r="C562" s="430" t="s">
        <v>1</v>
      </c>
      <c r="D562" s="430" t="s">
        <v>0</v>
      </c>
      <c r="E562" s="255" t="s">
        <v>56</v>
      </c>
      <c r="F562" s="255" t="str">
        <f>+F519</f>
        <v>REFORMA</v>
      </c>
      <c r="G562" s="255" t="s">
        <v>56</v>
      </c>
      <c r="H562" s="432" t="str">
        <f>+H7</f>
        <v>TOTAL 2024</v>
      </c>
    </row>
    <row r="563" spans="1:8" ht="15" customHeight="1" x14ac:dyDescent="0.2">
      <c r="A563" s="249" t="s">
        <v>387</v>
      </c>
      <c r="B563" s="147" t="s">
        <v>387</v>
      </c>
      <c r="C563" s="431"/>
      <c r="D563" s="431"/>
      <c r="E563" s="255" t="s">
        <v>139</v>
      </c>
      <c r="F563" s="255"/>
      <c r="G563" s="255" t="s">
        <v>140</v>
      </c>
      <c r="H563" s="433"/>
    </row>
    <row r="564" spans="1:8" ht="15" customHeight="1" x14ac:dyDescent="0.2">
      <c r="A564" s="249">
        <v>10</v>
      </c>
      <c r="B564" s="147" t="s">
        <v>676</v>
      </c>
      <c r="C564" s="61">
        <v>51101</v>
      </c>
      <c r="D564" s="73" t="s">
        <v>15</v>
      </c>
      <c r="E564" s="74"/>
      <c r="F564" s="74"/>
      <c r="G564" s="262">
        <v>85409.279999999999</v>
      </c>
      <c r="H564" s="76">
        <f t="shared" ref="H564:H571" si="25">E564+F564+G564</f>
        <v>85409.279999999999</v>
      </c>
    </row>
    <row r="565" spans="1:8" ht="15" customHeight="1" x14ac:dyDescent="0.2">
      <c r="A565" s="249">
        <v>10</v>
      </c>
      <c r="B565" s="147" t="s">
        <v>676</v>
      </c>
      <c r="C565" s="61">
        <v>51103</v>
      </c>
      <c r="D565" s="73" t="s">
        <v>16</v>
      </c>
      <c r="E565" s="76"/>
      <c r="F565" s="76"/>
      <c r="G565" s="262">
        <v>6805</v>
      </c>
      <c r="H565" s="76">
        <f t="shared" si="25"/>
        <v>6805</v>
      </c>
    </row>
    <row r="566" spans="1:8" ht="15" customHeight="1" x14ac:dyDescent="0.2">
      <c r="A566" s="249">
        <v>10</v>
      </c>
      <c r="B566" s="147" t="s">
        <v>676</v>
      </c>
      <c r="C566" s="61">
        <v>51107</v>
      </c>
      <c r="D566" s="73" t="s">
        <v>34</v>
      </c>
      <c r="E566" s="76"/>
      <c r="F566" s="76"/>
      <c r="G566" s="262">
        <f>3600</f>
        <v>3600</v>
      </c>
      <c r="H566" s="76">
        <f t="shared" si="25"/>
        <v>3600</v>
      </c>
    </row>
    <row r="567" spans="1:8" ht="15" customHeight="1" x14ac:dyDescent="0.2">
      <c r="A567" s="249">
        <v>10</v>
      </c>
      <c r="B567" s="147" t="s">
        <v>676</v>
      </c>
      <c r="C567" s="61">
        <v>51401</v>
      </c>
      <c r="D567" s="62" t="s">
        <v>47</v>
      </c>
      <c r="E567" s="74"/>
      <c r="F567" s="74"/>
      <c r="G567" s="262">
        <v>6791.91</v>
      </c>
      <c r="H567" s="76">
        <f t="shared" si="25"/>
        <v>6791.91</v>
      </c>
    </row>
    <row r="568" spans="1:8" ht="15" customHeight="1" x14ac:dyDescent="0.2">
      <c r="A568" s="249">
        <v>10</v>
      </c>
      <c r="B568" s="147" t="s">
        <v>676</v>
      </c>
      <c r="C568" s="61">
        <v>51501</v>
      </c>
      <c r="D568" s="73" t="s">
        <v>29</v>
      </c>
      <c r="E568" s="74"/>
      <c r="F568" s="74"/>
      <c r="G568" s="262">
        <v>6627.29</v>
      </c>
      <c r="H568" s="76">
        <f t="shared" si="25"/>
        <v>6627.29</v>
      </c>
    </row>
    <row r="569" spans="1:8" ht="15" customHeight="1" x14ac:dyDescent="0.2">
      <c r="A569" s="249">
        <v>10</v>
      </c>
      <c r="B569" s="147" t="s">
        <v>676</v>
      </c>
      <c r="C569" s="61">
        <v>54101</v>
      </c>
      <c r="D569" s="73" t="s">
        <v>38</v>
      </c>
      <c r="E569" s="74"/>
      <c r="F569" s="74"/>
      <c r="G569" s="76">
        <v>0</v>
      </c>
      <c r="H569" s="76">
        <f t="shared" si="25"/>
        <v>0</v>
      </c>
    </row>
    <row r="570" spans="1:8" ht="15" customHeight="1" x14ac:dyDescent="0.2">
      <c r="A570" s="249">
        <v>10</v>
      </c>
      <c r="B570" s="147" t="s">
        <v>676</v>
      </c>
      <c r="C570" s="61">
        <v>54104</v>
      </c>
      <c r="D570" s="73" t="s">
        <v>17</v>
      </c>
      <c r="E570" s="74"/>
      <c r="F570" s="74"/>
      <c r="G570" s="76">
        <v>700</v>
      </c>
      <c r="H570" s="76">
        <f t="shared" si="25"/>
        <v>700</v>
      </c>
    </row>
    <row r="571" spans="1:8" ht="15" customHeight="1" x14ac:dyDescent="0.2">
      <c r="A571" s="249">
        <v>10</v>
      </c>
      <c r="B571" s="147" t="s">
        <v>676</v>
      </c>
      <c r="C571" s="61">
        <v>54105</v>
      </c>
      <c r="D571" s="73" t="s">
        <v>3</v>
      </c>
      <c r="E571" s="74"/>
      <c r="F571" s="74"/>
      <c r="G571" s="76">
        <v>0</v>
      </c>
      <c r="H571" s="76">
        <f t="shared" si="25"/>
        <v>0</v>
      </c>
    </row>
    <row r="572" spans="1:8" ht="15" customHeight="1" x14ac:dyDescent="0.2">
      <c r="A572" s="249">
        <v>10</v>
      </c>
      <c r="B572" s="147" t="s">
        <v>676</v>
      </c>
      <c r="C572" s="61">
        <v>54106</v>
      </c>
      <c r="D572" s="73" t="s">
        <v>18</v>
      </c>
      <c r="E572" s="74"/>
      <c r="F572" s="74"/>
      <c r="G572" s="76">
        <v>100</v>
      </c>
      <c r="H572" s="76">
        <f t="shared" ref="H572:H588" si="26">G572</f>
        <v>100</v>
      </c>
    </row>
    <row r="573" spans="1:8" ht="15" customHeight="1" x14ac:dyDescent="0.2">
      <c r="A573" s="249">
        <v>10</v>
      </c>
      <c r="B573" s="147" t="s">
        <v>676</v>
      </c>
      <c r="C573" s="61">
        <v>54107</v>
      </c>
      <c r="D573" s="73" t="s">
        <v>43</v>
      </c>
      <c r="E573" s="74"/>
      <c r="F573" s="74"/>
      <c r="G573" s="76">
        <v>400</v>
      </c>
      <c r="H573" s="76">
        <f t="shared" si="26"/>
        <v>400</v>
      </c>
    </row>
    <row r="574" spans="1:8" ht="15" customHeight="1" x14ac:dyDescent="0.2">
      <c r="A574" s="249">
        <v>10</v>
      </c>
      <c r="B574" s="147" t="s">
        <v>676</v>
      </c>
      <c r="C574" s="61">
        <v>54110</v>
      </c>
      <c r="D574" s="73" t="s">
        <v>20</v>
      </c>
      <c r="E574" s="74"/>
      <c r="F574" s="74"/>
      <c r="G574" s="76">
        <v>300</v>
      </c>
      <c r="H574" s="76">
        <f t="shared" si="26"/>
        <v>300</v>
      </c>
    </row>
    <row r="575" spans="1:8" ht="15" customHeight="1" x14ac:dyDescent="0.2">
      <c r="A575" s="249">
        <v>10</v>
      </c>
      <c r="B575" s="147" t="s">
        <v>676</v>
      </c>
      <c r="C575" s="61">
        <v>54114</v>
      </c>
      <c r="D575" s="73" t="s">
        <v>5</v>
      </c>
      <c r="E575" s="74"/>
      <c r="F575" s="74"/>
      <c r="G575" s="76">
        <v>200</v>
      </c>
      <c r="H575" s="76">
        <f t="shared" si="26"/>
        <v>200</v>
      </c>
    </row>
    <row r="576" spans="1:8" ht="15" customHeight="1" x14ac:dyDescent="0.2">
      <c r="A576" s="249">
        <v>10</v>
      </c>
      <c r="B576" s="147" t="s">
        <v>676</v>
      </c>
      <c r="C576" s="61">
        <v>54115</v>
      </c>
      <c r="D576" s="73" t="s">
        <v>49</v>
      </c>
      <c r="E576" s="74"/>
      <c r="F576" s="74"/>
      <c r="G576" s="76">
        <v>250</v>
      </c>
      <c r="H576" s="76">
        <f t="shared" si="26"/>
        <v>250</v>
      </c>
    </row>
    <row r="577" spans="1:8" ht="15" customHeight="1" x14ac:dyDescent="0.2">
      <c r="A577" s="249">
        <v>10</v>
      </c>
      <c r="B577" s="147" t="s">
        <v>676</v>
      </c>
      <c r="C577" s="61">
        <v>54116</v>
      </c>
      <c r="D577" s="62" t="s">
        <v>167</v>
      </c>
      <c r="E577" s="74"/>
      <c r="F577" s="74"/>
      <c r="G577" s="76">
        <v>100</v>
      </c>
      <c r="H577" s="76">
        <f t="shared" si="26"/>
        <v>100</v>
      </c>
    </row>
    <row r="578" spans="1:8" ht="15" customHeight="1" x14ac:dyDescent="0.2">
      <c r="A578" s="249">
        <v>10</v>
      </c>
      <c r="B578" s="147" t="s">
        <v>676</v>
      </c>
      <c r="C578" s="61">
        <v>54118</v>
      </c>
      <c r="D578" s="62" t="s">
        <v>35</v>
      </c>
      <c r="E578" s="74"/>
      <c r="F578" s="74"/>
      <c r="G578" s="76">
        <v>100</v>
      </c>
      <c r="H578" s="76">
        <f t="shared" si="26"/>
        <v>100</v>
      </c>
    </row>
    <row r="579" spans="1:8" ht="15" customHeight="1" x14ac:dyDescent="0.2">
      <c r="A579" s="249">
        <v>10</v>
      </c>
      <c r="B579" s="147" t="s">
        <v>676</v>
      </c>
      <c r="C579" s="61">
        <v>54119</v>
      </c>
      <c r="D579" s="62" t="s">
        <v>44</v>
      </c>
      <c r="E579" s="74"/>
      <c r="F579" s="74"/>
      <c r="G579" s="76">
        <v>100</v>
      </c>
      <c r="H579" s="76">
        <f t="shared" si="26"/>
        <v>100</v>
      </c>
    </row>
    <row r="580" spans="1:8" ht="15" customHeight="1" x14ac:dyDescent="0.2">
      <c r="A580" s="249">
        <v>10</v>
      </c>
      <c r="B580" s="147" t="s">
        <v>676</v>
      </c>
      <c r="C580" s="61">
        <v>54199</v>
      </c>
      <c r="D580" s="62" t="s">
        <v>26</v>
      </c>
      <c r="E580" s="74"/>
      <c r="F580" s="74"/>
      <c r="G580" s="76">
        <v>300</v>
      </c>
      <c r="H580" s="76">
        <f t="shared" si="26"/>
        <v>300</v>
      </c>
    </row>
    <row r="581" spans="1:8" ht="15" customHeight="1" x14ac:dyDescent="0.2">
      <c r="A581" s="249">
        <v>10</v>
      </c>
      <c r="B581" s="147" t="s">
        <v>676</v>
      </c>
      <c r="C581" s="61">
        <v>54201</v>
      </c>
      <c r="D581" s="62" t="s">
        <v>187</v>
      </c>
      <c r="E581" s="74"/>
      <c r="F581" s="74"/>
      <c r="G581" s="76">
        <v>0</v>
      </c>
      <c r="H581" s="76">
        <f t="shared" si="26"/>
        <v>0</v>
      </c>
    </row>
    <row r="582" spans="1:8" ht="15" customHeight="1" x14ac:dyDescent="0.2">
      <c r="A582" s="249">
        <v>10</v>
      </c>
      <c r="B582" s="147" t="s">
        <v>676</v>
      </c>
      <c r="C582" s="61">
        <v>54202</v>
      </c>
      <c r="D582" s="73" t="s">
        <v>27</v>
      </c>
      <c r="E582" s="74"/>
      <c r="F582" s="74"/>
      <c r="G582" s="76">
        <v>0</v>
      </c>
      <c r="H582" s="76">
        <f t="shared" si="26"/>
        <v>0</v>
      </c>
    </row>
    <row r="583" spans="1:8" ht="15" customHeight="1" x14ac:dyDescent="0.2">
      <c r="A583" s="249">
        <v>10</v>
      </c>
      <c r="B583" s="147" t="s">
        <v>676</v>
      </c>
      <c r="C583" s="61">
        <v>54203</v>
      </c>
      <c r="D583" s="62" t="s">
        <v>7</v>
      </c>
      <c r="E583" s="74"/>
      <c r="F583" s="74"/>
      <c r="G583" s="76">
        <v>0</v>
      </c>
      <c r="H583" s="76">
        <f t="shared" si="26"/>
        <v>0</v>
      </c>
    </row>
    <row r="584" spans="1:8" ht="15" customHeight="1" x14ac:dyDescent="0.2">
      <c r="A584" s="249">
        <v>10</v>
      </c>
      <c r="B584" s="147" t="s">
        <v>676</v>
      </c>
      <c r="C584" s="61">
        <v>54301</v>
      </c>
      <c r="D584" s="62" t="s">
        <v>158</v>
      </c>
      <c r="E584" s="74"/>
      <c r="F584" s="74"/>
      <c r="G584" s="76">
        <v>300</v>
      </c>
      <c r="H584" s="76">
        <f t="shared" si="26"/>
        <v>300</v>
      </c>
    </row>
    <row r="585" spans="1:8" ht="15" customHeight="1" x14ac:dyDescent="0.2">
      <c r="A585" s="249">
        <v>10</v>
      </c>
      <c r="B585" s="147" t="s">
        <v>676</v>
      </c>
      <c r="C585" s="61">
        <v>54302</v>
      </c>
      <c r="D585" s="62" t="s">
        <v>22</v>
      </c>
      <c r="E585" s="74"/>
      <c r="F585" s="74"/>
      <c r="G585" s="76">
        <v>500</v>
      </c>
      <c r="H585" s="76">
        <f t="shared" si="26"/>
        <v>500</v>
      </c>
    </row>
    <row r="586" spans="1:8" ht="15" customHeight="1" x14ac:dyDescent="0.2">
      <c r="A586" s="249">
        <v>10</v>
      </c>
      <c r="B586" s="147" t="s">
        <v>676</v>
      </c>
      <c r="C586" s="61">
        <v>54307</v>
      </c>
      <c r="D586" s="62" t="s">
        <v>10</v>
      </c>
      <c r="E586" s="74"/>
      <c r="F586" s="74"/>
      <c r="G586" s="76">
        <v>0</v>
      </c>
      <c r="H586" s="76">
        <f t="shared" si="26"/>
        <v>0</v>
      </c>
    </row>
    <row r="587" spans="1:8" ht="15" customHeight="1" x14ac:dyDescent="0.2">
      <c r="A587" s="249">
        <v>10</v>
      </c>
      <c r="B587" s="147" t="s">
        <v>676</v>
      </c>
      <c r="C587" s="61">
        <v>54401</v>
      </c>
      <c r="D587" s="62" t="s">
        <v>143</v>
      </c>
      <c r="E587" s="74"/>
      <c r="F587" s="74"/>
      <c r="G587" s="76">
        <v>300</v>
      </c>
      <c r="H587" s="76">
        <f t="shared" si="26"/>
        <v>300</v>
      </c>
    </row>
    <row r="588" spans="1:8" ht="15" customHeight="1" x14ac:dyDescent="0.2">
      <c r="A588" s="249">
        <v>10</v>
      </c>
      <c r="B588" s="147" t="s">
        <v>676</v>
      </c>
      <c r="C588" s="61">
        <v>61101</v>
      </c>
      <c r="D588" s="73" t="s">
        <v>188</v>
      </c>
      <c r="E588" s="74"/>
      <c r="F588" s="74"/>
      <c r="G588" s="76">
        <v>500</v>
      </c>
      <c r="H588" s="76">
        <f t="shared" si="26"/>
        <v>500</v>
      </c>
    </row>
    <row r="589" spans="1:8" ht="15" customHeight="1" x14ac:dyDescent="0.2">
      <c r="A589" s="249">
        <v>10</v>
      </c>
      <c r="B589" s="147" t="s">
        <v>676</v>
      </c>
      <c r="C589" s="61">
        <v>61102</v>
      </c>
      <c r="D589" s="62" t="s">
        <v>28</v>
      </c>
      <c r="E589" s="74">
        <v>0</v>
      </c>
      <c r="F589" s="74">
        <v>0</v>
      </c>
      <c r="G589" s="74">
        <v>0</v>
      </c>
      <c r="H589" s="74">
        <v>0</v>
      </c>
    </row>
    <row r="590" spans="1:8" ht="15" customHeight="1" x14ac:dyDescent="0.2">
      <c r="A590" s="249">
        <v>10</v>
      </c>
      <c r="B590" s="147" t="s">
        <v>676</v>
      </c>
      <c r="C590" s="61">
        <v>61104</v>
      </c>
      <c r="D590" s="73" t="s">
        <v>46</v>
      </c>
      <c r="E590" s="74"/>
      <c r="F590" s="74"/>
      <c r="G590" s="76">
        <v>600</v>
      </c>
      <c r="H590" s="76">
        <f>G590</f>
        <v>600</v>
      </c>
    </row>
    <row r="591" spans="1:8" ht="15" customHeight="1" x14ac:dyDescent="0.2">
      <c r="A591" s="249">
        <v>10</v>
      </c>
      <c r="B591" s="147" t="s">
        <v>676</v>
      </c>
      <c r="C591" s="61">
        <v>61199</v>
      </c>
      <c r="D591" s="73" t="s">
        <v>135</v>
      </c>
      <c r="E591" s="74"/>
      <c r="F591" s="74"/>
      <c r="G591" s="76">
        <v>600</v>
      </c>
      <c r="H591" s="76">
        <f>G591</f>
        <v>600</v>
      </c>
    </row>
    <row r="592" spans="1:8" ht="15" customHeight="1" x14ac:dyDescent="0.2">
      <c r="A592" s="249">
        <v>10</v>
      </c>
      <c r="B592" s="147" t="s">
        <v>829</v>
      </c>
      <c r="C592" s="61"/>
      <c r="D592" s="61" t="s">
        <v>14</v>
      </c>
      <c r="E592" s="138">
        <f>SUM(E564:E590)</f>
        <v>0</v>
      </c>
      <c r="F592" s="138">
        <f>SUM(F564:F590)</f>
        <v>0</v>
      </c>
      <c r="G592" s="138">
        <f>SUM(G564:G591)</f>
        <v>114583.48</v>
      </c>
      <c r="H592" s="83">
        <f>E592+F592+G592</f>
        <v>114583.48</v>
      </c>
    </row>
    <row r="593" spans="1:8" ht="15" customHeight="1" x14ac:dyDescent="0.2">
      <c r="A593" s="249" t="s">
        <v>387</v>
      </c>
      <c r="B593" s="147" t="s">
        <v>387</v>
      </c>
      <c r="C593" s="148"/>
      <c r="D593" s="148"/>
      <c r="E593" s="149"/>
      <c r="F593" s="149"/>
      <c r="G593" s="149"/>
      <c r="H593" s="273"/>
    </row>
    <row r="594" spans="1:8" ht="15" customHeight="1" x14ac:dyDescent="0.2">
      <c r="A594" s="249" t="s">
        <v>387</v>
      </c>
      <c r="B594" s="147" t="s">
        <v>387</v>
      </c>
      <c r="C594" s="427" t="s">
        <v>119</v>
      </c>
      <c r="D594" s="427"/>
      <c r="E594" s="427"/>
      <c r="F594" s="427"/>
      <c r="G594" s="427"/>
      <c r="H594" s="427"/>
    </row>
    <row r="595" spans="1:8" ht="15" customHeight="1" x14ac:dyDescent="0.2">
      <c r="A595" s="249" t="s">
        <v>387</v>
      </c>
      <c r="B595" s="147" t="s">
        <v>387</v>
      </c>
      <c r="C595" s="428" t="str">
        <f>+C3</f>
        <v xml:space="preserve"> PRESUPUESTO AÑO 2024</v>
      </c>
      <c r="D595" s="428"/>
      <c r="E595" s="428"/>
      <c r="F595" s="428"/>
      <c r="G595" s="428"/>
      <c r="H595" s="428"/>
    </row>
    <row r="596" spans="1:8" ht="15" customHeight="1" x14ac:dyDescent="0.2">
      <c r="A596" s="249" t="s">
        <v>387</v>
      </c>
      <c r="B596" s="147" t="s">
        <v>387</v>
      </c>
      <c r="C596" s="428" t="s">
        <v>499</v>
      </c>
      <c r="D596" s="428"/>
      <c r="E596" s="428"/>
      <c r="F596" s="428"/>
      <c r="G596" s="428"/>
      <c r="H596" s="428"/>
    </row>
    <row r="597" spans="1:8" ht="15" customHeight="1" x14ac:dyDescent="0.2">
      <c r="A597" s="249" t="s">
        <v>387</v>
      </c>
      <c r="B597" s="147" t="s">
        <v>387</v>
      </c>
      <c r="C597" s="427" t="s">
        <v>117</v>
      </c>
      <c r="D597" s="427"/>
      <c r="E597" s="427"/>
      <c r="F597" s="427"/>
      <c r="G597" s="427"/>
      <c r="H597" s="427"/>
    </row>
    <row r="598" spans="1:8" ht="15" customHeight="1" x14ac:dyDescent="0.2">
      <c r="A598" s="249" t="s">
        <v>387</v>
      </c>
      <c r="B598" s="147" t="s">
        <v>387</v>
      </c>
      <c r="C598" s="427" t="s">
        <v>684</v>
      </c>
      <c r="D598" s="427"/>
      <c r="E598" s="427"/>
      <c r="F598" s="427"/>
      <c r="G598" s="427"/>
      <c r="H598" s="427"/>
    </row>
    <row r="599" spans="1:8" ht="15" customHeight="1" x14ac:dyDescent="0.2">
      <c r="A599" s="249" t="s">
        <v>387</v>
      </c>
      <c r="B599" s="147" t="s">
        <v>387</v>
      </c>
      <c r="C599" s="430" t="s">
        <v>1</v>
      </c>
      <c r="D599" s="430" t="s">
        <v>0</v>
      </c>
      <c r="E599" s="255" t="s">
        <v>56</v>
      </c>
      <c r="F599" s="255" t="str">
        <f>+F562</f>
        <v>REFORMA</v>
      </c>
      <c r="G599" s="255" t="s">
        <v>56</v>
      </c>
      <c r="H599" s="432" t="str">
        <f>+H7</f>
        <v>TOTAL 2024</v>
      </c>
    </row>
    <row r="600" spans="1:8" ht="15" customHeight="1" x14ac:dyDescent="0.2">
      <c r="A600" s="249" t="s">
        <v>387</v>
      </c>
      <c r="B600" s="147" t="s">
        <v>387</v>
      </c>
      <c r="C600" s="431"/>
      <c r="D600" s="431"/>
      <c r="E600" s="255" t="s">
        <v>139</v>
      </c>
      <c r="F600" s="255"/>
      <c r="G600" s="255" t="s">
        <v>140</v>
      </c>
      <c r="H600" s="433"/>
    </row>
    <row r="601" spans="1:8" ht="15" customHeight="1" x14ac:dyDescent="0.2">
      <c r="A601" s="249">
        <v>10</v>
      </c>
      <c r="B601" s="147" t="s">
        <v>677</v>
      </c>
      <c r="C601" s="61">
        <v>51101</v>
      </c>
      <c r="D601" s="73" t="s">
        <v>15</v>
      </c>
      <c r="E601" s="74"/>
      <c r="F601" s="74"/>
      <c r="G601" s="272">
        <v>25800</v>
      </c>
      <c r="H601" s="76">
        <f t="shared" ref="H601:H608" si="27">E601+F601+G601</f>
        <v>25800</v>
      </c>
    </row>
    <row r="602" spans="1:8" ht="15" customHeight="1" x14ac:dyDescent="0.2">
      <c r="A602" s="249">
        <v>10</v>
      </c>
      <c r="B602" s="147" t="s">
        <v>677</v>
      </c>
      <c r="C602" s="61">
        <v>51103</v>
      </c>
      <c r="D602" s="73" t="s">
        <v>16</v>
      </c>
      <c r="E602" s="76"/>
      <c r="F602" s="76"/>
      <c r="G602" s="272">
        <v>2150</v>
      </c>
      <c r="H602" s="76">
        <f t="shared" si="27"/>
        <v>2150</v>
      </c>
    </row>
    <row r="603" spans="1:8" ht="15" customHeight="1" x14ac:dyDescent="0.2">
      <c r="A603" s="249">
        <v>10</v>
      </c>
      <c r="B603" s="147" t="s">
        <v>677</v>
      </c>
      <c r="C603" s="61">
        <v>51107</v>
      </c>
      <c r="D603" s="73" t="s">
        <v>34</v>
      </c>
      <c r="E603" s="76"/>
      <c r="F603" s="76"/>
      <c r="G603" s="272">
        <v>1000</v>
      </c>
      <c r="H603" s="76">
        <f t="shared" si="27"/>
        <v>1000</v>
      </c>
    </row>
    <row r="604" spans="1:8" ht="15" customHeight="1" x14ac:dyDescent="0.2">
      <c r="A604" s="249">
        <v>10</v>
      </c>
      <c r="B604" s="147" t="s">
        <v>677</v>
      </c>
      <c r="C604" s="61">
        <v>51401</v>
      </c>
      <c r="D604" s="62" t="s">
        <v>47</v>
      </c>
      <c r="E604" s="74"/>
      <c r="F604" s="74"/>
      <c r="G604" s="272">
        <v>2193</v>
      </c>
      <c r="H604" s="76">
        <f t="shared" si="27"/>
        <v>2193</v>
      </c>
    </row>
    <row r="605" spans="1:8" ht="15" customHeight="1" x14ac:dyDescent="0.2">
      <c r="A605" s="249">
        <v>10</v>
      </c>
      <c r="B605" s="147" t="s">
        <v>677</v>
      </c>
      <c r="C605" s="61">
        <v>51501</v>
      </c>
      <c r="D605" s="73" t="s">
        <v>29</v>
      </c>
      <c r="E605" s="74"/>
      <c r="F605" s="74"/>
      <c r="G605" s="272">
        <v>2257.5</v>
      </c>
      <c r="H605" s="76">
        <f t="shared" si="27"/>
        <v>2257.5</v>
      </c>
    </row>
    <row r="606" spans="1:8" ht="15" customHeight="1" x14ac:dyDescent="0.2">
      <c r="A606" s="249">
        <v>10</v>
      </c>
      <c r="B606" s="147" t="s">
        <v>677</v>
      </c>
      <c r="C606" s="61">
        <v>54101</v>
      </c>
      <c r="D606" s="73" t="s">
        <v>38</v>
      </c>
      <c r="E606" s="74"/>
      <c r="F606" s="74"/>
      <c r="G606" s="76">
        <v>0</v>
      </c>
      <c r="H606" s="76">
        <f t="shared" si="27"/>
        <v>0</v>
      </c>
    </row>
    <row r="607" spans="1:8" ht="15" customHeight="1" x14ac:dyDescent="0.2">
      <c r="A607" s="249">
        <v>10</v>
      </c>
      <c r="B607" s="147" t="s">
        <v>677</v>
      </c>
      <c r="C607" s="61">
        <v>54104</v>
      </c>
      <c r="D607" s="73" t="s">
        <v>17</v>
      </c>
      <c r="E607" s="74"/>
      <c r="F607" s="74"/>
      <c r="G607" s="76">
        <v>200</v>
      </c>
      <c r="H607" s="76">
        <f t="shared" si="27"/>
        <v>200</v>
      </c>
    </row>
    <row r="608" spans="1:8" ht="15" customHeight="1" x14ac:dyDescent="0.2">
      <c r="A608" s="249">
        <v>10</v>
      </c>
      <c r="B608" s="147" t="s">
        <v>677</v>
      </c>
      <c r="C608" s="61">
        <v>54105</v>
      </c>
      <c r="D608" s="73" t="s">
        <v>3</v>
      </c>
      <c r="E608" s="74"/>
      <c r="F608" s="74"/>
      <c r="G608" s="76">
        <v>0</v>
      </c>
      <c r="H608" s="76">
        <f t="shared" si="27"/>
        <v>0</v>
      </c>
    </row>
    <row r="609" spans="1:8" ht="15" customHeight="1" x14ac:dyDescent="0.2">
      <c r="A609" s="249">
        <v>10</v>
      </c>
      <c r="B609" s="147" t="s">
        <v>677</v>
      </c>
      <c r="C609" s="61">
        <v>54106</v>
      </c>
      <c r="D609" s="73" t="s">
        <v>18</v>
      </c>
      <c r="E609" s="74"/>
      <c r="F609" s="74"/>
      <c r="G609" s="76">
        <v>100</v>
      </c>
      <c r="H609" s="76">
        <f t="shared" ref="H609:H625" si="28">G609</f>
        <v>100</v>
      </c>
    </row>
    <row r="610" spans="1:8" ht="15" customHeight="1" x14ac:dyDescent="0.2">
      <c r="A610" s="249">
        <v>10</v>
      </c>
      <c r="B610" s="147" t="s">
        <v>677</v>
      </c>
      <c r="C610" s="61">
        <v>54107</v>
      </c>
      <c r="D610" s="73" t="s">
        <v>43</v>
      </c>
      <c r="E610" s="74"/>
      <c r="F610" s="74"/>
      <c r="G610" s="76">
        <v>500</v>
      </c>
      <c r="H610" s="76">
        <f t="shared" si="28"/>
        <v>500</v>
      </c>
    </row>
    <row r="611" spans="1:8" ht="15" customHeight="1" x14ac:dyDescent="0.2">
      <c r="A611" s="249">
        <v>10</v>
      </c>
      <c r="B611" s="147" t="s">
        <v>677</v>
      </c>
      <c r="C611" s="61">
        <v>54110</v>
      </c>
      <c r="D611" s="73" t="s">
        <v>20</v>
      </c>
      <c r="E611" s="74"/>
      <c r="F611" s="74"/>
      <c r="G611" s="76">
        <v>300</v>
      </c>
      <c r="H611" s="76">
        <f t="shared" si="28"/>
        <v>300</v>
      </c>
    </row>
    <row r="612" spans="1:8" ht="15" customHeight="1" x14ac:dyDescent="0.2">
      <c r="A612" s="249">
        <v>10</v>
      </c>
      <c r="B612" s="147" t="s">
        <v>677</v>
      </c>
      <c r="C612" s="61">
        <v>54114</v>
      </c>
      <c r="D612" s="73" t="s">
        <v>5</v>
      </c>
      <c r="E612" s="74"/>
      <c r="F612" s="74"/>
      <c r="G612" s="76">
        <v>200</v>
      </c>
      <c r="H612" s="76">
        <f t="shared" si="28"/>
        <v>200</v>
      </c>
    </row>
    <row r="613" spans="1:8" ht="15" customHeight="1" x14ac:dyDescent="0.2">
      <c r="A613" s="249">
        <v>10</v>
      </c>
      <c r="B613" s="147" t="s">
        <v>677</v>
      </c>
      <c r="C613" s="61">
        <v>54115</v>
      </c>
      <c r="D613" s="73" t="s">
        <v>49</v>
      </c>
      <c r="E613" s="74"/>
      <c r="F613" s="74"/>
      <c r="G613" s="76">
        <v>75</v>
      </c>
      <c r="H613" s="76">
        <f t="shared" si="28"/>
        <v>75</v>
      </c>
    </row>
    <row r="614" spans="1:8" ht="15" customHeight="1" x14ac:dyDescent="0.2">
      <c r="A614" s="249">
        <v>10</v>
      </c>
      <c r="B614" s="147" t="s">
        <v>677</v>
      </c>
      <c r="C614" s="61">
        <v>54116</v>
      </c>
      <c r="D614" s="62" t="s">
        <v>167</v>
      </c>
      <c r="E614" s="74"/>
      <c r="F614" s="74"/>
      <c r="G614" s="76">
        <v>100</v>
      </c>
      <c r="H614" s="76">
        <f t="shared" si="28"/>
        <v>100</v>
      </c>
    </row>
    <row r="615" spans="1:8" ht="15" customHeight="1" x14ac:dyDescent="0.2">
      <c r="A615" s="249">
        <v>10</v>
      </c>
      <c r="B615" s="147" t="s">
        <v>677</v>
      </c>
      <c r="C615" s="61">
        <v>54118</v>
      </c>
      <c r="D615" s="62" t="s">
        <v>35</v>
      </c>
      <c r="E615" s="74"/>
      <c r="F615" s="74"/>
      <c r="G615" s="76">
        <v>300</v>
      </c>
      <c r="H615" s="76">
        <f t="shared" si="28"/>
        <v>300</v>
      </c>
    </row>
    <row r="616" spans="1:8" ht="15" customHeight="1" x14ac:dyDescent="0.2">
      <c r="A616" s="249">
        <v>10</v>
      </c>
      <c r="B616" s="147" t="s">
        <v>677</v>
      </c>
      <c r="C616" s="61">
        <v>54119</v>
      </c>
      <c r="D616" s="62" t="s">
        <v>44</v>
      </c>
      <c r="E616" s="74"/>
      <c r="F616" s="74"/>
      <c r="G616" s="76">
        <v>300</v>
      </c>
      <c r="H616" s="76">
        <f t="shared" si="28"/>
        <v>300</v>
      </c>
    </row>
    <row r="617" spans="1:8" ht="15" customHeight="1" x14ac:dyDescent="0.2">
      <c r="A617" s="249">
        <v>10</v>
      </c>
      <c r="B617" s="147" t="s">
        <v>677</v>
      </c>
      <c r="C617" s="61">
        <v>54199</v>
      </c>
      <c r="D617" s="62" t="s">
        <v>26</v>
      </c>
      <c r="E617" s="74"/>
      <c r="F617" s="74"/>
      <c r="G617" s="76">
        <v>300</v>
      </c>
      <c r="H617" s="76">
        <f t="shared" si="28"/>
        <v>300</v>
      </c>
    </row>
    <row r="618" spans="1:8" ht="15" customHeight="1" x14ac:dyDescent="0.2">
      <c r="A618" s="249">
        <v>10</v>
      </c>
      <c r="B618" s="147" t="s">
        <v>677</v>
      </c>
      <c r="C618" s="61">
        <v>54201</v>
      </c>
      <c r="D618" s="62" t="s">
        <v>187</v>
      </c>
      <c r="E618" s="74"/>
      <c r="F618" s="74"/>
      <c r="G618" s="76">
        <v>0</v>
      </c>
      <c r="H618" s="76">
        <f t="shared" si="28"/>
        <v>0</v>
      </c>
    </row>
    <row r="619" spans="1:8" ht="15" customHeight="1" x14ac:dyDescent="0.2">
      <c r="A619" s="249">
        <v>10</v>
      </c>
      <c r="B619" s="147" t="s">
        <v>677</v>
      </c>
      <c r="C619" s="61">
        <v>54202</v>
      </c>
      <c r="D619" s="73" t="s">
        <v>27</v>
      </c>
      <c r="E619" s="74"/>
      <c r="F619" s="74"/>
      <c r="G619" s="76">
        <v>0</v>
      </c>
      <c r="H619" s="76">
        <f t="shared" si="28"/>
        <v>0</v>
      </c>
    </row>
    <row r="620" spans="1:8" ht="15" customHeight="1" x14ac:dyDescent="0.2">
      <c r="A620" s="249">
        <v>10</v>
      </c>
      <c r="B620" s="147" t="s">
        <v>677</v>
      </c>
      <c r="C620" s="61">
        <v>54203</v>
      </c>
      <c r="D620" s="62" t="s">
        <v>7</v>
      </c>
      <c r="E620" s="74"/>
      <c r="F620" s="74"/>
      <c r="G620" s="76">
        <v>0</v>
      </c>
      <c r="H620" s="76">
        <f t="shared" si="28"/>
        <v>0</v>
      </c>
    </row>
    <row r="621" spans="1:8" ht="15" customHeight="1" x14ac:dyDescent="0.2">
      <c r="A621" s="249">
        <v>10</v>
      </c>
      <c r="B621" s="147" t="s">
        <v>677</v>
      </c>
      <c r="C621" s="61">
        <v>54301</v>
      </c>
      <c r="D621" s="62" t="s">
        <v>158</v>
      </c>
      <c r="E621" s="74"/>
      <c r="F621" s="74"/>
      <c r="G621" s="76">
        <v>300</v>
      </c>
      <c r="H621" s="76">
        <f t="shared" si="28"/>
        <v>300</v>
      </c>
    </row>
    <row r="622" spans="1:8" ht="15" customHeight="1" x14ac:dyDescent="0.2">
      <c r="A622" s="249">
        <v>10</v>
      </c>
      <c r="B622" s="147" t="s">
        <v>677</v>
      </c>
      <c r="C622" s="61">
        <v>54302</v>
      </c>
      <c r="D622" s="62" t="s">
        <v>22</v>
      </c>
      <c r="E622" s="74"/>
      <c r="F622" s="74"/>
      <c r="G622" s="76">
        <v>1000</v>
      </c>
      <c r="H622" s="76">
        <f t="shared" si="28"/>
        <v>1000</v>
      </c>
    </row>
    <row r="623" spans="1:8" ht="15" customHeight="1" x14ac:dyDescent="0.2">
      <c r="A623" s="249">
        <v>10</v>
      </c>
      <c r="B623" s="147" t="s">
        <v>677</v>
      </c>
      <c r="C623" s="61">
        <v>54307</v>
      </c>
      <c r="D623" s="62" t="s">
        <v>10</v>
      </c>
      <c r="E623" s="74"/>
      <c r="F623" s="74"/>
      <c r="G623" s="76">
        <v>0</v>
      </c>
      <c r="H623" s="76">
        <f t="shared" si="28"/>
        <v>0</v>
      </c>
    </row>
    <row r="624" spans="1:8" ht="15" customHeight="1" x14ac:dyDescent="0.2">
      <c r="A624" s="249">
        <v>10</v>
      </c>
      <c r="B624" s="147" t="s">
        <v>677</v>
      </c>
      <c r="C624" s="61">
        <v>54401</v>
      </c>
      <c r="D624" s="62" t="s">
        <v>143</v>
      </c>
      <c r="E624" s="74"/>
      <c r="F624" s="74"/>
      <c r="G624" s="76">
        <v>300</v>
      </c>
      <c r="H624" s="76">
        <f t="shared" si="28"/>
        <v>300</v>
      </c>
    </row>
    <row r="625" spans="1:8" ht="15" customHeight="1" x14ac:dyDescent="0.2">
      <c r="A625" s="249">
        <v>10</v>
      </c>
      <c r="B625" s="147" t="s">
        <v>677</v>
      </c>
      <c r="C625" s="61">
        <v>61101</v>
      </c>
      <c r="D625" s="73" t="s">
        <v>188</v>
      </c>
      <c r="E625" s="74"/>
      <c r="F625" s="74"/>
      <c r="G625" s="76">
        <v>500</v>
      </c>
      <c r="H625" s="76">
        <f t="shared" si="28"/>
        <v>500</v>
      </c>
    </row>
    <row r="626" spans="1:8" ht="15" customHeight="1" x14ac:dyDescent="0.2">
      <c r="A626" s="249">
        <v>10</v>
      </c>
      <c r="B626" s="147" t="s">
        <v>677</v>
      </c>
      <c r="C626" s="61">
        <v>61102</v>
      </c>
      <c r="D626" s="62" t="s">
        <v>28</v>
      </c>
      <c r="E626" s="74">
        <v>0</v>
      </c>
      <c r="F626" s="74">
        <v>0</v>
      </c>
      <c r="G626" s="74">
        <v>0</v>
      </c>
      <c r="H626" s="74">
        <v>0</v>
      </c>
    </row>
    <row r="627" spans="1:8" ht="15" customHeight="1" x14ac:dyDescent="0.2">
      <c r="A627" s="249">
        <v>10</v>
      </c>
      <c r="B627" s="147" t="s">
        <v>677</v>
      </c>
      <c r="C627" s="61">
        <v>61104</v>
      </c>
      <c r="D627" s="73" t="s">
        <v>46</v>
      </c>
      <c r="E627" s="74"/>
      <c r="F627" s="74"/>
      <c r="G627" s="76">
        <v>700</v>
      </c>
      <c r="H627" s="76">
        <f>G627</f>
        <v>700</v>
      </c>
    </row>
    <row r="628" spans="1:8" ht="15" customHeight="1" x14ac:dyDescent="0.2">
      <c r="A628" s="249">
        <v>10</v>
      </c>
      <c r="B628" s="147" t="s">
        <v>677</v>
      </c>
      <c r="C628" s="61">
        <v>61199</v>
      </c>
      <c r="D628" s="73" t="s">
        <v>135</v>
      </c>
      <c r="E628" s="74"/>
      <c r="F628" s="74"/>
      <c r="G628" s="76">
        <v>600</v>
      </c>
      <c r="H628" s="76">
        <f>G628</f>
        <v>600</v>
      </c>
    </row>
    <row r="629" spans="1:8" ht="15" customHeight="1" x14ac:dyDescent="0.2">
      <c r="A629" s="249">
        <v>10</v>
      </c>
      <c r="B629" s="147" t="s">
        <v>677</v>
      </c>
      <c r="C629" s="275">
        <v>61108</v>
      </c>
      <c r="D629" s="276" t="s">
        <v>545</v>
      </c>
      <c r="E629" s="74"/>
      <c r="F629" s="74"/>
      <c r="G629" s="76">
        <v>500</v>
      </c>
      <c r="H629" s="76">
        <f>G629</f>
        <v>500</v>
      </c>
    </row>
    <row r="630" spans="1:8" ht="15" customHeight="1" x14ac:dyDescent="0.2">
      <c r="A630" s="249">
        <v>10</v>
      </c>
      <c r="B630" s="147" t="s">
        <v>830</v>
      </c>
      <c r="C630" s="61"/>
      <c r="D630" s="61" t="s">
        <v>14</v>
      </c>
      <c r="E630" s="138">
        <f>SUM(E601:E627)</f>
        <v>0</v>
      </c>
      <c r="F630" s="138">
        <f>SUM(F601:F627)</f>
        <v>0</v>
      </c>
      <c r="G630" s="138">
        <f>SUM(G601:G629)</f>
        <v>39675.5</v>
      </c>
      <c r="H630" s="83">
        <f>E630+F630+G630</f>
        <v>39675.5</v>
      </c>
    </row>
    <row r="631" spans="1:8" ht="15" customHeight="1" x14ac:dyDescent="0.2">
      <c r="A631" s="249" t="s">
        <v>387</v>
      </c>
      <c r="B631" s="147" t="s">
        <v>387</v>
      </c>
      <c r="C631" s="148"/>
      <c r="D631" s="148"/>
      <c r="E631" s="149"/>
      <c r="F631" s="149"/>
      <c r="G631" s="149"/>
      <c r="H631" s="273"/>
    </row>
    <row r="632" spans="1:8" ht="15" customHeight="1" x14ac:dyDescent="0.2">
      <c r="A632" s="249" t="s">
        <v>387</v>
      </c>
      <c r="B632" s="147" t="s">
        <v>387</v>
      </c>
      <c r="C632" s="427" t="s">
        <v>119</v>
      </c>
      <c r="D632" s="427"/>
      <c r="E632" s="427"/>
      <c r="F632" s="427"/>
      <c r="G632" s="427"/>
      <c r="H632" s="427"/>
    </row>
    <row r="633" spans="1:8" ht="15" customHeight="1" x14ac:dyDescent="0.2">
      <c r="A633" s="249" t="s">
        <v>387</v>
      </c>
      <c r="B633" s="147" t="s">
        <v>387</v>
      </c>
      <c r="C633" s="428" t="str">
        <f>+C3</f>
        <v xml:space="preserve"> PRESUPUESTO AÑO 2024</v>
      </c>
      <c r="D633" s="428"/>
      <c r="E633" s="428"/>
      <c r="F633" s="428"/>
      <c r="G633" s="428"/>
      <c r="H633" s="428"/>
    </row>
    <row r="634" spans="1:8" ht="15" customHeight="1" x14ac:dyDescent="0.2">
      <c r="A634" s="249" t="s">
        <v>387</v>
      </c>
      <c r="B634" s="147" t="s">
        <v>387</v>
      </c>
      <c r="C634" s="428" t="s">
        <v>499</v>
      </c>
      <c r="D634" s="428"/>
      <c r="E634" s="428"/>
      <c r="F634" s="428"/>
      <c r="G634" s="428"/>
      <c r="H634" s="428"/>
    </row>
    <row r="635" spans="1:8" ht="15" customHeight="1" x14ac:dyDescent="0.2">
      <c r="A635" s="249" t="s">
        <v>387</v>
      </c>
      <c r="B635" s="147" t="s">
        <v>387</v>
      </c>
      <c r="C635" s="427" t="s">
        <v>117</v>
      </c>
      <c r="D635" s="427"/>
      <c r="E635" s="427"/>
      <c r="F635" s="427"/>
      <c r="G635" s="427"/>
      <c r="H635" s="427"/>
    </row>
    <row r="636" spans="1:8" ht="15" customHeight="1" x14ac:dyDescent="0.2">
      <c r="A636" s="249" t="s">
        <v>387</v>
      </c>
      <c r="B636" s="147" t="s">
        <v>387</v>
      </c>
      <c r="C636" s="427" t="s">
        <v>670</v>
      </c>
      <c r="D636" s="427"/>
      <c r="E636" s="427"/>
      <c r="F636" s="427"/>
      <c r="G636" s="427"/>
      <c r="H636" s="427"/>
    </row>
    <row r="637" spans="1:8" ht="15" customHeight="1" x14ac:dyDescent="0.2">
      <c r="A637" s="249" t="s">
        <v>387</v>
      </c>
      <c r="B637" s="147" t="s">
        <v>387</v>
      </c>
      <c r="C637" s="430" t="s">
        <v>1</v>
      </c>
      <c r="D637" s="430" t="s">
        <v>0</v>
      </c>
      <c r="E637" s="255" t="s">
        <v>56</v>
      </c>
      <c r="F637" s="255" t="str">
        <f>+F599</f>
        <v>REFORMA</v>
      </c>
      <c r="G637" s="255" t="s">
        <v>56</v>
      </c>
      <c r="H637" s="432" t="str">
        <f>+H7</f>
        <v>TOTAL 2024</v>
      </c>
    </row>
    <row r="638" spans="1:8" ht="15" customHeight="1" x14ac:dyDescent="0.2">
      <c r="A638" s="249" t="s">
        <v>387</v>
      </c>
      <c r="B638" s="147" t="s">
        <v>387</v>
      </c>
      <c r="C638" s="431"/>
      <c r="D638" s="431"/>
      <c r="E638" s="255" t="s">
        <v>139</v>
      </c>
      <c r="F638" s="255"/>
      <c r="G638" s="255" t="s">
        <v>140</v>
      </c>
      <c r="H638" s="433"/>
    </row>
    <row r="639" spans="1:8" ht="15" customHeight="1" x14ac:dyDescent="0.2">
      <c r="A639" s="249">
        <v>10</v>
      </c>
      <c r="B639" s="147" t="s">
        <v>678</v>
      </c>
      <c r="C639" s="61">
        <v>51101</v>
      </c>
      <c r="D639" s="73" t="s">
        <v>15</v>
      </c>
      <c r="E639" s="74"/>
      <c r="F639" s="74"/>
      <c r="G639" s="272">
        <v>45600</v>
      </c>
      <c r="H639" s="76">
        <f t="shared" ref="H639:H646" si="29">E639+F639+G639</f>
        <v>45600</v>
      </c>
    </row>
    <row r="640" spans="1:8" ht="15" customHeight="1" x14ac:dyDescent="0.2">
      <c r="A640" s="249">
        <v>10</v>
      </c>
      <c r="B640" s="147" t="s">
        <v>678</v>
      </c>
      <c r="C640" s="61">
        <v>51103</v>
      </c>
      <c r="D640" s="73" t="s">
        <v>16</v>
      </c>
      <c r="E640" s="76"/>
      <c r="F640" s="76"/>
      <c r="G640" s="272">
        <v>3800</v>
      </c>
      <c r="H640" s="76">
        <f t="shared" si="29"/>
        <v>3800</v>
      </c>
    </row>
    <row r="641" spans="1:8" ht="15" customHeight="1" x14ac:dyDescent="0.2">
      <c r="A641" s="249">
        <v>10</v>
      </c>
      <c r="B641" s="147" t="s">
        <v>678</v>
      </c>
      <c r="C641" s="61">
        <v>51107</v>
      </c>
      <c r="D641" s="73" t="s">
        <v>34</v>
      </c>
      <c r="E641" s="76"/>
      <c r="F641" s="76"/>
      <c r="G641" s="272">
        <v>1400</v>
      </c>
      <c r="H641" s="76">
        <f t="shared" si="29"/>
        <v>1400</v>
      </c>
    </row>
    <row r="642" spans="1:8" ht="15" customHeight="1" x14ac:dyDescent="0.2">
      <c r="A642" s="249">
        <v>10</v>
      </c>
      <c r="B642" s="147" t="s">
        <v>678</v>
      </c>
      <c r="C642" s="61">
        <v>51401</v>
      </c>
      <c r="D642" s="62" t="s">
        <v>47</v>
      </c>
      <c r="E642" s="74"/>
      <c r="F642" s="74"/>
      <c r="G642" s="272">
        <v>3876.0000000000005</v>
      </c>
      <c r="H642" s="76">
        <f t="shared" si="29"/>
        <v>3876.0000000000005</v>
      </c>
    </row>
    <row r="643" spans="1:8" ht="15" customHeight="1" x14ac:dyDescent="0.2">
      <c r="A643" s="249">
        <v>10</v>
      </c>
      <c r="B643" s="147" t="s">
        <v>678</v>
      </c>
      <c r="C643" s="61">
        <v>51501</v>
      </c>
      <c r="D643" s="73" t="s">
        <v>29</v>
      </c>
      <c r="E643" s="74"/>
      <c r="F643" s="74"/>
      <c r="G643" s="272">
        <v>3989.9999999999995</v>
      </c>
      <c r="H643" s="76">
        <f t="shared" si="29"/>
        <v>3989.9999999999995</v>
      </c>
    </row>
    <row r="644" spans="1:8" ht="15" customHeight="1" x14ac:dyDescent="0.2">
      <c r="A644" s="249">
        <v>10</v>
      </c>
      <c r="B644" s="147" t="s">
        <v>678</v>
      </c>
      <c r="C644" s="61">
        <v>54101</v>
      </c>
      <c r="D644" s="73" t="s">
        <v>38</v>
      </c>
      <c r="E644" s="74"/>
      <c r="F644" s="74"/>
      <c r="G644" s="76">
        <v>0</v>
      </c>
      <c r="H644" s="76">
        <f t="shared" si="29"/>
        <v>0</v>
      </c>
    </row>
    <row r="645" spans="1:8" ht="15" customHeight="1" x14ac:dyDescent="0.2">
      <c r="A645" s="249">
        <v>10</v>
      </c>
      <c r="B645" s="147" t="s">
        <v>678</v>
      </c>
      <c r="C645" s="61">
        <v>54104</v>
      </c>
      <c r="D645" s="73" t="s">
        <v>17</v>
      </c>
      <c r="E645" s="74"/>
      <c r="F645" s="74"/>
      <c r="G645" s="76">
        <v>600</v>
      </c>
      <c r="H645" s="76">
        <f t="shared" si="29"/>
        <v>600</v>
      </c>
    </row>
    <row r="646" spans="1:8" ht="15" customHeight="1" x14ac:dyDescent="0.2">
      <c r="A646" s="249">
        <v>10</v>
      </c>
      <c r="B646" s="147" t="s">
        <v>678</v>
      </c>
      <c r="C646" s="61">
        <v>54105</v>
      </c>
      <c r="D646" s="73" t="s">
        <v>3</v>
      </c>
      <c r="E646" s="74"/>
      <c r="F646" s="74"/>
      <c r="G646" s="76">
        <v>0</v>
      </c>
      <c r="H646" s="76">
        <f t="shared" si="29"/>
        <v>0</v>
      </c>
    </row>
    <row r="647" spans="1:8" ht="15" customHeight="1" x14ac:dyDescent="0.2">
      <c r="A647" s="249">
        <v>10</v>
      </c>
      <c r="B647" s="147" t="s">
        <v>678</v>
      </c>
      <c r="C647" s="61">
        <v>54106</v>
      </c>
      <c r="D647" s="73" t="s">
        <v>18</v>
      </c>
      <c r="E647" s="74"/>
      <c r="F647" s="74"/>
      <c r="G647" s="76">
        <v>100</v>
      </c>
      <c r="H647" s="76">
        <f t="shared" ref="H647:H665" si="30">G647</f>
        <v>100</v>
      </c>
    </row>
    <row r="648" spans="1:8" ht="15" customHeight="1" x14ac:dyDescent="0.2">
      <c r="A648" s="249">
        <v>10</v>
      </c>
      <c r="B648" s="147" t="s">
        <v>678</v>
      </c>
      <c r="C648" s="61">
        <v>54107</v>
      </c>
      <c r="D648" s="73" t="s">
        <v>43</v>
      </c>
      <c r="E648" s="74"/>
      <c r="F648" s="74"/>
      <c r="G648" s="76">
        <v>200</v>
      </c>
      <c r="H648" s="76">
        <f t="shared" si="30"/>
        <v>200</v>
      </c>
    </row>
    <row r="649" spans="1:8" ht="15" customHeight="1" x14ac:dyDescent="0.2">
      <c r="A649" s="249">
        <v>10</v>
      </c>
      <c r="B649" s="147" t="s">
        <v>678</v>
      </c>
      <c r="C649" s="61">
        <v>54111</v>
      </c>
      <c r="D649" s="73" t="s">
        <v>162</v>
      </c>
      <c r="E649" s="74"/>
      <c r="F649" s="74"/>
      <c r="G649" s="76">
        <v>800</v>
      </c>
      <c r="H649" s="76">
        <f t="shared" si="30"/>
        <v>800</v>
      </c>
    </row>
    <row r="650" spans="1:8" ht="15" customHeight="1" x14ac:dyDescent="0.2">
      <c r="A650" s="249">
        <v>10</v>
      </c>
      <c r="B650" s="147" t="s">
        <v>678</v>
      </c>
      <c r="C650" s="61">
        <v>54112</v>
      </c>
      <c r="D650" s="73" t="s">
        <v>42</v>
      </c>
      <c r="E650" s="74"/>
      <c r="F650" s="74"/>
      <c r="G650" s="76">
        <v>800</v>
      </c>
      <c r="H650" s="76">
        <f t="shared" si="30"/>
        <v>800</v>
      </c>
    </row>
    <row r="651" spans="1:8" ht="15" customHeight="1" x14ac:dyDescent="0.2">
      <c r="A651" s="249">
        <v>10</v>
      </c>
      <c r="B651" s="147" t="s">
        <v>678</v>
      </c>
      <c r="C651" s="61">
        <v>54110</v>
      </c>
      <c r="D651" s="73" t="s">
        <v>20</v>
      </c>
      <c r="E651" s="74"/>
      <c r="F651" s="74"/>
      <c r="G651" s="76">
        <v>800</v>
      </c>
      <c r="H651" s="76">
        <f t="shared" si="30"/>
        <v>800</v>
      </c>
    </row>
    <row r="652" spans="1:8" ht="15" customHeight="1" x14ac:dyDescent="0.2">
      <c r="A652" s="249">
        <v>10</v>
      </c>
      <c r="B652" s="147" t="s">
        <v>678</v>
      </c>
      <c r="C652" s="61">
        <v>54114</v>
      </c>
      <c r="D652" s="73" t="s">
        <v>5</v>
      </c>
      <c r="E652" s="74"/>
      <c r="F652" s="74"/>
      <c r="G652" s="76">
        <v>300</v>
      </c>
      <c r="H652" s="76">
        <f t="shared" si="30"/>
        <v>300</v>
      </c>
    </row>
    <row r="653" spans="1:8" ht="15" customHeight="1" x14ac:dyDescent="0.2">
      <c r="A653" s="249">
        <v>10</v>
      </c>
      <c r="B653" s="147" t="s">
        <v>678</v>
      </c>
      <c r="C653" s="61">
        <v>54115</v>
      </c>
      <c r="D653" s="73" t="s">
        <v>49</v>
      </c>
      <c r="E653" s="74"/>
      <c r="F653" s="74"/>
      <c r="G653" s="76">
        <v>450</v>
      </c>
      <c r="H653" s="76">
        <f t="shared" si="30"/>
        <v>450</v>
      </c>
    </row>
    <row r="654" spans="1:8" ht="15" customHeight="1" x14ac:dyDescent="0.2">
      <c r="A654" s="249">
        <v>10</v>
      </c>
      <c r="B654" s="147" t="s">
        <v>678</v>
      </c>
      <c r="C654" s="61">
        <v>54116</v>
      </c>
      <c r="D654" s="62" t="s">
        <v>167</v>
      </c>
      <c r="E654" s="74"/>
      <c r="F654" s="74"/>
      <c r="G654" s="76">
        <v>100</v>
      </c>
      <c r="H654" s="76">
        <f t="shared" si="30"/>
        <v>100</v>
      </c>
    </row>
    <row r="655" spans="1:8" ht="15" customHeight="1" x14ac:dyDescent="0.2">
      <c r="A655" s="249">
        <v>10</v>
      </c>
      <c r="B655" s="147" t="s">
        <v>678</v>
      </c>
      <c r="C655" s="61">
        <v>54118</v>
      </c>
      <c r="D655" s="62" t="s">
        <v>35</v>
      </c>
      <c r="E655" s="74"/>
      <c r="F655" s="74"/>
      <c r="G655" s="76">
        <v>800</v>
      </c>
      <c r="H655" s="76">
        <f t="shared" si="30"/>
        <v>800</v>
      </c>
    </row>
    <row r="656" spans="1:8" ht="15" customHeight="1" x14ac:dyDescent="0.2">
      <c r="A656" s="249">
        <v>10</v>
      </c>
      <c r="B656" s="147" t="s">
        <v>678</v>
      </c>
      <c r="C656" s="61">
        <v>54119</v>
      </c>
      <c r="D656" s="62" t="s">
        <v>44</v>
      </c>
      <c r="E656" s="74"/>
      <c r="F656" s="74"/>
      <c r="G656" s="76">
        <v>500</v>
      </c>
      <c r="H656" s="76">
        <f t="shared" si="30"/>
        <v>500</v>
      </c>
    </row>
    <row r="657" spans="1:8" ht="15" customHeight="1" x14ac:dyDescent="0.2">
      <c r="A657" s="249">
        <v>10</v>
      </c>
      <c r="B657" s="147" t="s">
        <v>678</v>
      </c>
      <c r="C657" s="61">
        <v>54199</v>
      </c>
      <c r="D657" s="62" t="s">
        <v>26</v>
      </c>
      <c r="E657" s="74"/>
      <c r="F657" s="74"/>
      <c r="G657" s="76">
        <v>500</v>
      </c>
      <c r="H657" s="76">
        <f t="shared" si="30"/>
        <v>500</v>
      </c>
    </row>
    <row r="658" spans="1:8" ht="15" customHeight="1" x14ac:dyDescent="0.2">
      <c r="A658" s="249">
        <v>10</v>
      </c>
      <c r="B658" s="147" t="s">
        <v>678</v>
      </c>
      <c r="C658" s="61">
        <v>54201</v>
      </c>
      <c r="D658" s="62" t="s">
        <v>187</v>
      </c>
      <c r="E658" s="74"/>
      <c r="F658" s="74"/>
      <c r="G658" s="76">
        <v>0</v>
      </c>
      <c r="H658" s="76">
        <f t="shared" si="30"/>
        <v>0</v>
      </c>
    </row>
    <row r="659" spans="1:8" ht="15" customHeight="1" x14ac:dyDescent="0.2">
      <c r="A659" s="249">
        <v>10</v>
      </c>
      <c r="B659" s="147" t="s">
        <v>678</v>
      </c>
      <c r="C659" s="61">
        <v>54202</v>
      </c>
      <c r="D659" s="73" t="s">
        <v>27</v>
      </c>
      <c r="E659" s="74"/>
      <c r="F659" s="74"/>
      <c r="G659" s="76">
        <v>0</v>
      </c>
      <c r="H659" s="76">
        <f t="shared" si="30"/>
        <v>0</v>
      </c>
    </row>
    <row r="660" spans="1:8" ht="15" customHeight="1" x14ac:dyDescent="0.2">
      <c r="A660" s="249">
        <v>10</v>
      </c>
      <c r="B660" s="147" t="s">
        <v>678</v>
      </c>
      <c r="C660" s="61">
        <v>54203</v>
      </c>
      <c r="D660" s="62" t="s">
        <v>7</v>
      </c>
      <c r="E660" s="74"/>
      <c r="F660" s="74"/>
      <c r="G660" s="76">
        <v>0</v>
      </c>
      <c r="H660" s="76">
        <f t="shared" si="30"/>
        <v>0</v>
      </c>
    </row>
    <row r="661" spans="1:8" ht="15" customHeight="1" x14ac:dyDescent="0.2">
      <c r="A661" s="249">
        <v>10</v>
      </c>
      <c r="B661" s="147" t="s">
        <v>678</v>
      </c>
      <c r="C661" s="61">
        <v>54301</v>
      </c>
      <c r="D661" s="62" t="s">
        <v>158</v>
      </c>
      <c r="E661" s="74"/>
      <c r="F661" s="74"/>
      <c r="G661" s="76">
        <v>300</v>
      </c>
      <c r="H661" s="76">
        <f t="shared" si="30"/>
        <v>300</v>
      </c>
    </row>
    <row r="662" spans="1:8" ht="15" customHeight="1" x14ac:dyDescent="0.2">
      <c r="A662" s="249">
        <v>10</v>
      </c>
      <c r="B662" s="147" t="s">
        <v>678</v>
      </c>
      <c r="C662" s="61">
        <v>54302</v>
      </c>
      <c r="D662" s="62" t="s">
        <v>22</v>
      </c>
      <c r="E662" s="74"/>
      <c r="F662" s="74"/>
      <c r="G662" s="76">
        <v>300</v>
      </c>
      <c r="H662" s="76">
        <f t="shared" si="30"/>
        <v>300</v>
      </c>
    </row>
    <row r="663" spans="1:8" ht="15" customHeight="1" x14ac:dyDescent="0.2">
      <c r="A663" s="249">
        <v>10</v>
      </c>
      <c r="B663" s="147" t="s">
        <v>678</v>
      </c>
      <c r="C663" s="61">
        <v>54307</v>
      </c>
      <c r="D663" s="62" t="s">
        <v>10</v>
      </c>
      <c r="E663" s="74"/>
      <c r="F663" s="74"/>
      <c r="G663" s="76">
        <v>0</v>
      </c>
      <c r="H663" s="76">
        <f t="shared" si="30"/>
        <v>0</v>
      </c>
    </row>
    <row r="664" spans="1:8" ht="15" customHeight="1" x14ac:dyDescent="0.2">
      <c r="A664" s="249">
        <v>10</v>
      </c>
      <c r="B664" s="147" t="s">
        <v>678</v>
      </c>
      <c r="C664" s="61">
        <v>54401</v>
      </c>
      <c r="D664" s="62" t="s">
        <v>143</v>
      </c>
      <c r="E664" s="74"/>
      <c r="F664" s="74"/>
      <c r="G664" s="76">
        <v>0</v>
      </c>
      <c r="H664" s="76">
        <f t="shared" si="30"/>
        <v>0</v>
      </c>
    </row>
    <row r="665" spans="1:8" ht="15" customHeight="1" x14ac:dyDescent="0.2">
      <c r="A665" s="249">
        <v>10</v>
      </c>
      <c r="B665" s="147" t="s">
        <v>678</v>
      </c>
      <c r="C665" s="61">
        <v>61101</v>
      </c>
      <c r="D665" s="73" t="s">
        <v>188</v>
      </c>
      <c r="E665" s="74"/>
      <c r="F665" s="74"/>
      <c r="G665" s="76">
        <v>300</v>
      </c>
      <c r="H665" s="76">
        <f t="shared" si="30"/>
        <v>300</v>
      </c>
    </row>
    <row r="666" spans="1:8" ht="15" customHeight="1" x14ac:dyDescent="0.2">
      <c r="A666" s="249">
        <v>10</v>
      </c>
      <c r="B666" s="147" t="s">
        <v>678</v>
      </c>
      <c r="C666" s="61">
        <v>61102</v>
      </c>
      <c r="D666" s="62" t="s">
        <v>28</v>
      </c>
      <c r="E666" s="74">
        <v>0</v>
      </c>
      <c r="F666" s="74">
        <v>0</v>
      </c>
      <c r="G666" s="74">
        <v>0</v>
      </c>
      <c r="H666" s="74">
        <v>0</v>
      </c>
    </row>
    <row r="667" spans="1:8" ht="15" customHeight="1" x14ac:dyDescent="0.2">
      <c r="A667" s="249">
        <v>10</v>
      </c>
      <c r="B667" s="147" t="s">
        <v>678</v>
      </c>
      <c r="C667" s="61">
        <v>61104</v>
      </c>
      <c r="D667" s="73" t="s">
        <v>46</v>
      </c>
      <c r="E667" s="74"/>
      <c r="F667" s="74"/>
      <c r="G667" s="76">
        <v>300</v>
      </c>
      <c r="H667" s="76">
        <f>G667</f>
        <v>300</v>
      </c>
    </row>
    <row r="668" spans="1:8" ht="15" customHeight="1" x14ac:dyDescent="0.2">
      <c r="A668" s="249">
        <v>10</v>
      </c>
      <c r="B668" s="147" t="s">
        <v>678</v>
      </c>
      <c r="C668" s="61">
        <v>61199</v>
      </c>
      <c r="D668" s="73" t="s">
        <v>135</v>
      </c>
      <c r="E668" s="74"/>
      <c r="F668" s="74"/>
      <c r="G668" s="76">
        <v>300</v>
      </c>
      <c r="H668" s="76">
        <f>G668</f>
        <v>300</v>
      </c>
    </row>
    <row r="669" spans="1:8" ht="15" customHeight="1" x14ac:dyDescent="0.2">
      <c r="A669" s="249">
        <v>10</v>
      </c>
      <c r="B669" s="147" t="s">
        <v>678</v>
      </c>
      <c r="C669" s="61">
        <v>61601</v>
      </c>
      <c r="D669" s="73" t="s">
        <v>287</v>
      </c>
      <c r="E669" s="74"/>
      <c r="F669" s="74"/>
      <c r="G669" s="76">
        <v>22554.82</v>
      </c>
      <c r="H669" s="76">
        <f>G669</f>
        <v>22554.82</v>
      </c>
    </row>
    <row r="670" spans="1:8" ht="15" customHeight="1" x14ac:dyDescent="0.2">
      <c r="A670" s="249">
        <v>10</v>
      </c>
      <c r="B670" s="147" t="s">
        <v>831</v>
      </c>
      <c r="C670" s="61"/>
      <c r="D670" s="61" t="s">
        <v>14</v>
      </c>
      <c r="E670" s="138">
        <f>SUM(E639:E669)</f>
        <v>0</v>
      </c>
      <c r="F670" s="138">
        <f>SUM(F639:F669)</f>
        <v>0</v>
      </c>
      <c r="G670" s="138">
        <f>SUM(G639:G669)</f>
        <v>88670.82</v>
      </c>
      <c r="H670" s="83">
        <f>E670+F670+G670</f>
        <v>88670.82</v>
      </c>
    </row>
    <row r="671" spans="1:8" ht="15" customHeight="1" x14ac:dyDescent="0.2">
      <c r="A671" s="249" t="s">
        <v>387</v>
      </c>
      <c r="B671" s="147" t="s">
        <v>387</v>
      </c>
      <c r="C671" s="148"/>
      <c r="D671" s="148"/>
      <c r="E671" s="149"/>
      <c r="F671" s="149"/>
      <c r="G671" s="149"/>
      <c r="H671" s="273"/>
    </row>
    <row r="672" spans="1:8" ht="15" customHeight="1" x14ac:dyDescent="0.2">
      <c r="A672" s="249" t="s">
        <v>387</v>
      </c>
      <c r="B672" s="147" t="s">
        <v>387</v>
      </c>
      <c r="C672" s="368"/>
      <c r="D672" s="369"/>
      <c r="E672" s="370"/>
      <c r="F672" s="370"/>
      <c r="G672" s="370"/>
      <c r="H672" s="370"/>
    </row>
    <row r="673" spans="1:15" ht="15" customHeight="1" x14ac:dyDescent="0.2">
      <c r="A673" s="249" t="s">
        <v>387</v>
      </c>
      <c r="B673" s="147" t="s">
        <v>387</v>
      </c>
      <c r="C673" s="427" t="s">
        <v>119</v>
      </c>
      <c r="D673" s="427"/>
      <c r="E673" s="427"/>
      <c r="F673" s="427"/>
      <c r="G673" s="427"/>
      <c r="H673" s="427"/>
    </row>
    <row r="674" spans="1:15" ht="15" customHeight="1" x14ac:dyDescent="0.2">
      <c r="A674" s="249" t="s">
        <v>387</v>
      </c>
      <c r="B674" s="147" t="s">
        <v>387</v>
      </c>
      <c r="C674" s="428" t="str">
        <f>C3</f>
        <v xml:space="preserve"> PRESUPUESTO AÑO 2024</v>
      </c>
      <c r="D674" s="428"/>
      <c r="E674" s="428"/>
      <c r="F674" s="428"/>
      <c r="G674" s="428"/>
      <c r="H674" s="428"/>
    </row>
    <row r="675" spans="1:15" ht="15" customHeight="1" x14ac:dyDescent="0.2">
      <c r="A675" s="249" t="s">
        <v>387</v>
      </c>
      <c r="B675" s="147" t="s">
        <v>387</v>
      </c>
      <c r="C675" s="428" t="str">
        <f>C4</f>
        <v>PRESUPUESTO EXTRA CONTABLE</v>
      </c>
      <c r="D675" s="428"/>
      <c r="E675" s="428"/>
      <c r="F675" s="428"/>
      <c r="G675" s="428"/>
      <c r="H675" s="428"/>
    </row>
    <row r="676" spans="1:15" ht="15" customHeight="1" x14ac:dyDescent="0.2">
      <c r="A676" s="249" t="s">
        <v>387</v>
      </c>
      <c r="B676" s="147" t="s">
        <v>387</v>
      </c>
      <c r="C676" s="427" t="s">
        <v>117</v>
      </c>
      <c r="D676" s="427"/>
      <c r="E676" s="427"/>
      <c r="F676" s="427"/>
      <c r="G676" s="427"/>
      <c r="H676" s="427"/>
    </row>
    <row r="677" spans="1:15" ht="15" customHeight="1" x14ac:dyDescent="0.2">
      <c r="A677" s="249" t="s">
        <v>387</v>
      </c>
      <c r="B677" s="147" t="s">
        <v>387</v>
      </c>
      <c r="C677" s="427" t="s">
        <v>502</v>
      </c>
      <c r="D677" s="427"/>
      <c r="E677" s="427"/>
      <c r="F677" s="427"/>
      <c r="G677" s="427"/>
      <c r="H677" s="427"/>
    </row>
    <row r="678" spans="1:15" ht="15" customHeight="1" x14ac:dyDescent="0.2">
      <c r="A678" s="249" t="s">
        <v>387</v>
      </c>
      <c r="B678" s="147" t="s">
        <v>387</v>
      </c>
      <c r="C678" s="430" t="s">
        <v>1</v>
      </c>
      <c r="D678" s="430" t="s">
        <v>0</v>
      </c>
      <c r="E678" s="255" t="s">
        <v>56</v>
      </c>
      <c r="F678" s="255" t="str">
        <f>F7</f>
        <v>REFORMA</v>
      </c>
      <c r="G678" s="255" t="s">
        <v>56</v>
      </c>
      <c r="H678" s="432" t="str">
        <f>$H$7</f>
        <v>TOTAL 2024</v>
      </c>
    </row>
    <row r="679" spans="1:15" ht="15" customHeight="1" x14ac:dyDescent="0.2">
      <c r="A679" s="249" t="s">
        <v>387</v>
      </c>
      <c r="B679" s="147" t="s">
        <v>387</v>
      </c>
      <c r="C679" s="431"/>
      <c r="D679" s="431"/>
      <c r="E679" s="255" t="s">
        <v>139</v>
      </c>
      <c r="F679" s="255"/>
      <c r="G679" s="255" t="s">
        <v>140</v>
      </c>
      <c r="H679" s="433"/>
    </row>
    <row r="680" spans="1:15" ht="15" customHeight="1" x14ac:dyDescent="0.2">
      <c r="A680" s="249">
        <v>8</v>
      </c>
      <c r="B680" s="147">
        <v>8</v>
      </c>
      <c r="C680" s="61">
        <v>51101</v>
      </c>
      <c r="D680" s="73" t="s">
        <v>15</v>
      </c>
      <c r="E680" s="74"/>
      <c r="F680" s="74"/>
      <c r="G680" s="290">
        <v>17280</v>
      </c>
      <c r="H680" s="76">
        <f t="shared" ref="H680:H720" si="31">E680+F680+G680</f>
        <v>17280</v>
      </c>
    </row>
    <row r="681" spans="1:15" ht="15" customHeight="1" x14ac:dyDescent="0.2">
      <c r="A681" s="249">
        <v>8</v>
      </c>
      <c r="B681" s="147">
        <v>8</v>
      </c>
      <c r="C681" s="61">
        <v>51103</v>
      </c>
      <c r="D681" s="73" t="s">
        <v>16</v>
      </c>
      <c r="E681" s="76"/>
      <c r="F681" s="76"/>
      <c r="G681" s="290">
        <v>1440</v>
      </c>
      <c r="H681" s="76">
        <f t="shared" si="31"/>
        <v>1440</v>
      </c>
    </row>
    <row r="682" spans="1:15" ht="15" customHeight="1" x14ac:dyDescent="0.2">
      <c r="A682" s="249">
        <v>8</v>
      </c>
      <c r="B682" s="147">
        <v>8</v>
      </c>
      <c r="C682" s="61">
        <v>51107</v>
      </c>
      <c r="D682" s="73" t="s">
        <v>34</v>
      </c>
      <c r="E682" s="74"/>
      <c r="F682" s="74"/>
      <c r="G682" s="290">
        <v>400</v>
      </c>
      <c r="H682" s="76">
        <f>E682+F682+G682</f>
        <v>400</v>
      </c>
    </row>
    <row r="683" spans="1:15" ht="15" customHeight="1" x14ac:dyDescent="0.2">
      <c r="A683" s="249">
        <v>8</v>
      </c>
      <c r="B683" s="147">
        <v>8</v>
      </c>
      <c r="C683" s="61">
        <v>51401</v>
      </c>
      <c r="D683" s="62" t="s">
        <v>47</v>
      </c>
      <c r="E683" s="74"/>
      <c r="F683" s="74"/>
      <c r="G683" s="290">
        <v>1468.8000000000002</v>
      </c>
      <c r="H683" s="76">
        <f t="shared" si="31"/>
        <v>1468.8000000000002</v>
      </c>
      <c r="O683" s="257"/>
    </row>
    <row r="684" spans="1:15" ht="15" customHeight="1" x14ac:dyDescent="0.2">
      <c r="A684" s="249">
        <v>8</v>
      </c>
      <c r="B684" s="147">
        <v>8</v>
      </c>
      <c r="C684" s="61">
        <v>51501</v>
      </c>
      <c r="D684" s="73" t="s">
        <v>29</v>
      </c>
      <c r="E684" s="74"/>
      <c r="F684" s="74"/>
      <c r="G684" s="290">
        <v>1512</v>
      </c>
      <c r="H684" s="76">
        <f t="shared" si="31"/>
        <v>1512</v>
      </c>
    </row>
    <row r="685" spans="1:15" ht="15" customHeight="1" x14ac:dyDescent="0.2">
      <c r="A685" s="249">
        <v>8</v>
      </c>
      <c r="B685" s="147">
        <v>8</v>
      </c>
      <c r="C685" s="61">
        <v>54101</v>
      </c>
      <c r="D685" s="73" t="s">
        <v>38</v>
      </c>
      <c r="E685" s="74"/>
      <c r="F685" s="74"/>
      <c r="G685" s="140">
        <v>4000</v>
      </c>
      <c r="H685" s="76">
        <f t="shared" si="31"/>
        <v>4000</v>
      </c>
    </row>
    <row r="686" spans="1:15" ht="15" customHeight="1" x14ac:dyDescent="0.2">
      <c r="A686" s="249">
        <v>8</v>
      </c>
      <c r="B686" s="147">
        <v>8</v>
      </c>
      <c r="C686" s="61">
        <v>54103</v>
      </c>
      <c r="D686" s="73" t="s">
        <v>41</v>
      </c>
      <c r="E686" s="74"/>
      <c r="F686" s="74"/>
      <c r="G686" s="140">
        <v>0</v>
      </c>
      <c r="H686" s="76">
        <f t="shared" si="31"/>
        <v>0</v>
      </c>
    </row>
    <row r="687" spans="1:15" ht="15" customHeight="1" x14ac:dyDescent="0.2">
      <c r="A687" s="249">
        <v>8</v>
      </c>
      <c r="B687" s="147">
        <v>8</v>
      </c>
      <c r="C687" s="61">
        <v>54104</v>
      </c>
      <c r="D687" s="73" t="s">
        <v>17</v>
      </c>
      <c r="E687" s="74"/>
      <c r="F687" s="74"/>
      <c r="G687" s="140">
        <v>2000</v>
      </c>
      <c r="H687" s="76">
        <f t="shared" si="31"/>
        <v>2000</v>
      </c>
    </row>
    <row r="688" spans="1:15" ht="15" customHeight="1" x14ac:dyDescent="0.2">
      <c r="A688" s="249">
        <v>8</v>
      </c>
      <c r="B688" s="147">
        <v>8</v>
      </c>
      <c r="C688" s="61">
        <v>54105</v>
      </c>
      <c r="D688" s="73" t="s">
        <v>131</v>
      </c>
      <c r="E688" s="74"/>
      <c r="F688" s="74"/>
      <c r="G688" s="140">
        <v>2000</v>
      </c>
      <c r="H688" s="76">
        <f t="shared" si="31"/>
        <v>2000</v>
      </c>
    </row>
    <row r="689" spans="1:8" ht="15" customHeight="1" x14ac:dyDescent="0.2">
      <c r="A689" s="249">
        <v>8</v>
      </c>
      <c r="B689" s="147">
        <v>8</v>
      </c>
      <c r="C689" s="61">
        <v>54106</v>
      </c>
      <c r="D689" s="73" t="s">
        <v>18</v>
      </c>
      <c r="E689" s="74"/>
      <c r="F689" s="74"/>
      <c r="G689" s="140">
        <v>500</v>
      </c>
      <c r="H689" s="76">
        <f t="shared" si="31"/>
        <v>500</v>
      </c>
    </row>
    <row r="690" spans="1:8" ht="15" customHeight="1" x14ac:dyDescent="0.2">
      <c r="A690" s="249">
        <v>8</v>
      </c>
      <c r="B690" s="147">
        <v>8</v>
      </c>
      <c r="C690" s="61">
        <v>54107</v>
      </c>
      <c r="D690" s="73" t="s">
        <v>43</v>
      </c>
      <c r="E690" s="74"/>
      <c r="F690" s="74"/>
      <c r="G690" s="140">
        <v>1600</v>
      </c>
      <c r="H690" s="76">
        <f t="shared" si="31"/>
        <v>1600</v>
      </c>
    </row>
    <row r="691" spans="1:8" ht="15" customHeight="1" x14ac:dyDescent="0.2">
      <c r="A691" s="249">
        <v>8</v>
      </c>
      <c r="B691" s="147">
        <v>8</v>
      </c>
      <c r="C691" s="61">
        <v>54108</v>
      </c>
      <c r="D691" s="73" t="s">
        <v>169</v>
      </c>
      <c r="E691" s="74"/>
      <c r="F691" s="74"/>
      <c r="G691" s="140">
        <v>100</v>
      </c>
      <c r="H691" s="76">
        <f t="shared" si="31"/>
        <v>100</v>
      </c>
    </row>
    <row r="692" spans="1:8" ht="15" customHeight="1" x14ac:dyDescent="0.2">
      <c r="A692" s="249">
        <v>8</v>
      </c>
      <c r="B692" s="147">
        <v>8</v>
      </c>
      <c r="C692" s="61">
        <v>54109</v>
      </c>
      <c r="D692" s="73" t="s">
        <v>146</v>
      </c>
      <c r="E692" s="74"/>
      <c r="F692" s="74"/>
      <c r="G692" s="140">
        <v>0</v>
      </c>
      <c r="H692" s="76">
        <f>E692+F692+G692</f>
        <v>0</v>
      </c>
    </row>
    <row r="693" spans="1:8" ht="15" customHeight="1" x14ac:dyDescent="0.2">
      <c r="A693" s="249">
        <v>8</v>
      </c>
      <c r="B693" s="147">
        <v>8</v>
      </c>
      <c r="C693" s="61">
        <v>54110</v>
      </c>
      <c r="D693" s="73" t="s">
        <v>20</v>
      </c>
      <c r="E693" s="74"/>
      <c r="F693" s="74"/>
      <c r="G693" s="140">
        <v>0</v>
      </c>
      <c r="H693" s="76">
        <f t="shared" si="31"/>
        <v>0</v>
      </c>
    </row>
    <row r="694" spans="1:8" ht="15" customHeight="1" x14ac:dyDescent="0.2">
      <c r="A694" s="249">
        <v>8</v>
      </c>
      <c r="B694" s="147">
        <v>8</v>
      </c>
      <c r="C694" s="61">
        <v>54111</v>
      </c>
      <c r="D694" s="73" t="s">
        <v>162</v>
      </c>
      <c r="E694" s="74"/>
      <c r="F694" s="74"/>
      <c r="G694" s="140">
        <v>500</v>
      </c>
      <c r="H694" s="76">
        <f t="shared" si="31"/>
        <v>500</v>
      </c>
    </row>
    <row r="695" spans="1:8" ht="15" customHeight="1" x14ac:dyDescent="0.2">
      <c r="A695" s="249">
        <v>8</v>
      </c>
      <c r="B695" s="147">
        <v>8</v>
      </c>
      <c r="C695" s="61">
        <v>54112</v>
      </c>
      <c r="D695" s="73" t="s">
        <v>42</v>
      </c>
      <c r="E695" s="74"/>
      <c r="F695" s="74"/>
      <c r="G695" s="140">
        <v>500</v>
      </c>
      <c r="H695" s="76">
        <f t="shared" si="31"/>
        <v>500</v>
      </c>
    </row>
    <row r="696" spans="1:8" ht="15" customHeight="1" x14ac:dyDescent="0.2">
      <c r="A696" s="249">
        <v>8</v>
      </c>
      <c r="B696" s="147">
        <v>8</v>
      </c>
      <c r="C696" s="61">
        <v>54113</v>
      </c>
      <c r="D696" s="62" t="s">
        <v>148</v>
      </c>
      <c r="E696" s="74"/>
      <c r="F696" s="74"/>
      <c r="G696" s="140">
        <v>100</v>
      </c>
      <c r="H696" s="76">
        <f t="shared" si="31"/>
        <v>100</v>
      </c>
    </row>
    <row r="697" spans="1:8" ht="15" customHeight="1" x14ac:dyDescent="0.2">
      <c r="A697" s="249">
        <v>8</v>
      </c>
      <c r="B697" s="147">
        <v>8</v>
      </c>
      <c r="C697" s="61">
        <v>54114</v>
      </c>
      <c r="D697" s="73" t="s">
        <v>5</v>
      </c>
      <c r="E697" s="74"/>
      <c r="F697" s="74"/>
      <c r="G697" s="140">
        <v>1200</v>
      </c>
      <c r="H697" s="76">
        <f t="shared" si="31"/>
        <v>1200</v>
      </c>
    </row>
    <row r="698" spans="1:8" ht="15" customHeight="1" x14ac:dyDescent="0.2">
      <c r="A698" s="249">
        <v>8</v>
      </c>
      <c r="B698" s="147">
        <v>8</v>
      </c>
      <c r="C698" s="61">
        <v>54115</v>
      </c>
      <c r="D698" s="73" t="s">
        <v>49</v>
      </c>
      <c r="E698" s="74"/>
      <c r="F698" s="74"/>
      <c r="G698" s="140">
        <v>1200</v>
      </c>
      <c r="H698" s="76">
        <f t="shared" si="31"/>
        <v>1200</v>
      </c>
    </row>
    <row r="699" spans="1:8" ht="15" customHeight="1" x14ac:dyDescent="0.2">
      <c r="A699" s="249">
        <v>8</v>
      </c>
      <c r="B699" s="147">
        <v>8</v>
      </c>
      <c r="C699" s="61">
        <v>54116</v>
      </c>
      <c r="D699" s="62" t="s">
        <v>167</v>
      </c>
      <c r="E699" s="74"/>
      <c r="F699" s="74"/>
      <c r="G699" s="140">
        <v>1000</v>
      </c>
      <c r="H699" s="76">
        <f t="shared" si="31"/>
        <v>1000</v>
      </c>
    </row>
    <row r="700" spans="1:8" ht="15" customHeight="1" x14ac:dyDescent="0.2">
      <c r="A700" s="249">
        <v>8</v>
      </c>
      <c r="B700" s="147">
        <v>8</v>
      </c>
      <c r="C700" s="61">
        <v>54118</v>
      </c>
      <c r="D700" s="73" t="s">
        <v>35</v>
      </c>
      <c r="E700" s="74"/>
      <c r="F700" s="74"/>
      <c r="G700" s="140">
        <v>500</v>
      </c>
      <c r="H700" s="76">
        <f t="shared" si="31"/>
        <v>500</v>
      </c>
    </row>
    <row r="701" spans="1:8" ht="15" customHeight="1" x14ac:dyDescent="0.2">
      <c r="A701" s="249">
        <v>8</v>
      </c>
      <c r="B701" s="147">
        <v>8</v>
      </c>
      <c r="C701" s="61">
        <v>54119</v>
      </c>
      <c r="D701" s="73" t="s">
        <v>44</v>
      </c>
      <c r="E701" s="74"/>
      <c r="F701" s="74"/>
      <c r="G701" s="140">
        <v>1000</v>
      </c>
      <c r="H701" s="76">
        <f t="shared" si="31"/>
        <v>1000</v>
      </c>
    </row>
    <row r="702" spans="1:8" ht="15" customHeight="1" x14ac:dyDescent="0.2">
      <c r="A702" s="249">
        <v>8</v>
      </c>
      <c r="B702" s="147">
        <v>8</v>
      </c>
      <c r="C702" s="61">
        <v>54199</v>
      </c>
      <c r="D702" s="73" t="s">
        <v>318</v>
      </c>
      <c r="E702" s="74"/>
      <c r="F702" s="74"/>
      <c r="G702" s="140">
        <v>1000</v>
      </c>
      <c r="H702" s="76">
        <f t="shared" si="31"/>
        <v>1000</v>
      </c>
    </row>
    <row r="703" spans="1:8" ht="15" customHeight="1" x14ac:dyDescent="0.2">
      <c r="A703" s="249">
        <v>8</v>
      </c>
      <c r="B703" s="147">
        <v>8</v>
      </c>
      <c r="C703" s="61">
        <v>54301</v>
      </c>
      <c r="D703" s="62" t="s">
        <v>8</v>
      </c>
      <c r="E703" s="74"/>
      <c r="F703" s="74"/>
      <c r="G703" s="140">
        <v>400</v>
      </c>
      <c r="H703" s="76">
        <f t="shared" si="31"/>
        <v>400</v>
      </c>
    </row>
    <row r="704" spans="1:8" ht="15" customHeight="1" x14ac:dyDescent="0.2">
      <c r="A704" s="249">
        <v>8</v>
      </c>
      <c r="B704" s="147">
        <v>8</v>
      </c>
      <c r="C704" s="61">
        <v>54302</v>
      </c>
      <c r="D704" s="62" t="s">
        <v>440</v>
      </c>
      <c r="E704" s="74"/>
      <c r="F704" s="74"/>
      <c r="G704" s="140">
        <v>400</v>
      </c>
      <c r="H704" s="76">
        <f t="shared" si="31"/>
        <v>400</v>
      </c>
    </row>
    <row r="705" spans="1:16" ht="15" customHeight="1" x14ac:dyDescent="0.2">
      <c r="A705" s="249">
        <v>8</v>
      </c>
      <c r="B705" s="147">
        <v>8</v>
      </c>
      <c r="C705" s="61">
        <v>54303</v>
      </c>
      <c r="D705" s="62" t="s">
        <v>183</v>
      </c>
      <c r="E705" s="74"/>
      <c r="F705" s="74"/>
      <c r="G705" s="140">
        <v>200</v>
      </c>
      <c r="H705" s="76">
        <f t="shared" si="31"/>
        <v>200</v>
      </c>
    </row>
    <row r="706" spans="1:16" ht="15" customHeight="1" x14ac:dyDescent="0.2">
      <c r="A706" s="249">
        <v>8</v>
      </c>
      <c r="B706" s="147">
        <v>8</v>
      </c>
      <c r="C706" s="61">
        <v>54305</v>
      </c>
      <c r="D706" s="62" t="s">
        <v>541</v>
      </c>
      <c r="E706" s="74"/>
      <c r="F706" s="74"/>
      <c r="G706" s="140">
        <v>1300</v>
      </c>
      <c r="H706" s="76">
        <f>E706+F706+G706</f>
        <v>1300</v>
      </c>
    </row>
    <row r="707" spans="1:16" ht="15" customHeight="1" x14ac:dyDescent="0.2">
      <c r="A707" s="249">
        <v>8</v>
      </c>
      <c r="B707" s="147">
        <v>8</v>
      </c>
      <c r="C707" s="61">
        <v>54307</v>
      </c>
      <c r="D707" s="62" t="s">
        <v>10</v>
      </c>
      <c r="E707" s="74"/>
      <c r="F707" s="74"/>
      <c r="G707" s="140">
        <v>0</v>
      </c>
      <c r="H707" s="76">
        <f t="shared" si="31"/>
        <v>0</v>
      </c>
    </row>
    <row r="708" spans="1:16" ht="15" customHeight="1" x14ac:dyDescent="0.2">
      <c r="A708" s="249">
        <v>8</v>
      </c>
      <c r="B708" s="147">
        <v>8</v>
      </c>
      <c r="C708" s="61">
        <v>54310</v>
      </c>
      <c r="D708" s="62" t="s">
        <v>390</v>
      </c>
      <c r="E708" s="74"/>
      <c r="F708" s="74"/>
      <c r="G708" s="140">
        <v>0</v>
      </c>
      <c r="H708" s="76">
        <f t="shared" si="31"/>
        <v>0</v>
      </c>
    </row>
    <row r="709" spans="1:16" ht="15" customHeight="1" x14ac:dyDescent="0.2">
      <c r="A709" s="249">
        <v>8</v>
      </c>
      <c r="B709" s="147">
        <v>8</v>
      </c>
      <c r="C709" s="61">
        <v>54313</v>
      </c>
      <c r="D709" s="62" t="s">
        <v>11</v>
      </c>
      <c r="E709" s="74"/>
      <c r="F709" s="74"/>
      <c r="G709" s="140">
        <v>1500</v>
      </c>
      <c r="H709" s="76">
        <f t="shared" si="31"/>
        <v>1500</v>
      </c>
    </row>
    <row r="710" spans="1:16" ht="15" customHeight="1" x14ac:dyDescent="0.2">
      <c r="A710" s="249">
        <v>8</v>
      </c>
      <c r="B710" s="147">
        <v>8</v>
      </c>
      <c r="C710" s="61">
        <v>54314</v>
      </c>
      <c r="D710" s="62" t="s">
        <v>12</v>
      </c>
      <c r="E710" s="74"/>
      <c r="F710" s="74"/>
      <c r="G710" s="140">
        <v>0</v>
      </c>
      <c r="H710" s="76">
        <f t="shared" si="31"/>
        <v>0</v>
      </c>
    </row>
    <row r="711" spans="1:16" ht="15" customHeight="1" x14ac:dyDescent="0.2">
      <c r="A711" s="249">
        <v>8</v>
      </c>
      <c r="B711" s="147">
        <v>8</v>
      </c>
      <c r="C711" s="61">
        <v>54316</v>
      </c>
      <c r="D711" s="62" t="s">
        <v>228</v>
      </c>
      <c r="E711" s="74"/>
      <c r="F711" s="74"/>
      <c r="G711" s="140">
        <v>200</v>
      </c>
      <c r="H711" s="76">
        <f t="shared" si="31"/>
        <v>200</v>
      </c>
    </row>
    <row r="712" spans="1:16" ht="15" customHeight="1" x14ac:dyDescent="0.2">
      <c r="A712" s="249">
        <v>8</v>
      </c>
      <c r="B712" s="147">
        <v>8</v>
      </c>
      <c r="C712" s="61">
        <v>54317</v>
      </c>
      <c r="D712" s="62" t="s">
        <v>189</v>
      </c>
      <c r="E712" s="74"/>
      <c r="F712" s="74"/>
      <c r="G712" s="140">
        <v>0</v>
      </c>
      <c r="H712" s="76">
        <f t="shared" si="31"/>
        <v>0</v>
      </c>
    </row>
    <row r="713" spans="1:16" ht="15" customHeight="1" x14ac:dyDescent="0.2">
      <c r="A713" s="249">
        <v>8</v>
      </c>
      <c r="B713" s="147">
        <v>8</v>
      </c>
      <c r="C713" s="61">
        <v>54399</v>
      </c>
      <c r="D713" s="62" t="s">
        <v>153</v>
      </c>
      <c r="E713" s="74"/>
      <c r="F713" s="74"/>
      <c r="G713" s="140">
        <v>200</v>
      </c>
      <c r="H713" s="76">
        <f t="shared" si="31"/>
        <v>200</v>
      </c>
    </row>
    <row r="714" spans="1:16" ht="15" customHeight="1" x14ac:dyDescent="0.2">
      <c r="A714" s="249">
        <v>8</v>
      </c>
      <c r="B714" s="147">
        <v>8</v>
      </c>
      <c r="C714" s="61">
        <v>54401</v>
      </c>
      <c r="D714" s="62" t="s">
        <v>30</v>
      </c>
      <c r="E714" s="74"/>
      <c r="F714" s="74"/>
      <c r="G714" s="140">
        <v>600</v>
      </c>
      <c r="H714" s="76">
        <f t="shared" si="31"/>
        <v>600</v>
      </c>
    </row>
    <row r="715" spans="1:16" ht="15" customHeight="1" x14ac:dyDescent="0.2">
      <c r="A715" s="249">
        <v>8</v>
      </c>
      <c r="B715" s="147">
        <v>8</v>
      </c>
      <c r="C715" s="61">
        <v>54505</v>
      </c>
      <c r="D715" s="62" t="s">
        <v>40</v>
      </c>
      <c r="E715" s="74"/>
      <c r="F715" s="74"/>
      <c r="G715" s="140">
        <v>1000</v>
      </c>
      <c r="H715" s="76">
        <f t="shared" si="31"/>
        <v>1000</v>
      </c>
    </row>
    <row r="716" spans="1:16" ht="15" customHeight="1" x14ac:dyDescent="0.2">
      <c r="A716" s="249">
        <v>8</v>
      </c>
      <c r="B716" s="147">
        <v>8</v>
      </c>
      <c r="C716" s="61">
        <v>61101</v>
      </c>
      <c r="D716" s="73" t="s">
        <v>144</v>
      </c>
      <c r="E716" s="74"/>
      <c r="F716" s="74"/>
      <c r="G716" s="140">
        <v>600</v>
      </c>
      <c r="H716" s="76">
        <f t="shared" si="31"/>
        <v>600</v>
      </c>
    </row>
    <row r="717" spans="1:16" ht="15" customHeight="1" x14ac:dyDescent="0.2">
      <c r="A717" s="249">
        <v>8</v>
      </c>
      <c r="B717" s="147">
        <v>8</v>
      </c>
      <c r="C717" s="61">
        <v>61102</v>
      </c>
      <c r="D717" s="154" t="s">
        <v>28</v>
      </c>
      <c r="E717" s="74"/>
      <c r="F717" s="74"/>
      <c r="G717" s="140">
        <v>1000</v>
      </c>
      <c r="H717" s="76">
        <f t="shared" si="31"/>
        <v>1000</v>
      </c>
    </row>
    <row r="718" spans="1:16" ht="15" customHeight="1" x14ac:dyDescent="0.2">
      <c r="A718" s="249">
        <v>8</v>
      </c>
      <c r="B718" s="147">
        <v>8</v>
      </c>
      <c r="C718" s="61">
        <v>61104</v>
      </c>
      <c r="D718" s="73" t="s">
        <v>46</v>
      </c>
      <c r="E718" s="74"/>
      <c r="F718" s="74"/>
      <c r="G718" s="140">
        <v>1000</v>
      </c>
      <c r="H718" s="76">
        <f t="shared" si="31"/>
        <v>1000</v>
      </c>
    </row>
    <row r="719" spans="1:16" ht="15" customHeight="1" x14ac:dyDescent="0.2">
      <c r="A719" s="249">
        <v>8</v>
      </c>
      <c r="B719" s="147">
        <v>8</v>
      </c>
      <c r="C719" s="61">
        <v>61199</v>
      </c>
      <c r="D719" s="73" t="s">
        <v>135</v>
      </c>
      <c r="E719" s="74"/>
      <c r="F719" s="74"/>
      <c r="G719" s="140">
        <v>1000</v>
      </c>
      <c r="H719" s="76">
        <f t="shared" si="31"/>
        <v>1000</v>
      </c>
    </row>
    <row r="720" spans="1:16" ht="15" customHeight="1" x14ac:dyDescent="0.2">
      <c r="A720" s="249">
        <v>8</v>
      </c>
      <c r="B720" s="147" t="s">
        <v>416</v>
      </c>
      <c r="C720" s="61"/>
      <c r="D720" s="61" t="s">
        <v>14</v>
      </c>
      <c r="E720" s="138">
        <f>SUM(E680:E718)</f>
        <v>0</v>
      </c>
      <c r="F720" s="138">
        <f>SUM(F680:F718)</f>
        <v>0</v>
      </c>
      <c r="G720" s="138">
        <f>SUM(G680:G719)</f>
        <v>48700.800000000003</v>
      </c>
      <c r="H720" s="83">
        <f t="shared" si="31"/>
        <v>48700.800000000003</v>
      </c>
      <c r="O720" s="258"/>
      <c r="P720" s="259"/>
    </row>
    <row r="721" spans="1:18" ht="15" customHeight="1" x14ac:dyDescent="0.2">
      <c r="A721" s="249" t="s">
        <v>387</v>
      </c>
      <c r="B721" s="147" t="s">
        <v>387</v>
      </c>
      <c r="C721" s="148"/>
      <c r="D721" s="267"/>
      <c r="E721" s="149"/>
      <c r="F721" s="149"/>
      <c r="G721" s="149"/>
      <c r="H721" s="149"/>
      <c r="O721" s="258"/>
      <c r="P721" s="259"/>
      <c r="Q721" s="147" t="s">
        <v>590</v>
      </c>
      <c r="R721" s="259">
        <f>+H720-P721</f>
        <v>48700.800000000003</v>
      </c>
    </row>
    <row r="722" spans="1:18" ht="15" customHeight="1" x14ac:dyDescent="0.2">
      <c r="A722" s="249" t="s">
        <v>387</v>
      </c>
      <c r="B722" s="147" t="s">
        <v>387</v>
      </c>
      <c r="C722" s="148"/>
      <c r="D722" s="267"/>
      <c r="E722" s="149"/>
      <c r="F722" s="149"/>
      <c r="G722" s="149"/>
      <c r="H722" s="149"/>
    </row>
    <row r="723" spans="1:18" ht="15" customHeight="1" x14ac:dyDescent="0.2">
      <c r="A723" s="249" t="s">
        <v>387</v>
      </c>
      <c r="B723" s="147" t="s">
        <v>387</v>
      </c>
      <c r="C723" s="427"/>
      <c r="D723" s="427"/>
      <c r="E723" s="427"/>
      <c r="F723" s="427"/>
      <c r="G723" s="427"/>
      <c r="H723" s="427"/>
      <c r="I723" s="427"/>
    </row>
    <row r="724" spans="1:18" ht="15" customHeight="1" x14ac:dyDescent="0.2">
      <c r="A724" s="249" t="s">
        <v>387</v>
      </c>
      <c r="B724" s="147" t="s">
        <v>387</v>
      </c>
      <c r="C724" s="427" t="s">
        <v>260</v>
      </c>
      <c r="D724" s="427"/>
      <c r="E724" s="427"/>
      <c r="F724" s="427"/>
      <c r="G724" s="427"/>
      <c r="H724" s="427"/>
      <c r="I724" s="427"/>
    </row>
    <row r="725" spans="1:18" ht="15" customHeight="1" x14ac:dyDescent="0.2">
      <c r="A725" s="249" t="s">
        <v>387</v>
      </c>
      <c r="B725" s="147" t="s">
        <v>387</v>
      </c>
      <c r="C725" s="427" t="str">
        <f>C3</f>
        <v xml:space="preserve"> PRESUPUESTO AÑO 2024</v>
      </c>
      <c r="D725" s="427"/>
      <c r="E725" s="427"/>
      <c r="F725" s="427"/>
      <c r="G725" s="427"/>
      <c r="H725" s="427"/>
      <c r="I725" s="427"/>
    </row>
    <row r="726" spans="1:18" ht="15" customHeight="1" x14ac:dyDescent="0.2">
      <c r="A726" s="249" t="s">
        <v>387</v>
      </c>
      <c r="B726" s="147" t="s">
        <v>387</v>
      </c>
      <c r="C726" s="427" t="str">
        <f>C4</f>
        <v>PRESUPUESTO EXTRA CONTABLE</v>
      </c>
      <c r="D726" s="427"/>
      <c r="E726" s="427"/>
      <c r="F726" s="427"/>
      <c r="G726" s="427"/>
      <c r="H726" s="427"/>
      <c r="I726" s="369"/>
    </row>
    <row r="727" spans="1:18" ht="15" customHeight="1" x14ac:dyDescent="0.2">
      <c r="A727" s="249" t="s">
        <v>387</v>
      </c>
      <c r="B727" s="147" t="s">
        <v>387</v>
      </c>
      <c r="C727" s="427" t="s">
        <v>317</v>
      </c>
      <c r="D727" s="427"/>
      <c r="E727" s="427"/>
      <c r="F727" s="427"/>
      <c r="G727" s="427"/>
      <c r="H727" s="427"/>
      <c r="I727" s="369"/>
    </row>
    <row r="728" spans="1:18" ht="15" customHeight="1" x14ac:dyDescent="0.2">
      <c r="A728" s="249" t="s">
        <v>387</v>
      </c>
      <c r="B728" s="147" t="s">
        <v>387</v>
      </c>
      <c r="C728" s="427" t="s">
        <v>704</v>
      </c>
      <c r="D728" s="427"/>
      <c r="E728" s="427"/>
      <c r="F728" s="427"/>
      <c r="G728" s="427"/>
      <c r="H728" s="427"/>
      <c r="I728" s="427"/>
    </row>
    <row r="729" spans="1:18" ht="15" customHeight="1" x14ac:dyDescent="0.2">
      <c r="A729" s="249" t="s">
        <v>387</v>
      </c>
      <c r="B729" s="147" t="s">
        <v>387</v>
      </c>
      <c r="C729" s="430" t="s">
        <v>1</v>
      </c>
      <c r="D729" s="430" t="s">
        <v>0</v>
      </c>
      <c r="E729" s="255" t="s">
        <v>56</v>
      </c>
      <c r="F729" s="255" t="str">
        <f>F7</f>
        <v>REFORMA</v>
      </c>
      <c r="G729" s="255" t="s">
        <v>56</v>
      </c>
      <c r="H729" s="432" t="str">
        <f>$H$7</f>
        <v>TOTAL 2024</v>
      </c>
      <c r="I729" s="277" t="s">
        <v>115</v>
      </c>
    </row>
    <row r="730" spans="1:18" ht="15" customHeight="1" x14ac:dyDescent="0.2">
      <c r="A730" s="249" t="s">
        <v>387</v>
      </c>
      <c r="B730" s="147" t="s">
        <v>387</v>
      </c>
      <c r="C730" s="431"/>
      <c r="D730" s="431"/>
      <c r="E730" s="255" t="s">
        <v>139</v>
      </c>
      <c r="F730" s="255"/>
      <c r="G730" s="255" t="s">
        <v>140</v>
      </c>
      <c r="H730" s="433"/>
      <c r="I730" s="152" t="s">
        <v>316</v>
      </c>
    </row>
    <row r="731" spans="1:18" ht="15" customHeight="1" x14ac:dyDescent="0.2">
      <c r="A731" s="249">
        <v>10</v>
      </c>
      <c r="B731" s="147">
        <v>10</v>
      </c>
      <c r="C731" s="61">
        <v>51101</v>
      </c>
      <c r="D731" s="73" t="s">
        <v>15</v>
      </c>
      <c r="E731" s="74"/>
      <c r="F731" s="74"/>
      <c r="G731" s="271">
        <v>16500</v>
      </c>
      <c r="H731" s="76">
        <f t="shared" ref="H731:H771" si="32">E731+F731+G731</f>
        <v>16500</v>
      </c>
      <c r="I731" s="76">
        <f t="shared" ref="I731:I736" si="33">+E731+G731+H731</f>
        <v>33000</v>
      </c>
    </row>
    <row r="732" spans="1:18" ht="15" customHeight="1" x14ac:dyDescent="0.2">
      <c r="A732" s="249">
        <v>10</v>
      </c>
      <c r="B732" s="147">
        <v>10</v>
      </c>
      <c r="C732" s="61">
        <v>51103</v>
      </c>
      <c r="D732" s="73" t="s">
        <v>16</v>
      </c>
      <c r="E732" s="76"/>
      <c r="F732" s="76"/>
      <c r="G732" s="272">
        <v>1375</v>
      </c>
      <c r="H732" s="76">
        <f t="shared" si="32"/>
        <v>1375</v>
      </c>
      <c r="I732" s="76">
        <f t="shared" si="33"/>
        <v>2750</v>
      </c>
      <c r="N732" s="259">
        <f>H731+H732</f>
        <v>17875</v>
      </c>
    </row>
    <row r="733" spans="1:18" ht="15" customHeight="1" x14ac:dyDescent="0.2">
      <c r="A733" s="249">
        <v>10</v>
      </c>
      <c r="B733" s="147">
        <v>10</v>
      </c>
      <c r="C733" s="61">
        <v>51107</v>
      </c>
      <c r="D733" s="73" t="s">
        <v>34</v>
      </c>
      <c r="E733" s="76"/>
      <c r="F733" s="76"/>
      <c r="G733" s="272">
        <v>400</v>
      </c>
      <c r="H733" s="76">
        <f t="shared" si="32"/>
        <v>400</v>
      </c>
      <c r="I733" s="76">
        <f t="shared" si="33"/>
        <v>800</v>
      </c>
      <c r="N733" s="259">
        <f>H732+H733</f>
        <v>1775</v>
      </c>
    </row>
    <row r="734" spans="1:18" ht="15" customHeight="1" x14ac:dyDescent="0.2">
      <c r="A734" s="249">
        <v>10</v>
      </c>
      <c r="B734" s="147">
        <v>10</v>
      </c>
      <c r="C734" s="61">
        <v>51401</v>
      </c>
      <c r="D734" s="62" t="s">
        <v>47</v>
      </c>
      <c r="E734" s="74"/>
      <c r="F734" s="74"/>
      <c r="G734" s="271">
        <v>1402.5</v>
      </c>
      <c r="H734" s="76">
        <f t="shared" si="32"/>
        <v>1402.5</v>
      </c>
      <c r="I734" s="76">
        <f t="shared" si="33"/>
        <v>2805</v>
      </c>
      <c r="N734" s="259">
        <f>H734</f>
        <v>1402.5</v>
      </c>
      <c r="O734" s="257"/>
    </row>
    <row r="735" spans="1:18" ht="15" customHeight="1" x14ac:dyDescent="0.2">
      <c r="A735" s="249">
        <v>10</v>
      </c>
      <c r="B735" s="147">
        <v>10</v>
      </c>
      <c r="C735" s="61">
        <v>51501</v>
      </c>
      <c r="D735" s="73" t="s">
        <v>29</v>
      </c>
      <c r="E735" s="74"/>
      <c r="F735" s="74"/>
      <c r="G735" s="271">
        <v>1443.75</v>
      </c>
      <c r="H735" s="76">
        <f t="shared" si="32"/>
        <v>1443.75</v>
      </c>
      <c r="I735" s="76">
        <f t="shared" si="33"/>
        <v>2887.5</v>
      </c>
      <c r="N735" s="259">
        <f>H735</f>
        <v>1443.75</v>
      </c>
    </row>
    <row r="736" spans="1:18" ht="15" customHeight="1" x14ac:dyDescent="0.2">
      <c r="A736" s="249">
        <v>10</v>
      </c>
      <c r="B736" s="147">
        <v>10</v>
      </c>
      <c r="C736" s="61">
        <v>54101</v>
      </c>
      <c r="D736" s="73" t="s">
        <v>38</v>
      </c>
      <c r="E736" s="74"/>
      <c r="F736" s="74"/>
      <c r="G736" s="74">
        <v>1000</v>
      </c>
      <c r="H736" s="76">
        <f t="shared" si="32"/>
        <v>1000</v>
      </c>
      <c r="I736" s="76">
        <f t="shared" si="33"/>
        <v>2000</v>
      </c>
    </row>
    <row r="737" spans="1:9" ht="15" customHeight="1" x14ac:dyDescent="0.2">
      <c r="A737" s="249">
        <v>10</v>
      </c>
      <c r="B737" s="147">
        <v>10</v>
      </c>
      <c r="C737" s="61">
        <v>54103</v>
      </c>
      <c r="D737" s="73" t="s">
        <v>41</v>
      </c>
      <c r="E737" s="74"/>
      <c r="F737" s="74"/>
      <c r="G737" s="74">
        <v>100</v>
      </c>
      <c r="H737" s="76">
        <f t="shared" si="32"/>
        <v>100</v>
      </c>
      <c r="I737" s="76"/>
    </row>
    <row r="738" spans="1:9" ht="15" customHeight="1" x14ac:dyDescent="0.2">
      <c r="A738" s="249">
        <v>10</v>
      </c>
      <c r="B738" s="147">
        <v>10</v>
      </c>
      <c r="C738" s="61">
        <v>54104</v>
      </c>
      <c r="D738" s="73" t="s">
        <v>17</v>
      </c>
      <c r="E738" s="74"/>
      <c r="F738" s="74"/>
      <c r="G738" s="74">
        <v>500</v>
      </c>
      <c r="H738" s="76">
        <f t="shared" si="32"/>
        <v>500</v>
      </c>
      <c r="I738" s="76">
        <f>+E738+G738+H738</f>
        <v>1000</v>
      </c>
    </row>
    <row r="739" spans="1:9" ht="15" customHeight="1" x14ac:dyDescent="0.2">
      <c r="A739" s="249">
        <v>10</v>
      </c>
      <c r="B739" s="147">
        <v>10</v>
      </c>
      <c r="C739" s="61">
        <v>54105</v>
      </c>
      <c r="D739" s="73" t="s">
        <v>3</v>
      </c>
      <c r="E739" s="74"/>
      <c r="F739" s="74"/>
      <c r="G739" s="74">
        <v>1000</v>
      </c>
      <c r="H739" s="76">
        <f t="shared" si="32"/>
        <v>1000</v>
      </c>
      <c r="I739" s="76">
        <f>+E739+G739+H739</f>
        <v>2000</v>
      </c>
    </row>
    <row r="740" spans="1:9" ht="15" customHeight="1" x14ac:dyDescent="0.2">
      <c r="A740" s="249">
        <v>10</v>
      </c>
      <c r="B740" s="147">
        <v>10</v>
      </c>
      <c r="C740" s="61">
        <v>54106</v>
      </c>
      <c r="D740" s="73" t="s">
        <v>18</v>
      </c>
      <c r="E740" s="74"/>
      <c r="F740" s="74"/>
      <c r="G740" s="74">
        <v>100</v>
      </c>
      <c r="H740" s="76">
        <f t="shared" si="32"/>
        <v>100</v>
      </c>
      <c r="I740" s="76"/>
    </row>
    <row r="741" spans="1:9" ht="15" customHeight="1" x14ac:dyDescent="0.2">
      <c r="A741" s="249">
        <v>10</v>
      </c>
      <c r="B741" s="147">
        <v>10</v>
      </c>
      <c r="C741" s="61">
        <v>54107</v>
      </c>
      <c r="D741" s="73" t="s">
        <v>43</v>
      </c>
      <c r="E741" s="74"/>
      <c r="F741" s="74"/>
      <c r="G741" s="74">
        <v>4000</v>
      </c>
      <c r="H741" s="76">
        <f t="shared" si="32"/>
        <v>4000</v>
      </c>
      <c r="I741" s="76">
        <f>+E741+G741+H741</f>
        <v>8000</v>
      </c>
    </row>
    <row r="742" spans="1:9" ht="15" customHeight="1" x14ac:dyDescent="0.2">
      <c r="A742" s="249">
        <v>10</v>
      </c>
      <c r="B742" s="147">
        <v>10</v>
      </c>
      <c r="C742" s="61">
        <v>54108</v>
      </c>
      <c r="D742" s="73" t="s">
        <v>524</v>
      </c>
      <c r="E742" s="74"/>
      <c r="F742" s="74"/>
      <c r="G742" s="74">
        <v>300</v>
      </c>
      <c r="H742" s="76">
        <f t="shared" si="32"/>
        <v>300</v>
      </c>
      <c r="I742" s="76"/>
    </row>
    <row r="743" spans="1:9" ht="15" customHeight="1" x14ac:dyDescent="0.2">
      <c r="A743" s="249">
        <v>10</v>
      </c>
      <c r="B743" s="147">
        <v>10</v>
      </c>
      <c r="C743" s="61">
        <v>54109</v>
      </c>
      <c r="D743" s="73" t="s">
        <v>146</v>
      </c>
      <c r="E743" s="74"/>
      <c r="F743" s="74"/>
      <c r="G743" s="74">
        <v>0</v>
      </c>
      <c r="H743" s="76">
        <f t="shared" si="32"/>
        <v>0</v>
      </c>
      <c r="I743" s="76"/>
    </row>
    <row r="744" spans="1:9" ht="15" customHeight="1" x14ac:dyDescent="0.2">
      <c r="A744" s="249">
        <v>10</v>
      </c>
      <c r="B744" s="147">
        <v>10</v>
      </c>
      <c r="C744" s="61">
        <v>54110</v>
      </c>
      <c r="D744" s="73" t="s">
        <v>20</v>
      </c>
      <c r="E744" s="74"/>
      <c r="F744" s="74"/>
      <c r="G744" s="74">
        <v>1000</v>
      </c>
      <c r="H744" s="76">
        <f t="shared" si="32"/>
        <v>1000</v>
      </c>
      <c r="I744" s="76">
        <f>+E744+G744+H744</f>
        <v>2000</v>
      </c>
    </row>
    <row r="745" spans="1:9" ht="15" customHeight="1" x14ac:dyDescent="0.2">
      <c r="A745" s="249">
        <v>10</v>
      </c>
      <c r="B745" s="147">
        <v>10</v>
      </c>
      <c r="C745" s="61">
        <v>54111</v>
      </c>
      <c r="D745" s="73" t="s">
        <v>162</v>
      </c>
      <c r="E745" s="74"/>
      <c r="F745" s="74"/>
      <c r="G745" s="74">
        <v>3000</v>
      </c>
      <c r="H745" s="76">
        <f t="shared" si="32"/>
        <v>3000</v>
      </c>
      <c r="I745" s="76"/>
    </row>
    <row r="746" spans="1:9" ht="15" customHeight="1" x14ac:dyDescent="0.2">
      <c r="A746" s="249">
        <v>10</v>
      </c>
      <c r="B746" s="147">
        <v>10</v>
      </c>
      <c r="C746" s="61">
        <v>54112</v>
      </c>
      <c r="D746" s="73" t="s">
        <v>42</v>
      </c>
      <c r="E746" s="74"/>
      <c r="F746" s="74"/>
      <c r="G746" s="74">
        <v>2000</v>
      </c>
      <c r="H746" s="76">
        <f t="shared" si="32"/>
        <v>2000</v>
      </c>
      <c r="I746" s="76"/>
    </row>
    <row r="747" spans="1:9" ht="15" customHeight="1" x14ac:dyDescent="0.2">
      <c r="A747" s="249">
        <v>10</v>
      </c>
      <c r="B747" s="147">
        <v>10</v>
      </c>
      <c r="C747" s="61">
        <v>54114</v>
      </c>
      <c r="D747" s="73" t="s">
        <v>5</v>
      </c>
      <c r="E747" s="74"/>
      <c r="F747" s="74"/>
      <c r="G747" s="74">
        <v>2000</v>
      </c>
      <c r="H747" s="76">
        <f t="shared" si="32"/>
        <v>2000</v>
      </c>
      <c r="I747" s="76">
        <f>+E747+G747+H747</f>
        <v>4000</v>
      </c>
    </row>
    <row r="748" spans="1:9" ht="15" customHeight="1" x14ac:dyDescent="0.2">
      <c r="A748" s="249">
        <v>10</v>
      </c>
      <c r="B748" s="147">
        <v>10</v>
      </c>
      <c r="C748" s="61">
        <v>54115</v>
      </c>
      <c r="D748" s="73" t="s">
        <v>49</v>
      </c>
      <c r="E748" s="74"/>
      <c r="F748" s="74"/>
      <c r="G748" s="74">
        <v>2000</v>
      </c>
      <c r="H748" s="76">
        <f t="shared" si="32"/>
        <v>2000</v>
      </c>
      <c r="I748" s="76">
        <f>+E748+G748+H748</f>
        <v>4000</v>
      </c>
    </row>
    <row r="749" spans="1:9" ht="15" customHeight="1" x14ac:dyDescent="0.2">
      <c r="A749" s="249">
        <v>10</v>
      </c>
      <c r="B749" s="147">
        <v>10</v>
      </c>
      <c r="C749" s="61">
        <v>54116</v>
      </c>
      <c r="D749" s="62" t="s">
        <v>167</v>
      </c>
      <c r="E749" s="74"/>
      <c r="F749" s="74"/>
      <c r="G749" s="74">
        <v>500</v>
      </c>
      <c r="H749" s="76">
        <f t="shared" si="32"/>
        <v>500</v>
      </c>
      <c r="I749" s="76">
        <f>+E749+G749+H749</f>
        <v>1000</v>
      </c>
    </row>
    <row r="750" spans="1:9" ht="15" customHeight="1" x14ac:dyDescent="0.2">
      <c r="A750" s="249">
        <v>10</v>
      </c>
      <c r="B750" s="147">
        <v>10</v>
      </c>
      <c r="C750" s="61">
        <v>54118</v>
      </c>
      <c r="D750" s="62" t="s">
        <v>35</v>
      </c>
      <c r="E750" s="74"/>
      <c r="F750" s="74"/>
      <c r="G750" s="76">
        <v>2000</v>
      </c>
      <c r="H750" s="76">
        <f t="shared" si="32"/>
        <v>2000</v>
      </c>
      <c r="I750" s="76">
        <f>+E750+G750+H750</f>
        <v>4000</v>
      </c>
    </row>
    <row r="751" spans="1:9" ht="15" customHeight="1" x14ac:dyDescent="0.2">
      <c r="A751" s="249">
        <v>10</v>
      </c>
      <c r="B751" s="147">
        <v>10</v>
      </c>
      <c r="C751" s="61">
        <v>54119</v>
      </c>
      <c r="D751" s="62" t="s">
        <v>44</v>
      </c>
      <c r="E751" s="74"/>
      <c r="F751" s="74"/>
      <c r="G751" s="76">
        <v>100</v>
      </c>
      <c r="H751" s="76">
        <f t="shared" si="32"/>
        <v>100</v>
      </c>
      <c r="I751" s="76"/>
    </row>
    <row r="752" spans="1:9" ht="15" customHeight="1" x14ac:dyDescent="0.2">
      <c r="A752" s="249">
        <v>10</v>
      </c>
      <c r="B752" s="147">
        <v>10</v>
      </c>
      <c r="C752" s="61">
        <v>54199</v>
      </c>
      <c r="D752" s="62" t="s">
        <v>26</v>
      </c>
      <c r="E752" s="74"/>
      <c r="F752" s="74"/>
      <c r="G752" s="76">
        <v>1000</v>
      </c>
      <c r="H752" s="76">
        <f t="shared" si="32"/>
        <v>1000</v>
      </c>
      <c r="I752" s="76"/>
    </row>
    <row r="753" spans="1:9" ht="15" customHeight="1" x14ac:dyDescent="0.2">
      <c r="A753" s="249">
        <v>10</v>
      </c>
      <c r="B753" s="147">
        <v>10</v>
      </c>
      <c r="C753" s="61">
        <v>54201</v>
      </c>
      <c r="D753" s="62" t="s">
        <v>187</v>
      </c>
      <c r="E753" s="74"/>
      <c r="F753" s="74"/>
      <c r="G753" s="76">
        <v>0</v>
      </c>
      <c r="H753" s="76">
        <f t="shared" si="32"/>
        <v>0</v>
      </c>
      <c r="I753" s="76"/>
    </row>
    <row r="754" spans="1:9" ht="15" customHeight="1" x14ac:dyDescent="0.2">
      <c r="A754" s="249">
        <v>10</v>
      </c>
      <c r="B754" s="147">
        <v>10</v>
      </c>
      <c r="C754" s="61">
        <v>54202</v>
      </c>
      <c r="D754" s="73" t="s">
        <v>27</v>
      </c>
      <c r="E754" s="74"/>
      <c r="F754" s="74"/>
      <c r="G754" s="76">
        <v>0</v>
      </c>
      <c r="H754" s="76">
        <f t="shared" si="32"/>
        <v>0</v>
      </c>
      <c r="I754" s="76"/>
    </row>
    <row r="755" spans="1:9" ht="15" customHeight="1" x14ac:dyDescent="0.2">
      <c r="A755" s="249">
        <v>10</v>
      </c>
      <c r="B755" s="147">
        <v>10</v>
      </c>
      <c r="C755" s="61">
        <v>54203</v>
      </c>
      <c r="D755" s="62" t="s">
        <v>538</v>
      </c>
      <c r="E755" s="74"/>
      <c r="F755" s="74"/>
      <c r="G755" s="76">
        <v>0</v>
      </c>
      <c r="H755" s="76">
        <f t="shared" si="32"/>
        <v>0</v>
      </c>
      <c r="I755" s="76"/>
    </row>
    <row r="756" spans="1:9" ht="15" customHeight="1" x14ac:dyDescent="0.2">
      <c r="A756" s="249">
        <v>10</v>
      </c>
      <c r="B756" s="147">
        <v>10</v>
      </c>
      <c r="C756" s="61">
        <v>54205</v>
      </c>
      <c r="D756" s="62" t="s">
        <v>539</v>
      </c>
      <c r="E756" s="74"/>
      <c r="F756" s="74"/>
      <c r="G756" s="76">
        <v>0</v>
      </c>
      <c r="H756" s="76">
        <f t="shared" si="32"/>
        <v>0</v>
      </c>
      <c r="I756" s="76"/>
    </row>
    <row r="757" spans="1:9" ht="15" customHeight="1" x14ac:dyDescent="0.2">
      <c r="A757" s="249">
        <v>10</v>
      </c>
      <c r="B757" s="147">
        <v>10</v>
      </c>
      <c r="C757" s="61">
        <v>54301</v>
      </c>
      <c r="D757" s="73" t="s">
        <v>158</v>
      </c>
      <c r="E757" s="74"/>
      <c r="F757" s="74"/>
      <c r="G757" s="76">
        <v>2000</v>
      </c>
      <c r="H757" s="76">
        <f t="shared" si="32"/>
        <v>2000</v>
      </c>
      <c r="I757" s="76">
        <f>+E757+G757+H757</f>
        <v>4000</v>
      </c>
    </row>
    <row r="758" spans="1:9" ht="15" customHeight="1" x14ac:dyDescent="0.2">
      <c r="A758" s="249">
        <v>10</v>
      </c>
      <c r="B758" s="147">
        <v>10</v>
      </c>
      <c r="C758" s="61">
        <v>54302</v>
      </c>
      <c r="D758" s="62" t="s">
        <v>22</v>
      </c>
      <c r="E758" s="74"/>
      <c r="F758" s="74"/>
      <c r="G758" s="76">
        <v>1000</v>
      </c>
      <c r="H758" s="76">
        <f t="shared" si="32"/>
        <v>1000</v>
      </c>
      <c r="I758" s="76">
        <f>+E758+G758+H758</f>
        <v>2000</v>
      </c>
    </row>
    <row r="759" spans="1:9" ht="15" customHeight="1" x14ac:dyDescent="0.2">
      <c r="A759" s="249">
        <v>10</v>
      </c>
      <c r="B759" s="147">
        <v>10</v>
      </c>
      <c r="C759" s="61">
        <v>54303</v>
      </c>
      <c r="D759" s="62" t="s">
        <v>183</v>
      </c>
      <c r="E759" s="74"/>
      <c r="F759" s="74"/>
      <c r="G759" s="76">
        <v>300</v>
      </c>
      <c r="H759" s="76">
        <f t="shared" si="32"/>
        <v>300</v>
      </c>
      <c r="I759" s="76"/>
    </row>
    <row r="760" spans="1:9" ht="15" customHeight="1" x14ac:dyDescent="0.2">
      <c r="A760" s="249">
        <v>10</v>
      </c>
      <c r="B760" s="147">
        <v>10</v>
      </c>
      <c r="C760" s="61">
        <v>54304</v>
      </c>
      <c r="D760" s="62" t="s">
        <v>540</v>
      </c>
      <c r="E760" s="74"/>
      <c r="F760" s="74"/>
      <c r="G760" s="76">
        <v>500</v>
      </c>
      <c r="H760" s="76">
        <f t="shared" si="32"/>
        <v>500</v>
      </c>
      <c r="I760" s="76"/>
    </row>
    <row r="761" spans="1:9" ht="15" customHeight="1" x14ac:dyDescent="0.2">
      <c r="A761" s="249">
        <v>10</v>
      </c>
      <c r="B761" s="147">
        <v>10</v>
      </c>
      <c r="C761" s="61">
        <v>54305</v>
      </c>
      <c r="D761" s="62" t="s">
        <v>541</v>
      </c>
      <c r="E761" s="74"/>
      <c r="F761" s="74"/>
      <c r="G761" s="76">
        <v>1000</v>
      </c>
      <c r="H761" s="76">
        <f t="shared" si="32"/>
        <v>1000</v>
      </c>
      <c r="I761" s="76"/>
    </row>
    <row r="762" spans="1:9" ht="15" customHeight="1" x14ac:dyDescent="0.2">
      <c r="A762" s="249">
        <v>10</v>
      </c>
      <c r="B762" s="147">
        <v>10</v>
      </c>
      <c r="C762" s="61">
        <v>54307</v>
      </c>
      <c r="D762" s="62" t="s">
        <v>10</v>
      </c>
      <c r="E762" s="74"/>
      <c r="F762" s="74"/>
      <c r="G762" s="76">
        <v>0</v>
      </c>
      <c r="H762" s="76">
        <f t="shared" si="32"/>
        <v>0</v>
      </c>
      <c r="I762" s="76"/>
    </row>
    <row r="763" spans="1:9" ht="15" customHeight="1" x14ac:dyDescent="0.2">
      <c r="A763" s="249">
        <v>10</v>
      </c>
      <c r="B763" s="147">
        <v>10</v>
      </c>
      <c r="C763" s="61">
        <v>54313</v>
      </c>
      <c r="D763" s="62" t="s">
        <v>11</v>
      </c>
      <c r="E763" s="74"/>
      <c r="F763" s="74"/>
      <c r="G763" s="76">
        <v>800</v>
      </c>
      <c r="H763" s="76">
        <f t="shared" si="32"/>
        <v>800</v>
      </c>
      <c r="I763" s="76"/>
    </row>
    <row r="764" spans="1:9" ht="15" customHeight="1" x14ac:dyDescent="0.2">
      <c r="A764" s="249">
        <v>10</v>
      </c>
      <c r="B764" s="147">
        <v>10</v>
      </c>
      <c r="C764" s="61">
        <v>54316</v>
      </c>
      <c r="D764" s="62" t="s">
        <v>45</v>
      </c>
      <c r="E764" s="74"/>
      <c r="F764" s="74"/>
      <c r="G764" s="76">
        <v>1000</v>
      </c>
      <c r="H764" s="76">
        <f t="shared" si="32"/>
        <v>1000</v>
      </c>
      <c r="I764" s="76"/>
    </row>
    <row r="765" spans="1:9" ht="15" customHeight="1" x14ac:dyDescent="0.2">
      <c r="A765" s="249">
        <v>10</v>
      </c>
      <c r="B765" s="147">
        <v>10</v>
      </c>
      <c r="C765" s="61">
        <v>54399</v>
      </c>
      <c r="D765" s="62" t="s">
        <v>526</v>
      </c>
      <c r="E765" s="74"/>
      <c r="F765" s="74"/>
      <c r="G765" s="76">
        <v>1000</v>
      </c>
      <c r="H765" s="76">
        <f t="shared" si="32"/>
        <v>1000</v>
      </c>
      <c r="I765" s="76"/>
    </row>
    <row r="766" spans="1:9" ht="15" customHeight="1" x14ac:dyDescent="0.2">
      <c r="A766" s="249">
        <v>10</v>
      </c>
      <c r="B766" s="147">
        <v>10</v>
      </c>
      <c r="C766" s="61">
        <v>54602</v>
      </c>
      <c r="D766" s="62" t="s">
        <v>543</v>
      </c>
      <c r="E766" s="74"/>
      <c r="F766" s="74"/>
      <c r="G766" s="76">
        <v>0</v>
      </c>
      <c r="H766" s="76">
        <f t="shared" si="32"/>
        <v>0</v>
      </c>
      <c r="I766" s="76"/>
    </row>
    <row r="767" spans="1:9" ht="15" customHeight="1" x14ac:dyDescent="0.2">
      <c r="A767" s="249">
        <v>10</v>
      </c>
      <c r="B767" s="147">
        <v>10</v>
      </c>
      <c r="C767" s="275">
        <v>61101</v>
      </c>
      <c r="D767" s="278" t="s">
        <v>144</v>
      </c>
      <c r="E767" s="74"/>
      <c r="F767" s="74"/>
      <c r="G767" s="76">
        <v>2000</v>
      </c>
      <c r="H767" s="76">
        <f t="shared" si="32"/>
        <v>2000</v>
      </c>
      <c r="I767" s="76"/>
    </row>
    <row r="768" spans="1:9" ht="15" customHeight="1" x14ac:dyDescent="0.2">
      <c r="A768" s="249">
        <v>10</v>
      </c>
      <c r="B768" s="147">
        <v>10</v>
      </c>
      <c r="C768" s="275">
        <v>61102</v>
      </c>
      <c r="D768" s="62" t="s">
        <v>28</v>
      </c>
      <c r="E768" s="74"/>
      <c r="F768" s="74"/>
      <c r="G768" s="76">
        <v>7000</v>
      </c>
      <c r="H768" s="76">
        <f t="shared" si="32"/>
        <v>7000</v>
      </c>
      <c r="I768" s="76"/>
    </row>
    <row r="769" spans="1:18" ht="15" customHeight="1" x14ac:dyDescent="0.2">
      <c r="A769" s="249">
        <v>10</v>
      </c>
      <c r="B769" s="147">
        <v>10</v>
      </c>
      <c r="C769" s="275">
        <v>61104</v>
      </c>
      <c r="D769" s="278" t="s">
        <v>46</v>
      </c>
      <c r="E769" s="74"/>
      <c r="F769" s="74"/>
      <c r="G769" s="76">
        <v>2000</v>
      </c>
      <c r="H769" s="76">
        <f t="shared" si="32"/>
        <v>2000</v>
      </c>
      <c r="I769" s="76"/>
    </row>
    <row r="770" spans="1:18" ht="15" customHeight="1" x14ac:dyDescent="0.2">
      <c r="A770" s="249">
        <v>10</v>
      </c>
      <c r="B770" s="147">
        <v>10</v>
      </c>
      <c r="C770" s="275">
        <v>61105</v>
      </c>
      <c r="D770" s="278" t="s">
        <v>544</v>
      </c>
      <c r="E770" s="74"/>
      <c r="F770" s="74"/>
      <c r="G770" s="76">
        <v>0</v>
      </c>
      <c r="H770" s="76">
        <f t="shared" si="32"/>
        <v>0</v>
      </c>
      <c r="I770" s="76"/>
    </row>
    <row r="771" spans="1:18" ht="15" customHeight="1" x14ac:dyDescent="0.2">
      <c r="A771" s="249">
        <v>10</v>
      </c>
      <c r="B771" s="147">
        <v>10</v>
      </c>
      <c r="C771" s="275">
        <v>61108</v>
      </c>
      <c r="D771" s="276" t="s">
        <v>545</v>
      </c>
      <c r="E771" s="74"/>
      <c r="F771" s="74"/>
      <c r="G771" s="74">
        <v>2000</v>
      </c>
      <c r="H771" s="76">
        <f t="shared" si="32"/>
        <v>2000</v>
      </c>
      <c r="I771" s="76">
        <f>+E771+G771+H771</f>
        <v>4000</v>
      </c>
      <c r="N771" s="259">
        <f>H771</f>
        <v>2000</v>
      </c>
    </row>
    <row r="772" spans="1:18" ht="15" customHeight="1" x14ac:dyDescent="0.2">
      <c r="A772" s="249">
        <v>10</v>
      </c>
      <c r="B772" s="147" t="s">
        <v>396</v>
      </c>
      <c r="C772" s="61"/>
      <c r="D772" s="61" t="s">
        <v>14</v>
      </c>
      <c r="E772" s="138">
        <f>SUM(E730:E771)</f>
        <v>0</v>
      </c>
      <c r="F772" s="138">
        <f>SUM(F730:F771)</f>
        <v>0</v>
      </c>
      <c r="G772" s="138">
        <f>SUM(G731:G771)</f>
        <v>62321.25</v>
      </c>
      <c r="H772" s="83">
        <f>E772+F772+G772</f>
        <v>62321.25</v>
      </c>
      <c r="I772" s="74">
        <f>SUM(I731:I771)</f>
        <v>80242.5</v>
      </c>
      <c r="O772" s="258"/>
      <c r="P772" s="259"/>
    </row>
    <row r="773" spans="1:18" ht="15" customHeight="1" x14ac:dyDescent="0.2">
      <c r="A773" s="249" t="s">
        <v>387</v>
      </c>
      <c r="B773" s="147" t="s">
        <v>387</v>
      </c>
      <c r="C773" s="148"/>
      <c r="D773" s="148"/>
      <c r="E773" s="260"/>
      <c r="F773" s="260"/>
      <c r="G773" s="261"/>
      <c r="H773" s="261"/>
      <c r="O773" s="258"/>
      <c r="P773" s="259"/>
      <c r="Q773" s="147" t="s">
        <v>589</v>
      </c>
      <c r="R773" s="259">
        <f>+H772-P773</f>
        <v>62321.25</v>
      </c>
    </row>
    <row r="774" spans="1:18" ht="15" customHeight="1" x14ac:dyDescent="0.2">
      <c r="A774" s="249" t="s">
        <v>387</v>
      </c>
      <c r="B774" s="147" t="s">
        <v>387</v>
      </c>
      <c r="C774" s="148"/>
      <c r="D774" s="148"/>
      <c r="E774" s="260"/>
      <c r="F774" s="260"/>
      <c r="G774" s="261"/>
      <c r="H774" s="261"/>
    </row>
    <row r="775" spans="1:18" ht="15" customHeight="1" x14ac:dyDescent="0.2">
      <c r="A775" s="249" t="s">
        <v>387</v>
      </c>
      <c r="B775" s="147" t="s">
        <v>387</v>
      </c>
      <c r="C775" s="148"/>
      <c r="D775" s="148"/>
      <c r="E775" s="260"/>
      <c r="F775" s="260"/>
      <c r="G775" s="261"/>
      <c r="H775" s="261"/>
    </row>
    <row r="776" spans="1:18" ht="15" customHeight="1" x14ac:dyDescent="0.2">
      <c r="A776" s="249" t="s">
        <v>387</v>
      </c>
      <c r="B776" s="147" t="s">
        <v>387</v>
      </c>
      <c r="C776" s="368"/>
      <c r="D776" s="368"/>
      <c r="E776" s="367"/>
      <c r="F776" s="367"/>
      <c r="G776" s="366"/>
      <c r="H776" s="366"/>
    </row>
    <row r="777" spans="1:18" ht="15" customHeight="1" x14ac:dyDescent="0.2">
      <c r="A777" s="249" t="s">
        <v>387</v>
      </c>
      <c r="B777" s="147" t="s">
        <v>387</v>
      </c>
      <c r="C777" s="427" t="s">
        <v>119</v>
      </c>
      <c r="D777" s="427"/>
      <c r="E777" s="427"/>
      <c r="F777" s="427"/>
      <c r="G777" s="427"/>
      <c r="H777" s="427"/>
    </row>
    <row r="778" spans="1:18" ht="15" customHeight="1" x14ac:dyDescent="0.2">
      <c r="A778" s="249" t="s">
        <v>387</v>
      </c>
      <c r="B778" s="147" t="s">
        <v>387</v>
      </c>
      <c r="C778" s="428" t="str">
        <f>C3</f>
        <v xml:space="preserve"> PRESUPUESTO AÑO 2024</v>
      </c>
      <c r="D778" s="428"/>
      <c r="E778" s="428"/>
      <c r="F778" s="428"/>
      <c r="G778" s="428"/>
      <c r="H778" s="428"/>
    </row>
    <row r="779" spans="1:18" ht="15" customHeight="1" x14ac:dyDescent="0.2">
      <c r="A779" s="249" t="s">
        <v>387</v>
      </c>
      <c r="B779" s="147" t="s">
        <v>387</v>
      </c>
      <c r="C779" s="428" t="str">
        <f>C4</f>
        <v>PRESUPUESTO EXTRA CONTABLE</v>
      </c>
      <c r="D779" s="428"/>
      <c r="E779" s="428"/>
      <c r="F779" s="428"/>
      <c r="G779" s="428"/>
      <c r="H779" s="428"/>
    </row>
    <row r="780" spans="1:18" ht="15" customHeight="1" x14ac:dyDescent="0.2">
      <c r="A780" s="249" t="s">
        <v>387</v>
      </c>
      <c r="B780" s="147" t="s">
        <v>387</v>
      </c>
      <c r="C780" s="427" t="s">
        <v>117</v>
      </c>
      <c r="D780" s="427"/>
      <c r="E780" s="427"/>
      <c r="F780" s="427"/>
      <c r="G780" s="427"/>
      <c r="H780" s="427"/>
    </row>
    <row r="781" spans="1:18" ht="15" customHeight="1" x14ac:dyDescent="0.2">
      <c r="A781" s="249" t="s">
        <v>387</v>
      </c>
      <c r="B781" s="147" t="s">
        <v>387</v>
      </c>
      <c r="C781" s="427" t="s">
        <v>375</v>
      </c>
      <c r="D781" s="427"/>
      <c r="E781" s="427"/>
      <c r="F781" s="427"/>
      <c r="G781" s="427"/>
      <c r="H781" s="427"/>
    </row>
    <row r="782" spans="1:18" ht="15" customHeight="1" x14ac:dyDescent="0.2">
      <c r="A782" s="249" t="s">
        <v>387</v>
      </c>
      <c r="B782" s="147" t="s">
        <v>387</v>
      </c>
      <c r="C782" s="435" t="s">
        <v>1</v>
      </c>
      <c r="D782" s="430" t="s">
        <v>0</v>
      </c>
      <c r="E782" s="255" t="s">
        <v>56</v>
      </c>
      <c r="F782" s="255" t="str">
        <f>F7</f>
        <v>REFORMA</v>
      </c>
      <c r="G782" s="255" t="s">
        <v>56</v>
      </c>
      <c r="H782" s="432" t="str">
        <f>$H$7</f>
        <v>TOTAL 2024</v>
      </c>
      <c r="I782" s="153" t="s">
        <v>285</v>
      </c>
      <c r="J782" s="153"/>
      <c r="K782" s="153"/>
      <c r="L782" s="153"/>
      <c r="M782" s="153"/>
    </row>
    <row r="783" spans="1:18" ht="15" customHeight="1" x14ac:dyDescent="0.2">
      <c r="A783" s="249" t="s">
        <v>387</v>
      </c>
      <c r="B783" s="147" t="s">
        <v>387</v>
      </c>
      <c r="C783" s="436"/>
      <c r="D783" s="431"/>
      <c r="E783" s="255" t="s">
        <v>139</v>
      </c>
      <c r="F783" s="255"/>
      <c r="G783" s="255" t="s">
        <v>140</v>
      </c>
      <c r="H783" s="433"/>
      <c r="I783" s="153" t="s">
        <v>286</v>
      </c>
      <c r="J783" s="153" t="s">
        <v>290</v>
      </c>
      <c r="K783" s="153" t="s">
        <v>291</v>
      </c>
      <c r="L783" s="153" t="s">
        <v>293</v>
      </c>
      <c r="M783" s="153" t="s">
        <v>292</v>
      </c>
      <c r="N783" s="269" t="s">
        <v>295</v>
      </c>
    </row>
    <row r="784" spans="1:18" ht="15" customHeight="1" x14ac:dyDescent="0.2">
      <c r="A784" s="249">
        <v>12</v>
      </c>
      <c r="B784" s="147">
        <v>12</v>
      </c>
      <c r="C784" s="61">
        <v>51101</v>
      </c>
      <c r="D784" s="73" t="s">
        <v>15</v>
      </c>
      <c r="E784" s="74"/>
      <c r="F784" s="74"/>
      <c r="G784" s="272">
        <v>24288</v>
      </c>
      <c r="H784" s="76">
        <f t="shared" ref="H784:H812" si="34">E784+F784+G784</f>
        <v>24288</v>
      </c>
      <c r="I784" s="73"/>
      <c r="J784" s="73"/>
      <c r="K784" s="256"/>
      <c r="L784" s="256"/>
      <c r="M784" s="256"/>
    </row>
    <row r="785" spans="1:15" ht="15" customHeight="1" x14ac:dyDescent="0.2">
      <c r="A785" s="249">
        <v>12</v>
      </c>
      <c r="B785" s="147">
        <v>12</v>
      </c>
      <c r="C785" s="61">
        <v>51103</v>
      </c>
      <c r="D785" s="73" t="s">
        <v>16</v>
      </c>
      <c r="E785" s="76"/>
      <c r="F785" s="76"/>
      <c r="G785" s="272">
        <v>2024</v>
      </c>
      <c r="H785" s="76">
        <f t="shared" si="34"/>
        <v>2024</v>
      </c>
      <c r="I785" s="73"/>
      <c r="J785" s="73"/>
      <c r="K785" s="256"/>
      <c r="L785" s="256"/>
      <c r="M785" s="256"/>
      <c r="N785" s="259">
        <f>H784+H785</f>
        <v>26312</v>
      </c>
    </row>
    <row r="786" spans="1:15" ht="15" customHeight="1" x14ac:dyDescent="0.2">
      <c r="A786" s="249">
        <v>12</v>
      </c>
      <c r="B786" s="147">
        <v>12</v>
      </c>
      <c r="C786" s="61">
        <v>51107</v>
      </c>
      <c r="D786" s="73" t="s">
        <v>34</v>
      </c>
      <c r="E786" s="76"/>
      <c r="F786" s="76"/>
      <c r="G786" s="272">
        <v>600</v>
      </c>
      <c r="H786" s="76">
        <f t="shared" si="34"/>
        <v>600</v>
      </c>
      <c r="I786" s="73"/>
      <c r="J786" s="73"/>
      <c r="K786" s="256"/>
      <c r="L786" s="256"/>
      <c r="M786" s="256"/>
      <c r="N786" s="259"/>
    </row>
    <row r="787" spans="1:15" ht="15" customHeight="1" x14ac:dyDescent="0.2">
      <c r="A787" s="249">
        <v>12</v>
      </c>
      <c r="B787" s="147">
        <v>12</v>
      </c>
      <c r="C787" s="61">
        <v>51201</v>
      </c>
      <c r="D787" s="73" t="s">
        <v>458</v>
      </c>
      <c r="E787" s="76"/>
      <c r="F787" s="76"/>
      <c r="G787" s="272">
        <v>0</v>
      </c>
      <c r="H787" s="76">
        <f t="shared" si="34"/>
        <v>0</v>
      </c>
      <c r="I787" s="73"/>
      <c r="J787" s="73"/>
      <c r="K787" s="256"/>
      <c r="L787" s="256"/>
      <c r="M787" s="256"/>
      <c r="N787" s="259"/>
    </row>
    <row r="788" spans="1:15" ht="15" customHeight="1" x14ac:dyDescent="0.2">
      <c r="A788" s="249">
        <v>12</v>
      </c>
      <c r="B788" s="147">
        <v>12</v>
      </c>
      <c r="C788" s="61">
        <v>51401</v>
      </c>
      <c r="D788" s="62" t="s">
        <v>47</v>
      </c>
      <c r="E788" s="74"/>
      <c r="F788" s="74"/>
      <c r="G788" s="272">
        <v>2064.48</v>
      </c>
      <c r="H788" s="76">
        <f t="shared" si="34"/>
        <v>2064.48</v>
      </c>
      <c r="I788" s="73"/>
      <c r="J788" s="73"/>
      <c r="K788" s="256"/>
      <c r="L788" s="256"/>
      <c r="M788" s="256"/>
      <c r="N788" s="259">
        <f>H788</f>
        <v>2064.48</v>
      </c>
      <c r="O788" s="257"/>
    </row>
    <row r="789" spans="1:15" ht="15" customHeight="1" x14ac:dyDescent="0.2">
      <c r="A789" s="249">
        <v>12</v>
      </c>
      <c r="B789" s="147">
        <v>12</v>
      </c>
      <c r="C789" s="61">
        <v>51501</v>
      </c>
      <c r="D789" s="73" t="s">
        <v>29</v>
      </c>
      <c r="E789" s="74"/>
      <c r="F789" s="74"/>
      <c r="G789" s="272">
        <v>2125.1999999999998</v>
      </c>
      <c r="H789" s="76">
        <f t="shared" si="34"/>
        <v>2125.1999999999998</v>
      </c>
      <c r="I789" s="73"/>
      <c r="J789" s="73"/>
      <c r="K789" s="256"/>
      <c r="L789" s="256"/>
      <c r="M789" s="256"/>
      <c r="N789" s="259">
        <f>H789</f>
        <v>2125.1999999999998</v>
      </c>
    </row>
    <row r="790" spans="1:15" ht="15" customHeight="1" x14ac:dyDescent="0.2">
      <c r="A790" s="249">
        <v>12</v>
      </c>
      <c r="B790" s="147">
        <v>12</v>
      </c>
      <c r="C790" s="61">
        <v>54104</v>
      </c>
      <c r="D790" s="62" t="s">
        <v>17</v>
      </c>
      <c r="E790" s="74"/>
      <c r="F790" s="74"/>
      <c r="G790" s="76">
        <v>300</v>
      </c>
      <c r="H790" s="76">
        <f t="shared" si="34"/>
        <v>300</v>
      </c>
      <c r="I790" s="73"/>
      <c r="J790" s="73"/>
      <c r="K790" s="256"/>
      <c r="L790" s="256"/>
      <c r="M790" s="256"/>
    </row>
    <row r="791" spans="1:15" ht="15" customHeight="1" x14ac:dyDescent="0.2">
      <c r="A791" s="249">
        <v>12</v>
      </c>
      <c r="B791" s="147">
        <v>12</v>
      </c>
      <c r="C791" s="61">
        <v>54105</v>
      </c>
      <c r="D791" s="73" t="s">
        <v>3</v>
      </c>
      <c r="E791" s="74"/>
      <c r="F791" s="74"/>
      <c r="G791" s="76">
        <v>0</v>
      </c>
      <c r="H791" s="76">
        <f t="shared" si="34"/>
        <v>0</v>
      </c>
      <c r="I791" s="73"/>
      <c r="J791" s="73"/>
      <c r="K791" s="256"/>
      <c r="L791" s="256"/>
      <c r="M791" s="256"/>
    </row>
    <row r="792" spans="1:15" ht="15" customHeight="1" x14ac:dyDescent="0.2">
      <c r="A792" s="249">
        <v>12</v>
      </c>
      <c r="B792" s="147">
        <v>12</v>
      </c>
      <c r="C792" s="61">
        <v>54106</v>
      </c>
      <c r="D792" s="73" t="s">
        <v>18</v>
      </c>
      <c r="E792" s="74"/>
      <c r="F792" s="74"/>
      <c r="G792" s="76">
        <v>200</v>
      </c>
      <c r="H792" s="76">
        <f t="shared" si="34"/>
        <v>200</v>
      </c>
      <c r="I792" s="73"/>
      <c r="J792" s="73"/>
      <c r="K792" s="256"/>
      <c r="L792" s="256"/>
      <c r="M792" s="256"/>
    </row>
    <row r="793" spans="1:15" ht="15" customHeight="1" x14ac:dyDescent="0.2">
      <c r="A793" s="249">
        <v>12</v>
      </c>
      <c r="B793" s="147">
        <v>12</v>
      </c>
      <c r="C793" s="61">
        <v>54107</v>
      </c>
      <c r="D793" s="73" t="s">
        <v>507</v>
      </c>
      <c r="E793" s="74"/>
      <c r="F793" s="74"/>
      <c r="G793" s="76">
        <v>300</v>
      </c>
      <c r="H793" s="76">
        <f t="shared" si="34"/>
        <v>300</v>
      </c>
      <c r="I793" s="73"/>
      <c r="J793" s="73"/>
      <c r="K793" s="256"/>
      <c r="L793" s="256"/>
      <c r="M793" s="256"/>
    </row>
    <row r="794" spans="1:15" ht="15" customHeight="1" x14ac:dyDescent="0.2">
      <c r="A794" s="249">
        <v>12</v>
      </c>
      <c r="B794" s="147">
        <v>12</v>
      </c>
      <c r="C794" s="61">
        <v>54109</v>
      </c>
      <c r="D794" s="73" t="s">
        <v>508</v>
      </c>
      <c r="E794" s="74"/>
      <c r="F794" s="74"/>
      <c r="G794" s="76">
        <v>0</v>
      </c>
      <c r="H794" s="76">
        <f t="shared" si="34"/>
        <v>0</v>
      </c>
      <c r="I794" s="73"/>
      <c r="J794" s="73"/>
      <c r="K794" s="256"/>
      <c r="L794" s="256"/>
      <c r="M794" s="256"/>
    </row>
    <row r="795" spans="1:15" ht="15" customHeight="1" x14ac:dyDescent="0.2">
      <c r="A795" s="249">
        <v>12</v>
      </c>
      <c r="B795" s="147">
        <v>12</v>
      </c>
      <c r="C795" s="61">
        <v>54110</v>
      </c>
      <c r="D795" s="73" t="s">
        <v>509</v>
      </c>
      <c r="E795" s="74"/>
      <c r="F795" s="74"/>
      <c r="G795" s="76">
        <v>0</v>
      </c>
      <c r="H795" s="76">
        <f t="shared" si="34"/>
        <v>0</v>
      </c>
      <c r="I795" s="73"/>
      <c r="J795" s="73"/>
      <c r="K795" s="256"/>
      <c r="L795" s="256"/>
      <c r="M795" s="256"/>
    </row>
    <row r="796" spans="1:15" ht="15" customHeight="1" x14ac:dyDescent="0.2">
      <c r="A796" s="249">
        <v>12</v>
      </c>
      <c r="B796" s="147">
        <v>12</v>
      </c>
      <c r="C796" s="61">
        <v>54111</v>
      </c>
      <c r="D796" s="73" t="s">
        <v>162</v>
      </c>
      <c r="E796" s="74"/>
      <c r="F796" s="74"/>
      <c r="G796" s="76">
        <v>300</v>
      </c>
      <c r="H796" s="76">
        <f t="shared" si="34"/>
        <v>300</v>
      </c>
      <c r="I796" s="73"/>
      <c r="J796" s="73"/>
      <c r="K796" s="256"/>
      <c r="L796" s="256"/>
      <c r="M796" s="256"/>
    </row>
    <row r="797" spans="1:15" ht="15" customHeight="1" x14ac:dyDescent="0.2">
      <c r="A797" s="249">
        <v>12</v>
      </c>
      <c r="B797" s="147">
        <v>12</v>
      </c>
      <c r="C797" s="61">
        <v>54112</v>
      </c>
      <c r="D797" s="73" t="s">
        <v>42</v>
      </c>
      <c r="E797" s="74"/>
      <c r="F797" s="74"/>
      <c r="G797" s="76">
        <v>200</v>
      </c>
      <c r="H797" s="76">
        <f t="shared" si="34"/>
        <v>200</v>
      </c>
      <c r="I797" s="73"/>
      <c r="J797" s="73"/>
      <c r="K797" s="256"/>
      <c r="L797" s="256"/>
      <c r="M797" s="256"/>
    </row>
    <row r="798" spans="1:15" ht="15" customHeight="1" x14ac:dyDescent="0.2">
      <c r="A798" s="249">
        <v>12</v>
      </c>
      <c r="B798" s="147">
        <v>12</v>
      </c>
      <c r="C798" s="61">
        <v>54114</v>
      </c>
      <c r="D798" s="73" t="s">
        <v>5</v>
      </c>
      <c r="E798" s="74"/>
      <c r="F798" s="74"/>
      <c r="G798" s="76">
        <v>500</v>
      </c>
      <c r="H798" s="76">
        <f t="shared" si="34"/>
        <v>500</v>
      </c>
      <c r="I798" s="73"/>
      <c r="J798" s="73"/>
      <c r="K798" s="256"/>
      <c r="L798" s="256"/>
      <c r="M798" s="256"/>
    </row>
    <row r="799" spans="1:15" ht="15" customHeight="1" x14ac:dyDescent="0.2">
      <c r="A799" s="249">
        <v>12</v>
      </c>
      <c r="B799" s="147">
        <v>12</v>
      </c>
      <c r="C799" s="61">
        <v>54115</v>
      </c>
      <c r="D799" s="73" t="s">
        <v>49</v>
      </c>
      <c r="E799" s="74"/>
      <c r="F799" s="74"/>
      <c r="G799" s="76">
        <v>450</v>
      </c>
      <c r="H799" s="76">
        <f t="shared" si="34"/>
        <v>450</v>
      </c>
      <c r="I799" s="73"/>
      <c r="J799" s="73"/>
      <c r="K799" s="256"/>
      <c r="L799" s="256"/>
      <c r="M799" s="256"/>
    </row>
    <row r="800" spans="1:15" ht="15" customHeight="1" x14ac:dyDescent="0.2">
      <c r="A800" s="249">
        <v>12</v>
      </c>
      <c r="B800" s="147">
        <v>12</v>
      </c>
      <c r="C800" s="61">
        <v>54118</v>
      </c>
      <c r="D800" s="73" t="s">
        <v>510</v>
      </c>
      <c r="E800" s="74"/>
      <c r="F800" s="74"/>
      <c r="G800" s="76">
        <v>500</v>
      </c>
      <c r="H800" s="76">
        <f t="shared" si="34"/>
        <v>500</v>
      </c>
      <c r="I800" s="73"/>
      <c r="J800" s="73"/>
      <c r="K800" s="256"/>
      <c r="L800" s="256"/>
      <c r="M800" s="256"/>
    </row>
    <row r="801" spans="1:18" ht="15" customHeight="1" x14ac:dyDescent="0.2">
      <c r="A801" s="249">
        <v>12</v>
      </c>
      <c r="B801" s="147">
        <v>12</v>
      </c>
      <c r="C801" s="61">
        <v>54119</v>
      </c>
      <c r="D801" s="73" t="s">
        <v>44</v>
      </c>
      <c r="E801" s="74"/>
      <c r="F801" s="74"/>
      <c r="G801" s="76">
        <v>100</v>
      </c>
      <c r="H801" s="76">
        <f t="shared" si="34"/>
        <v>100</v>
      </c>
      <c r="I801" s="73"/>
      <c r="J801" s="73"/>
      <c r="K801" s="256"/>
      <c r="L801" s="256"/>
      <c r="M801" s="256"/>
    </row>
    <row r="802" spans="1:18" ht="15" customHeight="1" x14ac:dyDescent="0.2">
      <c r="A802" s="249">
        <v>12</v>
      </c>
      <c r="B802" s="147">
        <v>12</v>
      </c>
      <c r="C802" s="61">
        <v>54301</v>
      </c>
      <c r="D802" s="73" t="s">
        <v>158</v>
      </c>
      <c r="E802" s="74"/>
      <c r="F802" s="74"/>
      <c r="G802" s="76">
        <v>300</v>
      </c>
      <c r="H802" s="76">
        <f t="shared" si="34"/>
        <v>300</v>
      </c>
      <c r="I802" s="73"/>
      <c r="J802" s="73"/>
      <c r="K802" s="256"/>
      <c r="L802" s="256"/>
      <c r="M802" s="256"/>
    </row>
    <row r="803" spans="1:18" ht="15" customHeight="1" x14ac:dyDescent="0.2">
      <c r="A803" s="249">
        <v>12</v>
      </c>
      <c r="B803" s="147">
        <v>12</v>
      </c>
      <c r="C803" s="61">
        <v>54302</v>
      </c>
      <c r="D803" s="73" t="s">
        <v>511</v>
      </c>
      <c r="E803" s="74"/>
      <c r="F803" s="74"/>
      <c r="G803" s="76">
        <v>0</v>
      </c>
      <c r="H803" s="76">
        <f t="shared" si="34"/>
        <v>0</v>
      </c>
      <c r="I803" s="73"/>
      <c r="J803" s="73"/>
      <c r="K803" s="256"/>
      <c r="L803" s="256"/>
      <c r="M803" s="256"/>
    </row>
    <row r="804" spans="1:18" ht="15" customHeight="1" x14ac:dyDescent="0.2">
      <c r="A804" s="249">
        <v>12</v>
      </c>
      <c r="B804" s="147">
        <v>12</v>
      </c>
      <c r="C804" s="61">
        <v>54307</v>
      </c>
      <c r="D804" s="62" t="s">
        <v>10</v>
      </c>
      <c r="E804" s="74"/>
      <c r="F804" s="74"/>
      <c r="G804" s="76">
        <v>0</v>
      </c>
      <c r="H804" s="76">
        <f t="shared" si="34"/>
        <v>0</v>
      </c>
      <c r="I804" s="73"/>
      <c r="J804" s="73"/>
      <c r="K804" s="256"/>
      <c r="L804" s="256"/>
      <c r="M804" s="256"/>
    </row>
    <row r="805" spans="1:18" ht="15" customHeight="1" x14ac:dyDescent="0.2">
      <c r="A805" s="249">
        <v>12</v>
      </c>
      <c r="B805" s="147">
        <v>12</v>
      </c>
      <c r="C805" s="61">
        <v>54313</v>
      </c>
      <c r="D805" s="62" t="s">
        <v>11</v>
      </c>
      <c r="E805" s="76"/>
      <c r="F805" s="76"/>
      <c r="G805" s="76">
        <v>1000</v>
      </c>
      <c r="H805" s="76">
        <f t="shared" si="34"/>
        <v>1000</v>
      </c>
      <c r="I805" s="73"/>
      <c r="J805" s="73"/>
      <c r="K805" s="256"/>
      <c r="L805" s="256"/>
      <c r="M805" s="256"/>
    </row>
    <row r="806" spans="1:18" ht="15" customHeight="1" x14ac:dyDescent="0.2">
      <c r="A806" s="249">
        <v>12</v>
      </c>
      <c r="B806" s="147">
        <v>12</v>
      </c>
      <c r="C806" s="61">
        <v>54401</v>
      </c>
      <c r="D806" s="62" t="s">
        <v>30</v>
      </c>
      <c r="E806" s="76"/>
      <c r="F806" s="76"/>
      <c r="G806" s="76">
        <v>300</v>
      </c>
      <c r="H806" s="76">
        <f t="shared" si="34"/>
        <v>300</v>
      </c>
      <c r="I806" s="73"/>
      <c r="J806" s="73"/>
      <c r="K806" s="256"/>
      <c r="L806" s="256"/>
      <c r="M806" s="256"/>
    </row>
    <row r="807" spans="1:18" ht="15" customHeight="1" x14ac:dyDescent="0.2">
      <c r="A807" s="249">
        <v>12</v>
      </c>
      <c r="B807" s="147">
        <v>12</v>
      </c>
      <c r="C807" s="61">
        <v>55703</v>
      </c>
      <c r="D807" s="62" t="s">
        <v>643</v>
      </c>
      <c r="E807" s="76"/>
      <c r="F807" s="76"/>
      <c r="G807" s="76">
        <v>2000</v>
      </c>
      <c r="H807" s="76">
        <v>2000</v>
      </c>
      <c r="I807" s="73"/>
      <c r="J807" s="73"/>
      <c r="K807" s="256"/>
      <c r="L807" s="256"/>
      <c r="M807" s="256"/>
    </row>
    <row r="808" spans="1:18" ht="15" customHeight="1" x14ac:dyDescent="0.2">
      <c r="A808" s="249">
        <v>12</v>
      </c>
      <c r="B808" s="147">
        <v>12</v>
      </c>
      <c r="C808" s="61">
        <v>61101</v>
      </c>
      <c r="D808" s="73" t="s">
        <v>144</v>
      </c>
      <c r="E808" s="74"/>
      <c r="F808" s="74"/>
      <c r="G808" s="76">
        <v>1000</v>
      </c>
      <c r="H808" s="76">
        <f t="shared" si="34"/>
        <v>1000</v>
      </c>
      <c r="I808" s="73"/>
      <c r="J808" s="73"/>
      <c r="K808" s="256"/>
      <c r="L808" s="256"/>
      <c r="M808" s="256"/>
    </row>
    <row r="809" spans="1:18" ht="15" customHeight="1" x14ac:dyDescent="0.2">
      <c r="A809" s="249">
        <v>12</v>
      </c>
      <c r="B809" s="147">
        <v>12</v>
      </c>
      <c r="C809" s="61">
        <v>61102</v>
      </c>
      <c r="D809" s="62" t="s">
        <v>28</v>
      </c>
      <c r="E809" s="74"/>
      <c r="F809" s="74"/>
      <c r="G809" s="76">
        <v>1000</v>
      </c>
      <c r="H809" s="76">
        <f t="shared" si="34"/>
        <v>1000</v>
      </c>
      <c r="I809" s="73"/>
      <c r="J809" s="73"/>
      <c r="K809" s="256"/>
      <c r="L809" s="256"/>
      <c r="M809" s="256"/>
    </row>
    <row r="810" spans="1:18" ht="15" customHeight="1" x14ac:dyDescent="0.2">
      <c r="A810" s="249">
        <v>12</v>
      </c>
      <c r="B810" s="147">
        <v>12</v>
      </c>
      <c r="C810" s="61">
        <v>61104</v>
      </c>
      <c r="D810" s="73" t="s">
        <v>46</v>
      </c>
      <c r="E810" s="74"/>
      <c r="F810" s="74"/>
      <c r="G810" s="76">
        <v>700</v>
      </c>
      <c r="H810" s="76">
        <f t="shared" si="34"/>
        <v>700</v>
      </c>
      <c r="I810" s="73"/>
      <c r="J810" s="73"/>
      <c r="K810" s="256"/>
      <c r="L810" s="256"/>
      <c r="M810" s="256"/>
    </row>
    <row r="811" spans="1:18" ht="15" customHeight="1" x14ac:dyDescent="0.2">
      <c r="A811" s="249">
        <v>12</v>
      </c>
      <c r="B811" s="147">
        <v>12</v>
      </c>
      <c r="C811" s="61">
        <v>61199</v>
      </c>
      <c r="D811" s="73" t="s">
        <v>512</v>
      </c>
      <c r="E811" s="74"/>
      <c r="F811" s="74"/>
      <c r="G811" s="76">
        <v>0</v>
      </c>
      <c r="H811" s="76">
        <f t="shared" si="34"/>
        <v>0</v>
      </c>
      <c r="I811" s="73"/>
      <c r="J811" s="73"/>
      <c r="K811" s="256"/>
      <c r="L811" s="256"/>
      <c r="M811" s="256"/>
    </row>
    <row r="812" spans="1:18" ht="15" customHeight="1" x14ac:dyDescent="0.2">
      <c r="A812" s="249">
        <v>12</v>
      </c>
      <c r="B812" s="147" t="s">
        <v>397</v>
      </c>
      <c r="C812" s="61"/>
      <c r="D812" s="153" t="s">
        <v>14</v>
      </c>
      <c r="E812" s="83">
        <f>SUM(E784:E811)</f>
        <v>0</v>
      </c>
      <c r="F812" s="83">
        <f>SUM(F784:F810)</f>
        <v>0</v>
      </c>
      <c r="G812" s="83">
        <f>SUM(G784:G811)</f>
        <v>40251.68</v>
      </c>
      <c r="H812" s="83">
        <f t="shared" si="34"/>
        <v>40251.68</v>
      </c>
      <c r="I812" s="73"/>
      <c r="J812" s="73"/>
      <c r="K812" s="256"/>
      <c r="L812" s="256"/>
      <c r="M812" s="256"/>
      <c r="O812" s="258"/>
      <c r="P812" s="259"/>
    </row>
    <row r="813" spans="1:18" ht="15" customHeight="1" x14ac:dyDescent="0.2">
      <c r="A813" s="249" t="s">
        <v>387</v>
      </c>
      <c r="B813" s="147" t="s">
        <v>387</v>
      </c>
      <c r="C813" s="148"/>
      <c r="D813" s="148"/>
      <c r="E813" s="260"/>
      <c r="F813" s="260"/>
      <c r="G813" s="261"/>
      <c r="H813" s="261"/>
      <c r="O813" s="258"/>
      <c r="P813" s="259"/>
      <c r="Q813" s="147" t="s">
        <v>590</v>
      </c>
      <c r="R813" s="259">
        <f>+H812-P813</f>
        <v>40251.68</v>
      </c>
    </row>
    <row r="814" spans="1:18" ht="15" customHeight="1" x14ac:dyDescent="0.2">
      <c r="A814" s="249" t="s">
        <v>387</v>
      </c>
      <c r="B814" s="147" t="s">
        <v>387</v>
      </c>
      <c r="C814" s="148"/>
      <c r="D814" s="148"/>
      <c r="E814" s="260"/>
      <c r="F814" s="260"/>
      <c r="G814" s="261"/>
      <c r="H814" s="261"/>
      <c r="O814" s="258"/>
    </row>
    <row r="815" spans="1:18" ht="15" customHeight="1" x14ac:dyDescent="0.2">
      <c r="A815" s="249" t="s">
        <v>387</v>
      </c>
      <c r="B815" s="147" t="s">
        <v>387</v>
      </c>
      <c r="C815" s="427"/>
      <c r="D815" s="427"/>
      <c r="E815" s="427"/>
      <c r="F815" s="427"/>
      <c r="G815" s="427"/>
      <c r="H815" s="427"/>
    </row>
    <row r="816" spans="1:18" ht="15" customHeight="1" x14ac:dyDescent="0.2">
      <c r="A816" s="249" t="s">
        <v>387</v>
      </c>
      <c r="B816" s="147" t="s">
        <v>387</v>
      </c>
      <c r="C816" s="427" t="s">
        <v>119</v>
      </c>
      <c r="D816" s="427"/>
      <c r="E816" s="427"/>
      <c r="F816" s="427"/>
      <c r="G816" s="427"/>
      <c r="H816" s="427"/>
    </row>
    <row r="817" spans="1:15" ht="15" customHeight="1" x14ac:dyDescent="0.2">
      <c r="A817" s="249" t="s">
        <v>387</v>
      </c>
      <c r="B817" s="147" t="s">
        <v>387</v>
      </c>
      <c r="C817" s="428" t="str">
        <f>C3</f>
        <v xml:space="preserve"> PRESUPUESTO AÑO 2024</v>
      </c>
      <c r="D817" s="428"/>
      <c r="E817" s="428"/>
      <c r="F817" s="428"/>
      <c r="G817" s="428"/>
      <c r="H817" s="428"/>
    </row>
    <row r="818" spans="1:15" ht="15" customHeight="1" x14ac:dyDescent="0.2">
      <c r="A818" s="249" t="s">
        <v>387</v>
      </c>
      <c r="B818" s="147" t="s">
        <v>387</v>
      </c>
      <c r="C818" s="428" t="str">
        <f>C4</f>
        <v>PRESUPUESTO EXTRA CONTABLE</v>
      </c>
      <c r="D818" s="428"/>
      <c r="E818" s="428"/>
      <c r="F818" s="428"/>
      <c r="G818" s="428"/>
      <c r="H818" s="428"/>
    </row>
    <row r="819" spans="1:15" ht="15" customHeight="1" x14ac:dyDescent="0.2">
      <c r="A819" s="249" t="s">
        <v>387</v>
      </c>
      <c r="B819" s="147" t="s">
        <v>387</v>
      </c>
      <c r="C819" s="427" t="s">
        <v>117</v>
      </c>
      <c r="D819" s="427"/>
      <c r="E819" s="427"/>
      <c r="F819" s="427"/>
      <c r="G819" s="427"/>
      <c r="H819" s="427"/>
    </row>
    <row r="820" spans="1:15" ht="15" customHeight="1" x14ac:dyDescent="0.2">
      <c r="A820" s="249" t="s">
        <v>387</v>
      </c>
      <c r="B820" s="147" t="s">
        <v>387</v>
      </c>
      <c r="C820" s="427" t="s">
        <v>280</v>
      </c>
      <c r="D820" s="427"/>
      <c r="E820" s="427"/>
      <c r="F820" s="427"/>
      <c r="G820" s="427"/>
      <c r="H820" s="427"/>
    </row>
    <row r="821" spans="1:15" ht="15" customHeight="1" x14ac:dyDescent="0.2">
      <c r="A821" s="249" t="s">
        <v>387</v>
      </c>
      <c r="B821" s="147" t="s">
        <v>387</v>
      </c>
      <c r="C821" s="435" t="s">
        <v>1</v>
      </c>
      <c r="D821" s="430" t="s">
        <v>0</v>
      </c>
      <c r="E821" s="255" t="s">
        <v>56</v>
      </c>
      <c r="F821" s="255" t="str">
        <f>F7</f>
        <v>REFORMA</v>
      </c>
      <c r="G821" s="255" t="s">
        <v>56</v>
      </c>
      <c r="H821" s="432" t="str">
        <f>$H$7</f>
        <v>TOTAL 2024</v>
      </c>
      <c r="I821" s="153" t="s">
        <v>285</v>
      </c>
      <c r="J821" s="153"/>
      <c r="K821" s="153"/>
      <c r="L821" s="153"/>
      <c r="M821" s="153"/>
    </row>
    <row r="822" spans="1:15" ht="15" customHeight="1" x14ac:dyDescent="0.2">
      <c r="A822" s="249" t="s">
        <v>387</v>
      </c>
      <c r="B822" s="147" t="s">
        <v>387</v>
      </c>
      <c r="C822" s="436"/>
      <c r="D822" s="431"/>
      <c r="E822" s="255" t="s">
        <v>139</v>
      </c>
      <c r="F822" s="255"/>
      <c r="G822" s="255" t="s">
        <v>140</v>
      </c>
      <c r="H822" s="433"/>
      <c r="I822" s="153" t="s">
        <v>286</v>
      </c>
      <c r="J822" s="153" t="s">
        <v>290</v>
      </c>
      <c r="K822" s="153"/>
      <c r="L822" s="153" t="s">
        <v>293</v>
      </c>
      <c r="M822" s="153" t="s">
        <v>292</v>
      </c>
    </row>
    <row r="823" spans="1:15" ht="15" customHeight="1" x14ac:dyDescent="0.2">
      <c r="A823" s="249">
        <v>14</v>
      </c>
      <c r="B823" s="147">
        <v>14</v>
      </c>
      <c r="C823" s="61">
        <v>51101</v>
      </c>
      <c r="D823" s="73" t="s">
        <v>15</v>
      </c>
      <c r="E823" s="74"/>
      <c r="F823" s="74"/>
      <c r="G823" s="272">
        <v>4800</v>
      </c>
      <c r="H823" s="76">
        <f t="shared" ref="H823:H846" si="35">E823+F823+G823</f>
        <v>4800</v>
      </c>
      <c r="I823" s="73"/>
      <c r="J823" s="256"/>
      <c r="K823" s="256"/>
      <c r="L823" s="256"/>
      <c r="M823" s="256"/>
    </row>
    <row r="824" spans="1:15" ht="15" customHeight="1" x14ac:dyDescent="0.2">
      <c r="A824" s="249">
        <v>14</v>
      </c>
      <c r="B824" s="147">
        <v>14</v>
      </c>
      <c r="C824" s="61">
        <v>51103</v>
      </c>
      <c r="D824" s="73" t="s">
        <v>16</v>
      </c>
      <c r="E824" s="76"/>
      <c r="F824" s="76"/>
      <c r="G824" s="272">
        <v>400</v>
      </c>
      <c r="H824" s="76">
        <f t="shared" si="35"/>
        <v>400</v>
      </c>
      <c r="I824" s="73"/>
      <c r="J824" s="256"/>
      <c r="K824" s="256"/>
      <c r="L824" s="256"/>
      <c r="M824" s="256"/>
    </row>
    <row r="825" spans="1:15" ht="15" customHeight="1" x14ac:dyDescent="0.2">
      <c r="A825" s="249">
        <v>14</v>
      </c>
      <c r="B825" s="147">
        <v>14</v>
      </c>
      <c r="C825" s="61">
        <v>51107</v>
      </c>
      <c r="D825" s="73" t="s">
        <v>34</v>
      </c>
      <c r="E825" s="76"/>
      <c r="F825" s="76"/>
      <c r="G825" s="272">
        <v>200</v>
      </c>
      <c r="H825" s="76">
        <f t="shared" si="35"/>
        <v>200</v>
      </c>
      <c r="I825" s="73"/>
      <c r="J825" s="256"/>
      <c r="K825" s="256"/>
      <c r="L825" s="256"/>
      <c r="M825" s="256"/>
    </row>
    <row r="826" spans="1:15" ht="15" customHeight="1" x14ac:dyDescent="0.2">
      <c r="A826" s="249">
        <v>14</v>
      </c>
      <c r="B826" s="147">
        <v>14</v>
      </c>
      <c r="C826" s="61">
        <v>51401</v>
      </c>
      <c r="D826" s="62" t="s">
        <v>47</v>
      </c>
      <c r="E826" s="74"/>
      <c r="F826" s="74"/>
      <c r="G826" s="272">
        <v>408</v>
      </c>
      <c r="H826" s="76">
        <f t="shared" si="35"/>
        <v>408</v>
      </c>
      <c r="I826" s="73"/>
      <c r="J826" s="256"/>
      <c r="K826" s="256"/>
      <c r="L826" s="256"/>
      <c r="M826" s="256"/>
      <c r="O826" s="257"/>
    </row>
    <row r="827" spans="1:15" ht="15" customHeight="1" x14ac:dyDescent="0.2">
      <c r="A827" s="249">
        <v>14</v>
      </c>
      <c r="B827" s="147">
        <v>14</v>
      </c>
      <c r="C827" s="61">
        <v>51501</v>
      </c>
      <c r="D827" s="73" t="s">
        <v>29</v>
      </c>
      <c r="E827" s="74"/>
      <c r="F827" s="74"/>
      <c r="G827" s="272">
        <v>420</v>
      </c>
      <c r="H827" s="76">
        <f t="shared" si="35"/>
        <v>420</v>
      </c>
      <c r="I827" s="73"/>
      <c r="J827" s="256"/>
      <c r="K827" s="256"/>
      <c r="L827" s="256"/>
      <c r="M827" s="256"/>
    </row>
    <row r="828" spans="1:15" ht="15" customHeight="1" x14ac:dyDescent="0.2">
      <c r="A828" s="249">
        <v>14</v>
      </c>
      <c r="B828" s="147">
        <v>14</v>
      </c>
      <c r="C828" s="61">
        <v>51601</v>
      </c>
      <c r="D828" s="73" t="s">
        <v>314</v>
      </c>
      <c r="E828" s="74"/>
      <c r="F828" s="74"/>
      <c r="G828" s="76">
        <v>0</v>
      </c>
      <c r="H828" s="76">
        <f t="shared" si="35"/>
        <v>0</v>
      </c>
      <c r="I828" s="73"/>
      <c r="J828" s="256"/>
      <c r="K828" s="256"/>
      <c r="L828" s="256"/>
      <c r="M828" s="256"/>
    </row>
    <row r="829" spans="1:15" ht="15" customHeight="1" x14ac:dyDescent="0.2">
      <c r="A829" s="249">
        <v>14</v>
      </c>
      <c r="B829" s="147">
        <v>14</v>
      </c>
      <c r="C829" s="61">
        <v>51901</v>
      </c>
      <c r="D829" s="73" t="s">
        <v>547</v>
      </c>
      <c r="E829" s="74"/>
      <c r="F829" s="74"/>
      <c r="G829" s="76">
        <v>5000</v>
      </c>
      <c r="H829" s="76">
        <f t="shared" si="35"/>
        <v>5000</v>
      </c>
      <c r="I829" s="73"/>
      <c r="J829" s="256"/>
      <c r="K829" s="256"/>
      <c r="L829" s="256"/>
      <c r="M829" s="256"/>
    </row>
    <row r="830" spans="1:15" ht="15" customHeight="1" x14ac:dyDescent="0.2">
      <c r="A830" s="249">
        <v>14</v>
      </c>
      <c r="B830" s="147">
        <v>14</v>
      </c>
      <c r="C830" s="61">
        <v>54104</v>
      </c>
      <c r="D830" s="62" t="s">
        <v>17</v>
      </c>
      <c r="E830" s="74"/>
      <c r="F830" s="74"/>
      <c r="G830" s="76">
        <v>200</v>
      </c>
      <c r="H830" s="76">
        <f t="shared" si="35"/>
        <v>200</v>
      </c>
      <c r="I830" s="73"/>
      <c r="J830" s="256"/>
      <c r="K830" s="256"/>
      <c r="L830" s="256"/>
      <c r="M830" s="256"/>
    </row>
    <row r="831" spans="1:15" ht="15" customHeight="1" x14ac:dyDescent="0.2">
      <c r="A831" s="249">
        <v>14</v>
      </c>
      <c r="B831" s="147">
        <v>14</v>
      </c>
      <c r="C831" s="61">
        <v>54105</v>
      </c>
      <c r="D831" s="73" t="s">
        <v>3</v>
      </c>
      <c r="E831" s="74"/>
      <c r="F831" s="74"/>
      <c r="G831" s="76">
        <v>0</v>
      </c>
      <c r="H831" s="76">
        <f t="shared" si="35"/>
        <v>0</v>
      </c>
      <c r="I831" s="73"/>
      <c r="J831" s="256"/>
      <c r="K831" s="256"/>
      <c r="L831" s="256"/>
      <c r="M831" s="256"/>
    </row>
    <row r="832" spans="1:15" ht="15" customHeight="1" x14ac:dyDescent="0.2">
      <c r="A832" s="249">
        <v>14</v>
      </c>
      <c r="B832" s="147">
        <v>14</v>
      </c>
      <c r="C832" s="61">
        <v>54107</v>
      </c>
      <c r="D832" s="73" t="s">
        <v>43</v>
      </c>
      <c r="E832" s="74"/>
      <c r="F832" s="74"/>
      <c r="G832" s="76">
        <v>200</v>
      </c>
      <c r="H832" s="76">
        <f t="shared" si="35"/>
        <v>200</v>
      </c>
      <c r="I832" s="73"/>
      <c r="J832" s="256"/>
      <c r="K832" s="256"/>
      <c r="L832" s="256"/>
      <c r="M832" s="256"/>
    </row>
    <row r="833" spans="1:18" ht="15" customHeight="1" x14ac:dyDescent="0.2">
      <c r="A833" s="249">
        <v>14</v>
      </c>
      <c r="B833" s="147">
        <v>14</v>
      </c>
      <c r="C833" s="61">
        <v>54111</v>
      </c>
      <c r="D833" s="73" t="s">
        <v>162</v>
      </c>
      <c r="E833" s="74"/>
      <c r="F833" s="74"/>
      <c r="G833" s="76">
        <v>100</v>
      </c>
      <c r="H833" s="76">
        <f t="shared" si="35"/>
        <v>100</v>
      </c>
      <c r="I833" s="73"/>
      <c r="J833" s="256"/>
      <c r="K833" s="256"/>
      <c r="L833" s="256"/>
      <c r="M833" s="256"/>
    </row>
    <row r="834" spans="1:18" ht="15" customHeight="1" x14ac:dyDescent="0.2">
      <c r="A834" s="249">
        <v>14</v>
      </c>
      <c r="B834" s="147">
        <v>14</v>
      </c>
      <c r="C834" s="61">
        <v>54112</v>
      </c>
      <c r="D834" s="73" t="s">
        <v>42</v>
      </c>
      <c r="E834" s="74"/>
      <c r="F834" s="74"/>
      <c r="G834" s="76">
        <v>100</v>
      </c>
      <c r="H834" s="76">
        <f t="shared" si="35"/>
        <v>100</v>
      </c>
      <c r="I834" s="73"/>
      <c r="J834" s="256"/>
      <c r="K834" s="256"/>
      <c r="L834" s="256"/>
      <c r="M834" s="256"/>
    </row>
    <row r="835" spans="1:18" ht="15" customHeight="1" x14ac:dyDescent="0.2">
      <c r="A835" s="249">
        <v>14</v>
      </c>
      <c r="B835" s="147">
        <v>14</v>
      </c>
      <c r="C835" s="61">
        <v>54114</v>
      </c>
      <c r="D835" s="73" t="s">
        <v>5</v>
      </c>
      <c r="E835" s="74"/>
      <c r="F835" s="74"/>
      <c r="G835" s="76">
        <v>300</v>
      </c>
      <c r="H835" s="76">
        <f t="shared" si="35"/>
        <v>300</v>
      </c>
      <c r="I835" s="73"/>
      <c r="J835" s="256"/>
      <c r="K835" s="256"/>
      <c r="L835" s="256"/>
      <c r="M835" s="256"/>
    </row>
    <row r="836" spans="1:18" ht="15" customHeight="1" x14ac:dyDescent="0.2">
      <c r="A836" s="249">
        <v>14</v>
      </c>
      <c r="B836" s="147">
        <v>14</v>
      </c>
      <c r="C836" s="61">
        <v>54115</v>
      </c>
      <c r="D836" s="73" t="s">
        <v>49</v>
      </c>
      <c r="E836" s="74"/>
      <c r="F836" s="74"/>
      <c r="G836" s="76">
        <v>150</v>
      </c>
      <c r="H836" s="76">
        <f t="shared" si="35"/>
        <v>150</v>
      </c>
      <c r="I836" s="73"/>
      <c r="J836" s="256"/>
      <c r="K836" s="256"/>
      <c r="L836" s="256"/>
      <c r="M836" s="256"/>
    </row>
    <row r="837" spans="1:18" ht="15" customHeight="1" x14ac:dyDescent="0.2">
      <c r="A837" s="249">
        <v>14</v>
      </c>
      <c r="B837" s="147">
        <v>14</v>
      </c>
      <c r="C837" s="61">
        <v>54119</v>
      </c>
      <c r="D837" s="73" t="s">
        <v>44</v>
      </c>
      <c r="E837" s="74"/>
      <c r="F837" s="74"/>
      <c r="G837" s="76">
        <v>100</v>
      </c>
      <c r="H837" s="76">
        <f t="shared" si="35"/>
        <v>100</v>
      </c>
      <c r="I837" s="73"/>
      <c r="J837" s="256"/>
      <c r="K837" s="256"/>
      <c r="L837" s="256"/>
      <c r="M837" s="256"/>
    </row>
    <row r="838" spans="1:18" ht="15" customHeight="1" x14ac:dyDescent="0.2">
      <c r="A838" s="249">
        <v>14</v>
      </c>
      <c r="B838" s="147">
        <v>14</v>
      </c>
      <c r="C838" s="61">
        <v>54199</v>
      </c>
      <c r="D838" s="73" t="s">
        <v>26</v>
      </c>
      <c r="E838" s="74"/>
      <c r="F838" s="74"/>
      <c r="G838" s="76">
        <v>100</v>
      </c>
      <c r="H838" s="76">
        <f t="shared" si="35"/>
        <v>100</v>
      </c>
      <c r="I838" s="73"/>
      <c r="J838" s="256"/>
      <c r="K838" s="256"/>
      <c r="L838" s="256"/>
      <c r="M838" s="256"/>
    </row>
    <row r="839" spans="1:18" ht="15" customHeight="1" x14ac:dyDescent="0.2">
      <c r="A839" s="249">
        <v>14</v>
      </c>
      <c r="B839" s="147">
        <v>14</v>
      </c>
      <c r="C839" s="61">
        <v>54301</v>
      </c>
      <c r="D839" s="62" t="s">
        <v>8</v>
      </c>
      <c r="E839" s="74"/>
      <c r="F839" s="74"/>
      <c r="G839" s="76">
        <v>100</v>
      </c>
      <c r="H839" s="76">
        <f t="shared" si="35"/>
        <v>100</v>
      </c>
      <c r="I839" s="73"/>
      <c r="J839" s="256"/>
      <c r="K839" s="256"/>
      <c r="L839" s="256"/>
      <c r="M839" s="256"/>
    </row>
    <row r="840" spans="1:18" ht="15" customHeight="1" x14ac:dyDescent="0.2">
      <c r="A840" s="249">
        <v>14</v>
      </c>
      <c r="B840" s="147">
        <v>14</v>
      </c>
      <c r="C840" s="61">
        <v>54307</v>
      </c>
      <c r="D840" s="62" t="s">
        <v>10</v>
      </c>
      <c r="E840" s="74"/>
      <c r="F840" s="74"/>
      <c r="G840" s="76">
        <v>100</v>
      </c>
      <c r="H840" s="76">
        <f t="shared" si="35"/>
        <v>100</v>
      </c>
      <c r="I840" s="73"/>
      <c r="J840" s="256"/>
      <c r="K840" s="256"/>
      <c r="L840" s="256"/>
      <c r="M840" s="256"/>
    </row>
    <row r="841" spans="1:18" ht="15" customHeight="1" x14ac:dyDescent="0.2">
      <c r="A841" s="249">
        <v>14</v>
      </c>
      <c r="B841" s="147">
        <v>14</v>
      </c>
      <c r="C841" s="61">
        <v>54401</v>
      </c>
      <c r="D841" s="62" t="s">
        <v>30</v>
      </c>
      <c r="E841" s="74"/>
      <c r="F841" s="74"/>
      <c r="G841" s="76">
        <v>100</v>
      </c>
      <c r="H841" s="76">
        <f t="shared" si="35"/>
        <v>100</v>
      </c>
      <c r="I841" s="73"/>
      <c r="J841" s="256"/>
      <c r="K841" s="256"/>
      <c r="L841" s="256"/>
      <c r="M841" s="256"/>
    </row>
    <row r="842" spans="1:18" ht="15" customHeight="1" x14ac:dyDescent="0.2">
      <c r="A842" s="249">
        <v>14</v>
      </c>
      <c r="B842" s="147">
        <v>14</v>
      </c>
      <c r="C842" s="61">
        <v>54503</v>
      </c>
      <c r="D842" s="62" t="s">
        <v>53</v>
      </c>
      <c r="E842" s="74"/>
      <c r="F842" s="74"/>
      <c r="G842" s="76">
        <v>5000</v>
      </c>
      <c r="H842" s="76">
        <f t="shared" si="35"/>
        <v>5000</v>
      </c>
      <c r="I842" s="73"/>
      <c r="J842" s="256"/>
      <c r="K842" s="256"/>
      <c r="L842" s="256"/>
      <c r="M842" s="256"/>
    </row>
    <row r="843" spans="1:18" ht="15" customHeight="1" x14ac:dyDescent="0.2">
      <c r="A843" s="249">
        <v>14</v>
      </c>
      <c r="B843" s="147">
        <v>14</v>
      </c>
      <c r="C843" s="61">
        <v>55508</v>
      </c>
      <c r="D843" s="62" t="s">
        <v>790</v>
      </c>
      <c r="E843" s="74"/>
      <c r="F843" s="74"/>
      <c r="G843" s="76">
        <v>5000</v>
      </c>
      <c r="H843" s="76">
        <f t="shared" si="35"/>
        <v>5000</v>
      </c>
      <c r="I843" s="73"/>
      <c r="J843" s="256"/>
      <c r="K843" s="256"/>
      <c r="L843" s="256"/>
      <c r="M843" s="256"/>
    </row>
    <row r="844" spans="1:18" ht="15" customHeight="1" x14ac:dyDescent="0.2">
      <c r="A844" s="249">
        <v>14</v>
      </c>
      <c r="B844" s="147">
        <v>14</v>
      </c>
      <c r="C844" s="61">
        <v>61102</v>
      </c>
      <c r="D844" s="62" t="s">
        <v>28</v>
      </c>
      <c r="E844" s="74"/>
      <c r="F844" s="74"/>
      <c r="G844" s="76">
        <v>100</v>
      </c>
      <c r="H844" s="76">
        <f t="shared" si="35"/>
        <v>100</v>
      </c>
      <c r="I844" s="73"/>
      <c r="J844" s="256"/>
      <c r="K844" s="256"/>
      <c r="L844" s="256"/>
      <c r="M844" s="256"/>
    </row>
    <row r="845" spans="1:18" ht="15" customHeight="1" x14ac:dyDescent="0.2">
      <c r="A845" s="249">
        <v>14</v>
      </c>
      <c r="B845" s="147">
        <v>14</v>
      </c>
      <c r="C845" s="61">
        <v>61104</v>
      </c>
      <c r="D845" s="62" t="s">
        <v>46</v>
      </c>
      <c r="E845" s="74"/>
      <c r="F845" s="74"/>
      <c r="G845" s="76">
        <v>100</v>
      </c>
      <c r="H845" s="76">
        <f t="shared" si="35"/>
        <v>100</v>
      </c>
      <c r="I845" s="73"/>
      <c r="J845" s="256"/>
      <c r="K845" s="256"/>
      <c r="L845" s="256"/>
      <c r="M845" s="256"/>
    </row>
    <row r="846" spans="1:18" ht="15" customHeight="1" x14ac:dyDescent="0.2">
      <c r="A846" s="249">
        <v>14</v>
      </c>
      <c r="B846" s="147" t="s">
        <v>398</v>
      </c>
      <c r="C846" s="61"/>
      <c r="D846" s="153" t="s">
        <v>14</v>
      </c>
      <c r="E846" s="83">
        <f>SUM(E823:E842)</f>
        <v>0</v>
      </c>
      <c r="F846" s="83">
        <f>SUM(F823:F842)</f>
        <v>0</v>
      </c>
      <c r="G846" s="83">
        <f>SUM(G823:G845)</f>
        <v>22978</v>
      </c>
      <c r="H846" s="83">
        <f t="shared" si="35"/>
        <v>22978</v>
      </c>
      <c r="I846" s="73"/>
      <c r="J846" s="256"/>
      <c r="K846" s="256"/>
      <c r="L846" s="256"/>
      <c r="M846" s="256"/>
      <c r="O846" s="258"/>
      <c r="P846" s="259"/>
    </row>
    <row r="847" spans="1:18" ht="15" customHeight="1" x14ac:dyDescent="0.2">
      <c r="A847" s="249" t="s">
        <v>387</v>
      </c>
      <c r="B847" s="147" t="s">
        <v>387</v>
      </c>
      <c r="C847" s="279"/>
      <c r="D847" s="62"/>
      <c r="E847" s="74"/>
      <c r="F847" s="74"/>
      <c r="G847" s="74"/>
      <c r="H847" s="74"/>
      <c r="I847" s="73"/>
      <c r="J847" s="73"/>
      <c r="K847" s="73"/>
      <c r="L847" s="73"/>
      <c r="M847" s="73"/>
      <c r="O847" s="258"/>
      <c r="P847" s="259"/>
      <c r="Q847" s="147" t="s">
        <v>590</v>
      </c>
      <c r="R847" s="259">
        <f>+H846-P847</f>
        <v>22978</v>
      </c>
    </row>
    <row r="848" spans="1:18" ht="15" customHeight="1" x14ac:dyDescent="0.2">
      <c r="A848" s="249" t="s">
        <v>387</v>
      </c>
      <c r="B848" s="147" t="s">
        <v>387</v>
      </c>
      <c r="C848" s="148"/>
      <c r="E848" s="280"/>
      <c r="F848" s="280"/>
      <c r="G848" s="281"/>
      <c r="H848" s="281"/>
      <c r="O848" s="258"/>
    </row>
    <row r="849" spans="1:16" ht="15" customHeight="1" x14ac:dyDescent="0.2">
      <c r="A849" s="249" t="s">
        <v>387</v>
      </c>
      <c r="B849" s="147" t="s">
        <v>387</v>
      </c>
      <c r="C849" s="427"/>
      <c r="D849" s="427"/>
      <c r="E849" s="427"/>
      <c r="F849" s="427"/>
      <c r="G849" s="427"/>
      <c r="H849" s="427"/>
    </row>
    <row r="850" spans="1:16" ht="15" customHeight="1" x14ac:dyDescent="0.2">
      <c r="A850" s="249" t="s">
        <v>387</v>
      </c>
      <c r="B850" s="147" t="s">
        <v>387</v>
      </c>
      <c r="C850" s="427" t="s">
        <v>119</v>
      </c>
      <c r="D850" s="427"/>
      <c r="E850" s="427"/>
      <c r="F850" s="427"/>
      <c r="G850" s="427"/>
      <c r="H850" s="427"/>
    </row>
    <row r="851" spans="1:16" ht="15" customHeight="1" x14ac:dyDescent="0.2">
      <c r="A851" s="249" t="s">
        <v>387</v>
      </c>
      <c r="B851" s="147" t="s">
        <v>387</v>
      </c>
      <c r="C851" s="428" t="str">
        <f>C3</f>
        <v xml:space="preserve"> PRESUPUESTO AÑO 2024</v>
      </c>
      <c r="D851" s="428"/>
      <c r="E851" s="428"/>
      <c r="F851" s="428"/>
      <c r="G851" s="428"/>
      <c r="H851" s="428"/>
    </row>
    <row r="852" spans="1:16" ht="15" customHeight="1" x14ac:dyDescent="0.2">
      <c r="A852" s="249" t="s">
        <v>387</v>
      </c>
      <c r="B852" s="147" t="s">
        <v>387</v>
      </c>
      <c r="C852" s="428" t="str">
        <f>C4</f>
        <v>PRESUPUESTO EXTRA CONTABLE</v>
      </c>
      <c r="D852" s="428"/>
      <c r="E852" s="428"/>
      <c r="F852" s="428"/>
      <c r="G852" s="428"/>
      <c r="H852" s="428"/>
    </row>
    <row r="853" spans="1:16" ht="15" customHeight="1" x14ac:dyDescent="0.2">
      <c r="A853" s="249" t="s">
        <v>387</v>
      </c>
      <c r="B853" s="147" t="s">
        <v>387</v>
      </c>
      <c r="C853" s="427" t="s">
        <v>117</v>
      </c>
      <c r="D853" s="427"/>
      <c r="E853" s="427"/>
      <c r="F853" s="427"/>
      <c r="G853" s="427"/>
      <c r="H853" s="427"/>
    </row>
    <row r="854" spans="1:16" ht="15" customHeight="1" x14ac:dyDescent="0.2">
      <c r="A854" s="249" t="s">
        <v>387</v>
      </c>
      <c r="B854" s="147" t="s">
        <v>387</v>
      </c>
      <c r="C854" s="427" t="s">
        <v>749</v>
      </c>
      <c r="D854" s="427"/>
      <c r="E854" s="427"/>
      <c r="F854" s="427"/>
      <c r="G854" s="427"/>
      <c r="H854" s="427"/>
    </row>
    <row r="855" spans="1:16" ht="15" customHeight="1" x14ac:dyDescent="0.2">
      <c r="A855" s="249" t="s">
        <v>387</v>
      </c>
      <c r="B855" s="147" t="s">
        <v>387</v>
      </c>
      <c r="C855" s="435" t="s">
        <v>1</v>
      </c>
      <c r="D855" s="430" t="s">
        <v>0</v>
      </c>
      <c r="E855" s="255" t="s">
        <v>56</v>
      </c>
      <c r="F855" s="255" t="str">
        <f>F7</f>
        <v>REFORMA</v>
      </c>
      <c r="G855" s="255" t="s">
        <v>56</v>
      </c>
      <c r="H855" s="432" t="str">
        <f>$H$7</f>
        <v>TOTAL 2024</v>
      </c>
      <c r="I855" s="153" t="s">
        <v>285</v>
      </c>
      <c r="J855" s="153"/>
      <c r="K855" s="153"/>
      <c r="L855" s="153"/>
      <c r="M855" s="153"/>
      <c r="N855" s="269" t="s">
        <v>295</v>
      </c>
    </row>
    <row r="856" spans="1:16" ht="15" customHeight="1" x14ac:dyDescent="0.2">
      <c r="A856" s="249" t="s">
        <v>387</v>
      </c>
      <c r="B856" s="147" t="s">
        <v>387</v>
      </c>
      <c r="C856" s="436"/>
      <c r="D856" s="431"/>
      <c r="E856" s="255" t="s">
        <v>139</v>
      </c>
      <c r="F856" s="255"/>
      <c r="G856" s="255" t="s">
        <v>140</v>
      </c>
      <c r="H856" s="433"/>
      <c r="I856" s="153" t="s">
        <v>286</v>
      </c>
      <c r="J856" s="153" t="s">
        <v>290</v>
      </c>
      <c r="K856" s="153" t="s">
        <v>291</v>
      </c>
      <c r="L856" s="153" t="s">
        <v>293</v>
      </c>
      <c r="M856" s="153" t="s">
        <v>292</v>
      </c>
    </row>
    <row r="857" spans="1:16" ht="15" customHeight="1" x14ac:dyDescent="0.2">
      <c r="A857" s="249">
        <v>6</v>
      </c>
      <c r="B857" s="147">
        <v>16</v>
      </c>
      <c r="C857" s="61">
        <v>51101</v>
      </c>
      <c r="D857" s="73" t="s">
        <v>15</v>
      </c>
      <c r="E857" s="74"/>
      <c r="F857" s="74"/>
      <c r="G857" s="272">
        <v>40692</v>
      </c>
      <c r="H857" s="76">
        <f t="shared" ref="H857:H879" si="36">E857+F857+G857</f>
        <v>40692</v>
      </c>
      <c r="I857" s="73"/>
      <c r="J857" s="73"/>
      <c r="K857" s="256"/>
      <c r="L857" s="256"/>
      <c r="M857" s="256"/>
    </row>
    <row r="858" spans="1:16" ht="15" customHeight="1" x14ac:dyDescent="0.2">
      <c r="A858" s="249">
        <v>6</v>
      </c>
      <c r="B858" s="147">
        <v>16</v>
      </c>
      <c r="C858" s="61">
        <v>51103</v>
      </c>
      <c r="D858" s="73" t="s">
        <v>16</v>
      </c>
      <c r="E858" s="76"/>
      <c r="F858" s="76"/>
      <c r="G858" s="272">
        <v>3391</v>
      </c>
      <c r="H858" s="76">
        <f t="shared" si="36"/>
        <v>3391</v>
      </c>
      <c r="I858" s="73"/>
      <c r="J858" s="73"/>
      <c r="K858" s="256"/>
      <c r="L858" s="256"/>
      <c r="M858" s="256"/>
      <c r="P858" s="147">
        <v>3014</v>
      </c>
    </row>
    <row r="859" spans="1:16" ht="15" customHeight="1" x14ac:dyDescent="0.2">
      <c r="A859" s="249">
        <v>6</v>
      </c>
      <c r="B859" s="147">
        <v>16</v>
      </c>
      <c r="C859" s="61">
        <v>51107</v>
      </c>
      <c r="D859" s="73" t="s">
        <v>34</v>
      </c>
      <c r="E859" s="76"/>
      <c r="F859" s="76"/>
      <c r="G859" s="272">
        <f>1400+4800</f>
        <v>6200</v>
      </c>
      <c r="H859" s="76">
        <f t="shared" si="36"/>
        <v>6200</v>
      </c>
      <c r="I859" s="73"/>
      <c r="J859" s="73"/>
      <c r="K859" s="256"/>
      <c r="L859" s="256"/>
      <c r="M859" s="256"/>
    </row>
    <row r="860" spans="1:16" ht="15" customHeight="1" x14ac:dyDescent="0.2">
      <c r="A860" s="249">
        <v>6</v>
      </c>
      <c r="B860" s="147">
        <v>16</v>
      </c>
      <c r="C860" s="61">
        <v>51401</v>
      </c>
      <c r="D860" s="62" t="s">
        <v>47</v>
      </c>
      <c r="F860" s="74"/>
      <c r="G860" s="272">
        <v>3458.82</v>
      </c>
      <c r="H860" s="76">
        <f t="shared" si="36"/>
        <v>3458.82</v>
      </c>
      <c r="I860" s="73"/>
      <c r="J860" s="73"/>
      <c r="K860" s="256"/>
      <c r="L860" s="256"/>
      <c r="M860" s="256"/>
      <c r="O860" s="257"/>
    </row>
    <row r="861" spans="1:16" ht="15" customHeight="1" x14ac:dyDescent="0.2">
      <c r="A861" s="249">
        <v>6</v>
      </c>
      <c r="B861" s="147">
        <v>16</v>
      </c>
      <c r="C861" s="61">
        <v>51501</v>
      </c>
      <c r="D861" s="73" t="s">
        <v>29</v>
      </c>
      <c r="E861" s="74"/>
      <c r="F861" s="74"/>
      <c r="G861" s="272">
        <v>3560.5499999999997</v>
      </c>
      <c r="H861" s="76">
        <f t="shared" si="36"/>
        <v>3560.5499999999997</v>
      </c>
      <c r="I861" s="73"/>
      <c r="J861" s="73"/>
      <c r="K861" s="256"/>
      <c r="L861" s="256"/>
      <c r="M861" s="256"/>
    </row>
    <row r="862" spans="1:16" ht="15" customHeight="1" x14ac:dyDescent="0.2">
      <c r="A862" s="249">
        <v>6</v>
      </c>
      <c r="B862" s="147">
        <v>16</v>
      </c>
      <c r="C862" s="61">
        <v>51901</v>
      </c>
      <c r="D862" s="73" t="s">
        <v>330</v>
      </c>
      <c r="E862" s="74"/>
      <c r="F862" s="74"/>
      <c r="G862" s="76">
        <v>8400</v>
      </c>
      <c r="H862" s="76">
        <f t="shared" si="36"/>
        <v>8400</v>
      </c>
      <c r="I862" s="73"/>
      <c r="J862" s="73"/>
      <c r="K862" s="256"/>
      <c r="L862" s="256"/>
      <c r="M862" s="256"/>
    </row>
    <row r="863" spans="1:16" ht="15" customHeight="1" x14ac:dyDescent="0.2">
      <c r="A863" s="249">
        <v>6</v>
      </c>
      <c r="B863" s="147">
        <v>16</v>
      </c>
      <c r="C863" s="61">
        <v>54104</v>
      </c>
      <c r="D863" s="73" t="s">
        <v>17</v>
      </c>
      <c r="E863" s="74"/>
      <c r="F863" s="74"/>
      <c r="G863" s="76">
        <v>800</v>
      </c>
      <c r="H863" s="76">
        <f t="shared" si="36"/>
        <v>800</v>
      </c>
      <c r="I863" s="73"/>
      <c r="J863" s="73"/>
      <c r="K863" s="256"/>
      <c r="L863" s="256"/>
      <c r="M863" s="256"/>
    </row>
    <row r="864" spans="1:16" ht="15" customHeight="1" x14ac:dyDescent="0.2">
      <c r="A864" s="249">
        <v>6</v>
      </c>
      <c r="B864" s="147">
        <v>16</v>
      </c>
      <c r="C864" s="61">
        <v>54105</v>
      </c>
      <c r="D864" s="73" t="s">
        <v>3</v>
      </c>
      <c r="E864" s="74"/>
      <c r="F864" s="74"/>
      <c r="G864" s="262">
        <v>300</v>
      </c>
      <c r="H864" s="76">
        <f t="shared" si="36"/>
        <v>300</v>
      </c>
      <c r="I864" s="73"/>
      <c r="J864" s="73"/>
      <c r="K864" s="256"/>
      <c r="L864" s="256"/>
      <c r="M864" s="256"/>
    </row>
    <row r="865" spans="1:18" ht="15" customHeight="1" x14ac:dyDescent="0.2">
      <c r="A865" s="249">
        <v>6</v>
      </c>
      <c r="B865" s="147">
        <v>16</v>
      </c>
      <c r="C865" s="61">
        <v>54107</v>
      </c>
      <c r="D865" s="73" t="s">
        <v>43</v>
      </c>
      <c r="E865" s="74"/>
      <c r="F865" s="74"/>
      <c r="G865" s="76">
        <v>215</v>
      </c>
      <c r="H865" s="76">
        <f t="shared" si="36"/>
        <v>215</v>
      </c>
      <c r="I865" s="73"/>
      <c r="J865" s="73"/>
      <c r="K865" s="256"/>
      <c r="L865" s="256"/>
      <c r="M865" s="256"/>
    </row>
    <row r="866" spans="1:18" ht="15" customHeight="1" x14ac:dyDescent="0.2">
      <c r="A866" s="249">
        <v>6</v>
      </c>
      <c r="B866" s="147">
        <v>16</v>
      </c>
      <c r="C866" s="61">
        <v>54112</v>
      </c>
      <c r="D866" s="73" t="s">
        <v>42</v>
      </c>
      <c r="E866" s="74"/>
      <c r="F866" s="74"/>
      <c r="G866" s="76">
        <v>100</v>
      </c>
      <c r="H866" s="76">
        <f t="shared" si="36"/>
        <v>100</v>
      </c>
      <c r="I866" s="73"/>
      <c r="J866" s="73"/>
      <c r="K866" s="256"/>
      <c r="L866" s="256"/>
      <c r="M866" s="256"/>
    </row>
    <row r="867" spans="1:18" ht="15" customHeight="1" x14ac:dyDescent="0.2">
      <c r="A867" s="249">
        <v>6</v>
      </c>
      <c r="B867" s="147">
        <v>16</v>
      </c>
      <c r="C867" s="61">
        <v>54114</v>
      </c>
      <c r="D867" s="73" t="s">
        <v>5</v>
      </c>
      <c r="E867" s="74"/>
      <c r="F867" s="74"/>
      <c r="G867" s="76">
        <v>1000</v>
      </c>
      <c r="H867" s="76">
        <f t="shared" si="36"/>
        <v>1000</v>
      </c>
      <c r="I867" s="73"/>
      <c r="J867" s="73"/>
      <c r="K867" s="256"/>
      <c r="L867" s="256"/>
      <c r="M867" s="256"/>
    </row>
    <row r="868" spans="1:18" ht="15" customHeight="1" x14ac:dyDescent="0.2">
      <c r="A868" s="249">
        <v>6</v>
      </c>
      <c r="B868" s="147">
        <v>16</v>
      </c>
      <c r="C868" s="61">
        <v>54115</v>
      </c>
      <c r="D868" s="73" t="s">
        <v>49</v>
      </c>
      <c r="E868" s="74"/>
      <c r="F868" s="74"/>
      <c r="G868" s="76">
        <v>1500</v>
      </c>
      <c r="H868" s="76">
        <f t="shared" si="36"/>
        <v>1500</v>
      </c>
      <c r="I868" s="73"/>
      <c r="J868" s="73"/>
      <c r="K868" s="256"/>
      <c r="L868" s="256"/>
      <c r="M868" s="256"/>
    </row>
    <row r="869" spans="1:18" ht="15" customHeight="1" x14ac:dyDescent="0.2">
      <c r="A869" s="249">
        <v>6</v>
      </c>
      <c r="B869" s="147">
        <v>16</v>
      </c>
      <c r="C869" s="61">
        <v>54119</v>
      </c>
      <c r="D869" s="73" t="s">
        <v>44</v>
      </c>
      <c r="E869" s="74"/>
      <c r="F869" s="74"/>
      <c r="G869" s="76">
        <v>700</v>
      </c>
      <c r="H869" s="76">
        <f t="shared" si="36"/>
        <v>700</v>
      </c>
      <c r="I869" s="73"/>
      <c r="J869" s="73"/>
      <c r="K869" s="256"/>
      <c r="L869" s="256"/>
      <c r="M869" s="256"/>
    </row>
    <row r="870" spans="1:18" ht="15" customHeight="1" x14ac:dyDescent="0.2">
      <c r="A870" s="249">
        <v>6</v>
      </c>
      <c r="B870" s="147">
        <v>16</v>
      </c>
      <c r="C870" s="61">
        <v>54199</v>
      </c>
      <c r="D870" s="73" t="s">
        <v>26</v>
      </c>
      <c r="E870" s="74"/>
      <c r="F870" s="74"/>
      <c r="G870" s="76">
        <v>750</v>
      </c>
      <c r="H870" s="76">
        <f t="shared" si="36"/>
        <v>750</v>
      </c>
      <c r="I870" s="73"/>
      <c r="J870" s="73"/>
      <c r="K870" s="256"/>
      <c r="L870" s="256"/>
      <c r="M870" s="256"/>
    </row>
    <row r="871" spans="1:18" ht="15" customHeight="1" x14ac:dyDescent="0.2">
      <c r="A871" s="249">
        <v>6</v>
      </c>
      <c r="B871" s="147">
        <v>16</v>
      </c>
      <c r="C871" s="61">
        <v>54301</v>
      </c>
      <c r="D871" s="62" t="s">
        <v>8</v>
      </c>
      <c r="E871" s="74"/>
      <c r="F871" s="74"/>
      <c r="G871" s="76">
        <v>200</v>
      </c>
      <c r="H871" s="76">
        <f t="shared" si="36"/>
        <v>200</v>
      </c>
      <c r="I871" s="73"/>
      <c r="J871" s="73"/>
      <c r="K871" s="256"/>
      <c r="L871" s="256"/>
      <c r="M871" s="256"/>
    </row>
    <row r="872" spans="1:18" ht="15" customHeight="1" x14ac:dyDescent="0.2">
      <c r="A872" s="249">
        <v>6</v>
      </c>
      <c r="B872" s="147">
        <v>16</v>
      </c>
      <c r="C872" s="61">
        <v>54313</v>
      </c>
      <c r="D872" s="62" t="s">
        <v>11</v>
      </c>
      <c r="E872" s="74"/>
      <c r="F872" s="74"/>
      <c r="G872" s="76">
        <v>100</v>
      </c>
      <c r="H872" s="76">
        <f t="shared" si="36"/>
        <v>100</v>
      </c>
      <c r="I872" s="73"/>
      <c r="J872" s="73"/>
      <c r="K872" s="256"/>
      <c r="L872" s="256"/>
      <c r="M872" s="256"/>
    </row>
    <row r="873" spans="1:18" ht="15" customHeight="1" x14ac:dyDescent="0.2">
      <c r="A873" s="249">
        <v>6</v>
      </c>
      <c r="B873" s="147">
        <v>16</v>
      </c>
      <c r="C873" s="61">
        <v>54399</v>
      </c>
      <c r="D873" s="62" t="s">
        <v>153</v>
      </c>
      <c r="E873" s="74"/>
      <c r="F873" s="74"/>
      <c r="G873" s="76">
        <v>200</v>
      </c>
      <c r="H873" s="76">
        <f t="shared" si="36"/>
        <v>200</v>
      </c>
      <c r="I873" s="73"/>
      <c r="J873" s="73"/>
      <c r="K873" s="256"/>
      <c r="L873" s="256"/>
      <c r="M873" s="256"/>
    </row>
    <row r="874" spans="1:18" ht="15" customHeight="1" x14ac:dyDescent="0.2">
      <c r="A874" s="249">
        <v>6</v>
      </c>
      <c r="B874" s="147">
        <v>16</v>
      </c>
      <c r="C874" s="61">
        <v>54401</v>
      </c>
      <c r="D874" s="73" t="s">
        <v>30</v>
      </c>
      <c r="E874" s="74"/>
      <c r="F874" s="74"/>
      <c r="G874" s="76">
        <v>100</v>
      </c>
      <c r="H874" s="76">
        <f t="shared" si="36"/>
        <v>100</v>
      </c>
      <c r="I874" s="73"/>
      <c r="J874" s="73"/>
      <c r="K874" s="256"/>
      <c r="L874" s="256"/>
      <c r="M874" s="256"/>
    </row>
    <row r="875" spans="1:18" ht="15" customHeight="1" x14ac:dyDescent="0.2">
      <c r="A875" s="249">
        <v>6</v>
      </c>
      <c r="B875" s="147">
        <v>16</v>
      </c>
      <c r="C875" s="61">
        <v>61101</v>
      </c>
      <c r="D875" s="73" t="s">
        <v>144</v>
      </c>
      <c r="E875" s="74"/>
      <c r="F875" s="74"/>
      <c r="G875" s="76">
        <v>1500</v>
      </c>
      <c r="H875" s="76">
        <f t="shared" si="36"/>
        <v>1500</v>
      </c>
      <c r="I875" s="73"/>
      <c r="J875" s="73"/>
      <c r="K875" s="256"/>
      <c r="L875" s="256"/>
      <c r="M875" s="256"/>
    </row>
    <row r="876" spans="1:18" ht="15" customHeight="1" x14ac:dyDescent="0.2">
      <c r="A876" s="249">
        <v>6</v>
      </c>
      <c r="B876" s="147">
        <v>16</v>
      </c>
      <c r="C876" s="61">
        <v>61102</v>
      </c>
      <c r="D876" s="73" t="s">
        <v>28</v>
      </c>
      <c r="E876" s="74"/>
      <c r="F876" s="74"/>
      <c r="G876" s="76">
        <v>2900</v>
      </c>
      <c r="H876" s="76">
        <f t="shared" si="36"/>
        <v>2900</v>
      </c>
      <c r="I876" s="73"/>
      <c r="J876" s="73"/>
      <c r="K876" s="256"/>
      <c r="L876" s="256"/>
      <c r="M876" s="256"/>
    </row>
    <row r="877" spans="1:18" ht="15" customHeight="1" x14ac:dyDescent="0.2">
      <c r="A877" s="249">
        <v>6</v>
      </c>
      <c r="B877" s="147">
        <v>16</v>
      </c>
      <c r="C877" s="61">
        <v>61104</v>
      </c>
      <c r="D877" s="73" t="s">
        <v>46</v>
      </c>
      <c r="E877" s="74"/>
      <c r="F877" s="74"/>
      <c r="G877" s="76">
        <v>1500</v>
      </c>
      <c r="H877" s="76">
        <f t="shared" si="36"/>
        <v>1500</v>
      </c>
      <c r="I877" s="73"/>
      <c r="J877" s="73"/>
      <c r="K877" s="256"/>
      <c r="L877" s="256"/>
      <c r="M877" s="256"/>
    </row>
    <row r="878" spans="1:18" ht="15" customHeight="1" x14ac:dyDescent="0.2">
      <c r="A878" s="249">
        <v>6</v>
      </c>
      <c r="B878" s="147">
        <v>16</v>
      </c>
      <c r="C878" s="61">
        <v>61403</v>
      </c>
      <c r="D878" s="73" t="s">
        <v>345</v>
      </c>
      <c r="E878" s="74"/>
      <c r="F878" s="74"/>
      <c r="G878" s="76">
        <v>1300</v>
      </c>
      <c r="H878" s="76">
        <f t="shared" si="36"/>
        <v>1300</v>
      </c>
      <c r="I878" s="73"/>
      <c r="J878" s="73"/>
      <c r="K878" s="256"/>
      <c r="L878" s="256"/>
      <c r="M878" s="256"/>
    </row>
    <row r="879" spans="1:18" ht="15" customHeight="1" x14ac:dyDescent="0.2">
      <c r="A879" s="249">
        <v>6</v>
      </c>
      <c r="B879" s="147" t="s">
        <v>576</v>
      </c>
      <c r="C879" s="61"/>
      <c r="D879" s="61" t="s">
        <v>14</v>
      </c>
      <c r="E879" s="138">
        <f>SUM(E857:E877)</f>
        <v>0</v>
      </c>
      <c r="F879" s="138">
        <f>SUM(F857:F877)</f>
        <v>0</v>
      </c>
      <c r="G879" s="138">
        <f>SUM(G857:G878)</f>
        <v>78867.37</v>
      </c>
      <c r="H879" s="83">
        <f t="shared" si="36"/>
        <v>78867.37</v>
      </c>
      <c r="I879" s="73"/>
      <c r="J879" s="73"/>
      <c r="K879" s="256"/>
      <c r="L879" s="256"/>
      <c r="M879" s="256"/>
      <c r="O879" s="258"/>
      <c r="P879" s="259"/>
    </row>
    <row r="880" spans="1:18" ht="15" customHeight="1" x14ac:dyDescent="0.2">
      <c r="A880" s="249" t="s">
        <v>387</v>
      </c>
      <c r="B880" s="147" t="s">
        <v>387</v>
      </c>
      <c r="C880" s="148"/>
      <c r="D880" s="148"/>
      <c r="E880" s="260"/>
      <c r="F880" s="260"/>
      <c r="G880" s="261"/>
      <c r="H880" s="261"/>
      <c r="O880" s="258"/>
      <c r="P880" s="259"/>
      <c r="Q880" s="282"/>
      <c r="R880" s="259"/>
    </row>
    <row r="881" spans="1:15" ht="15" customHeight="1" x14ac:dyDescent="0.2">
      <c r="A881" s="249" t="s">
        <v>387</v>
      </c>
      <c r="B881" s="147" t="s">
        <v>387</v>
      </c>
      <c r="C881" s="148"/>
      <c r="D881" s="148"/>
      <c r="E881" s="260"/>
      <c r="F881" s="260"/>
      <c r="G881" s="261"/>
      <c r="H881" s="261"/>
    </row>
    <row r="882" spans="1:15" ht="15" customHeight="1" x14ac:dyDescent="0.2">
      <c r="A882" s="249" t="s">
        <v>387</v>
      </c>
      <c r="B882" s="147" t="s">
        <v>387</v>
      </c>
      <c r="C882" s="427"/>
      <c r="D882" s="427"/>
      <c r="E882" s="427"/>
      <c r="F882" s="427"/>
      <c r="G882" s="427"/>
      <c r="H882" s="427"/>
    </row>
    <row r="883" spans="1:15" ht="15" customHeight="1" x14ac:dyDescent="0.2">
      <c r="A883" s="249" t="s">
        <v>387</v>
      </c>
      <c r="B883" s="147" t="s">
        <v>387</v>
      </c>
      <c r="C883" s="427" t="s">
        <v>119</v>
      </c>
      <c r="D883" s="427"/>
      <c r="E883" s="427"/>
      <c r="F883" s="427"/>
      <c r="G883" s="427"/>
      <c r="H883" s="427"/>
    </row>
    <row r="884" spans="1:15" ht="15" customHeight="1" x14ac:dyDescent="0.2">
      <c r="A884" s="249" t="s">
        <v>387</v>
      </c>
      <c r="B884" s="147" t="s">
        <v>387</v>
      </c>
      <c r="C884" s="428" t="str">
        <f>+C3</f>
        <v xml:space="preserve"> PRESUPUESTO AÑO 2024</v>
      </c>
      <c r="D884" s="428"/>
      <c r="E884" s="428"/>
      <c r="F884" s="428"/>
      <c r="G884" s="428"/>
      <c r="H884" s="428"/>
    </row>
    <row r="885" spans="1:15" ht="15" customHeight="1" x14ac:dyDescent="0.2">
      <c r="A885" s="249" t="s">
        <v>387</v>
      </c>
      <c r="B885" s="147" t="s">
        <v>387</v>
      </c>
      <c r="C885" s="428" t="s">
        <v>499</v>
      </c>
      <c r="D885" s="428"/>
      <c r="E885" s="428"/>
      <c r="F885" s="428"/>
      <c r="G885" s="428"/>
      <c r="H885" s="428"/>
    </row>
    <row r="886" spans="1:15" ht="15" customHeight="1" x14ac:dyDescent="0.2">
      <c r="A886" s="249" t="s">
        <v>387</v>
      </c>
      <c r="B886" s="147" t="s">
        <v>387</v>
      </c>
      <c r="C886" s="427" t="s">
        <v>117</v>
      </c>
      <c r="D886" s="427"/>
      <c r="E886" s="427"/>
      <c r="F886" s="427"/>
      <c r="G886" s="427"/>
      <c r="H886" s="427"/>
    </row>
    <row r="887" spans="1:15" ht="15" customHeight="1" x14ac:dyDescent="0.2">
      <c r="A887" s="249" t="s">
        <v>387</v>
      </c>
      <c r="B887" s="147" t="s">
        <v>387</v>
      </c>
      <c r="C887" s="429" t="s">
        <v>750</v>
      </c>
      <c r="D887" s="429"/>
      <c r="E887" s="429"/>
      <c r="F887" s="429"/>
      <c r="G887" s="429"/>
      <c r="H887" s="429"/>
    </row>
    <row r="888" spans="1:15" ht="15" customHeight="1" x14ac:dyDescent="0.2">
      <c r="A888" s="249" t="s">
        <v>387</v>
      </c>
      <c r="B888" s="147" t="s">
        <v>387</v>
      </c>
      <c r="C888" s="435" t="s">
        <v>1</v>
      </c>
      <c r="D888" s="430" t="s">
        <v>0</v>
      </c>
      <c r="E888" s="255" t="s">
        <v>56</v>
      </c>
      <c r="F888" s="255">
        <f>F43</f>
        <v>0</v>
      </c>
      <c r="G888" s="255" t="s">
        <v>56</v>
      </c>
      <c r="H888" s="432" t="str">
        <f>$H$7</f>
        <v>TOTAL 2024</v>
      </c>
      <c r="I888" s="153" t="s">
        <v>285</v>
      </c>
      <c r="J888" s="153"/>
      <c r="K888" s="153"/>
      <c r="L888" s="153"/>
      <c r="M888" s="153"/>
      <c r="N888" s="269" t="s">
        <v>295</v>
      </c>
    </row>
    <row r="889" spans="1:15" ht="15" customHeight="1" x14ac:dyDescent="0.2">
      <c r="A889" s="249" t="s">
        <v>387</v>
      </c>
      <c r="B889" s="147" t="s">
        <v>387</v>
      </c>
      <c r="C889" s="436"/>
      <c r="D889" s="431"/>
      <c r="E889" s="255" t="s">
        <v>139</v>
      </c>
      <c r="F889" s="255"/>
      <c r="G889" s="255" t="s">
        <v>140</v>
      </c>
      <c r="H889" s="433"/>
      <c r="I889" s="153" t="s">
        <v>286</v>
      </c>
      <c r="J889" s="153" t="s">
        <v>290</v>
      </c>
      <c r="K889" s="153" t="s">
        <v>291</v>
      </c>
      <c r="L889" s="153" t="s">
        <v>293</v>
      </c>
      <c r="M889" s="153" t="s">
        <v>292</v>
      </c>
    </row>
    <row r="890" spans="1:15" ht="15" customHeight="1" x14ac:dyDescent="0.2">
      <c r="A890" s="249">
        <v>6</v>
      </c>
      <c r="B890" s="147" t="s">
        <v>567</v>
      </c>
      <c r="C890" s="61">
        <v>51101</v>
      </c>
      <c r="D890" s="73" t="s">
        <v>15</v>
      </c>
      <c r="E890" s="74"/>
      <c r="F890" s="74"/>
      <c r="G890" s="272">
        <v>6000</v>
      </c>
      <c r="H890" s="76">
        <f t="shared" ref="H890:H916" si="37">E890+F890+G890</f>
        <v>6000</v>
      </c>
      <c r="I890" s="73"/>
      <c r="J890" s="73"/>
      <c r="K890" s="256"/>
      <c r="L890" s="256"/>
      <c r="M890" s="256"/>
    </row>
    <row r="891" spans="1:15" ht="15" customHeight="1" x14ac:dyDescent="0.2">
      <c r="A891" s="249">
        <v>6</v>
      </c>
      <c r="B891" s="147" t="s">
        <v>567</v>
      </c>
      <c r="C891" s="61">
        <v>51103</v>
      </c>
      <c r="D891" s="73" t="s">
        <v>16</v>
      </c>
      <c r="E891" s="76"/>
      <c r="F891" s="76"/>
      <c r="G891" s="272">
        <v>500</v>
      </c>
      <c r="H891" s="76">
        <f t="shared" si="37"/>
        <v>500</v>
      </c>
      <c r="I891" s="73"/>
      <c r="J891" s="73"/>
      <c r="K891" s="256"/>
      <c r="L891" s="256"/>
      <c r="M891" s="256"/>
    </row>
    <row r="892" spans="1:15" ht="15" customHeight="1" x14ac:dyDescent="0.2">
      <c r="A892" s="249">
        <v>6</v>
      </c>
      <c r="B892" s="147" t="s">
        <v>567</v>
      </c>
      <c r="C892" s="61">
        <v>51107</v>
      </c>
      <c r="D892" s="73" t="s">
        <v>34</v>
      </c>
      <c r="E892" s="76"/>
      <c r="F892" s="76"/>
      <c r="G892" s="272">
        <f>200+1200</f>
        <v>1400</v>
      </c>
      <c r="H892" s="76">
        <f t="shared" si="37"/>
        <v>1400</v>
      </c>
      <c r="I892" s="73"/>
      <c r="J892" s="73"/>
      <c r="K892" s="256"/>
      <c r="L892" s="256"/>
      <c r="M892" s="256"/>
    </row>
    <row r="893" spans="1:15" ht="15" customHeight="1" x14ac:dyDescent="0.2">
      <c r="A893" s="249">
        <v>6</v>
      </c>
      <c r="B893" s="147" t="s">
        <v>567</v>
      </c>
      <c r="C893" s="61">
        <v>51401</v>
      </c>
      <c r="D893" s="62" t="s">
        <v>47</v>
      </c>
      <c r="E893" s="74"/>
      <c r="F893" s="74"/>
      <c r="G893" s="272">
        <v>510.00000000000006</v>
      </c>
      <c r="H893" s="76">
        <f t="shared" si="37"/>
        <v>510.00000000000006</v>
      </c>
      <c r="I893" s="73"/>
      <c r="J893" s="73"/>
      <c r="K893" s="256"/>
      <c r="L893" s="256"/>
      <c r="M893" s="256"/>
      <c r="O893" s="257"/>
    </row>
    <row r="894" spans="1:15" ht="15" customHeight="1" x14ac:dyDescent="0.2">
      <c r="A894" s="249">
        <v>6</v>
      </c>
      <c r="B894" s="147" t="s">
        <v>567</v>
      </c>
      <c r="C894" s="61">
        <v>51501</v>
      </c>
      <c r="D894" s="73" t="s">
        <v>29</v>
      </c>
      <c r="E894" s="74"/>
      <c r="F894" s="74"/>
      <c r="G894" s="272">
        <v>525</v>
      </c>
      <c r="H894" s="76">
        <f t="shared" si="37"/>
        <v>525</v>
      </c>
      <c r="I894" s="73"/>
      <c r="J894" s="73"/>
      <c r="K894" s="256"/>
      <c r="L894" s="256"/>
      <c r="M894" s="256"/>
    </row>
    <row r="895" spans="1:15" ht="15" customHeight="1" x14ac:dyDescent="0.2">
      <c r="A895" s="249">
        <v>6</v>
      </c>
      <c r="B895" s="147" t="s">
        <v>567</v>
      </c>
      <c r="C895" s="61">
        <v>51901</v>
      </c>
      <c r="D895" s="73" t="s">
        <v>330</v>
      </c>
      <c r="E895" s="74"/>
      <c r="F895" s="74"/>
      <c r="G895" s="76">
        <v>0</v>
      </c>
      <c r="H895" s="76">
        <f t="shared" si="37"/>
        <v>0</v>
      </c>
      <c r="I895" s="73"/>
      <c r="J895" s="73"/>
      <c r="K895" s="256"/>
      <c r="L895" s="256"/>
      <c r="M895" s="256"/>
    </row>
    <row r="896" spans="1:15" ht="15" customHeight="1" x14ac:dyDescent="0.2">
      <c r="A896" s="249">
        <v>6</v>
      </c>
      <c r="B896" s="147" t="s">
        <v>567</v>
      </c>
      <c r="C896" s="61">
        <v>54104</v>
      </c>
      <c r="D896" s="73" t="s">
        <v>17</v>
      </c>
      <c r="E896" s="74"/>
      <c r="F896" s="74"/>
      <c r="G896" s="76">
        <v>500</v>
      </c>
      <c r="H896" s="76">
        <f t="shared" si="37"/>
        <v>500</v>
      </c>
      <c r="I896" s="73"/>
      <c r="J896" s="73"/>
      <c r="K896" s="256"/>
      <c r="L896" s="256"/>
      <c r="M896" s="256"/>
    </row>
    <row r="897" spans="1:13" ht="15" customHeight="1" x14ac:dyDescent="0.2">
      <c r="A897" s="249">
        <v>6</v>
      </c>
      <c r="B897" s="147" t="s">
        <v>567</v>
      </c>
      <c r="C897" s="61">
        <v>54105</v>
      </c>
      <c r="D897" s="73" t="s">
        <v>3</v>
      </c>
      <c r="E897" s="74"/>
      <c r="F897" s="74"/>
      <c r="G897" s="76">
        <v>850</v>
      </c>
      <c r="H897" s="76">
        <f t="shared" si="37"/>
        <v>850</v>
      </c>
      <c r="I897" s="73"/>
      <c r="J897" s="73"/>
      <c r="K897" s="256"/>
      <c r="L897" s="256"/>
      <c r="M897" s="256"/>
    </row>
    <row r="898" spans="1:13" ht="15" customHeight="1" x14ac:dyDescent="0.2">
      <c r="A898" s="249">
        <v>6</v>
      </c>
      <c r="B898" s="147" t="s">
        <v>567</v>
      </c>
      <c r="C898" s="61">
        <v>54107</v>
      </c>
      <c r="D898" s="73" t="s">
        <v>43</v>
      </c>
      <c r="E898" s="74"/>
      <c r="F898" s="74"/>
      <c r="G898" s="76">
        <v>200</v>
      </c>
      <c r="H898" s="76">
        <f t="shared" si="37"/>
        <v>200</v>
      </c>
      <c r="I898" s="73"/>
      <c r="J898" s="73"/>
      <c r="K898" s="256"/>
      <c r="L898" s="256"/>
      <c r="M898" s="256"/>
    </row>
    <row r="899" spans="1:13" ht="15" customHeight="1" x14ac:dyDescent="0.2">
      <c r="A899" s="249">
        <v>6</v>
      </c>
      <c r="B899" s="147" t="s">
        <v>567</v>
      </c>
      <c r="C899" s="61">
        <v>54112</v>
      </c>
      <c r="D899" s="73" t="s">
        <v>549</v>
      </c>
      <c r="E899" s="74"/>
      <c r="F899" s="74"/>
      <c r="G899" s="76">
        <v>300</v>
      </c>
      <c r="H899" s="76">
        <f t="shared" si="37"/>
        <v>300</v>
      </c>
      <c r="I899" s="73"/>
      <c r="J899" s="73"/>
      <c r="K899" s="256"/>
      <c r="L899" s="256"/>
      <c r="M899" s="256"/>
    </row>
    <row r="900" spans="1:13" ht="15" customHeight="1" x14ac:dyDescent="0.2">
      <c r="A900" s="249">
        <v>6</v>
      </c>
      <c r="B900" s="147" t="s">
        <v>567</v>
      </c>
      <c r="C900" s="61">
        <v>54113</v>
      </c>
      <c r="D900" s="62" t="s">
        <v>148</v>
      </c>
      <c r="E900" s="74"/>
      <c r="F900" s="74"/>
      <c r="G900" s="76">
        <v>150</v>
      </c>
      <c r="H900" s="76">
        <f t="shared" si="37"/>
        <v>150</v>
      </c>
      <c r="I900" s="73"/>
      <c r="J900" s="73"/>
      <c r="K900" s="256"/>
      <c r="L900" s="256"/>
      <c r="M900" s="256"/>
    </row>
    <row r="901" spans="1:13" ht="15" customHeight="1" x14ac:dyDescent="0.2">
      <c r="A901" s="249">
        <v>6</v>
      </c>
      <c r="B901" s="147" t="s">
        <v>567</v>
      </c>
      <c r="C901" s="61">
        <v>54114</v>
      </c>
      <c r="D901" s="73" t="s">
        <v>5</v>
      </c>
      <c r="E901" s="74"/>
      <c r="F901" s="74"/>
      <c r="G901" s="76">
        <v>800</v>
      </c>
      <c r="H901" s="76">
        <f t="shared" si="37"/>
        <v>800</v>
      </c>
      <c r="I901" s="73"/>
      <c r="J901" s="73"/>
      <c r="K901" s="256"/>
      <c r="L901" s="256"/>
      <c r="M901" s="256"/>
    </row>
    <row r="902" spans="1:13" ht="15" customHeight="1" x14ac:dyDescent="0.2">
      <c r="A902" s="249">
        <v>6</v>
      </c>
      <c r="B902" s="147" t="s">
        <v>567</v>
      </c>
      <c r="C902" s="61">
        <v>54115</v>
      </c>
      <c r="D902" s="73" t="s">
        <v>49</v>
      </c>
      <c r="E902" s="74"/>
      <c r="F902" s="74"/>
      <c r="G902" s="76">
        <v>3000</v>
      </c>
      <c r="H902" s="76">
        <f t="shared" si="37"/>
        <v>3000</v>
      </c>
      <c r="I902" s="73"/>
      <c r="J902" s="73"/>
      <c r="K902" s="256"/>
      <c r="L902" s="256"/>
      <c r="M902" s="256"/>
    </row>
    <row r="903" spans="1:13" ht="15" customHeight="1" x14ac:dyDescent="0.2">
      <c r="A903" s="249">
        <v>6</v>
      </c>
      <c r="B903" s="147" t="s">
        <v>567</v>
      </c>
      <c r="C903" s="61">
        <v>54118</v>
      </c>
      <c r="D903" s="73" t="s">
        <v>454</v>
      </c>
      <c r="E903" s="74"/>
      <c r="F903" s="74"/>
      <c r="G903" s="76">
        <v>1000</v>
      </c>
      <c r="H903" s="76">
        <f t="shared" si="37"/>
        <v>1000</v>
      </c>
      <c r="I903" s="73"/>
      <c r="J903" s="73"/>
      <c r="K903" s="256"/>
      <c r="L903" s="256"/>
      <c r="M903" s="256"/>
    </row>
    <row r="904" spans="1:13" ht="15" customHeight="1" x14ac:dyDescent="0.2">
      <c r="A904" s="249">
        <v>6</v>
      </c>
      <c r="B904" s="147" t="s">
        <v>567</v>
      </c>
      <c r="C904" s="61">
        <v>54119</v>
      </c>
      <c r="D904" s="73" t="s">
        <v>44</v>
      </c>
      <c r="E904" s="74"/>
      <c r="F904" s="74"/>
      <c r="G904" s="76">
        <v>150</v>
      </c>
      <c r="H904" s="76">
        <f t="shared" si="37"/>
        <v>150</v>
      </c>
      <c r="I904" s="73"/>
      <c r="J904" s="73"/>
      <c r="K904" s="256"/>
      <c r="L904" s="256"/>
      <c r="M904" s="256"/>
    </row>
    <row r="905" spans="1:13" ht="15" customHeight="1" x14ac:dyDescent="0.2">
      <c r="A905" s="249">
        <v>6</v>
      </c>
      <c r="B905" s="147" t="s">
        <v>567</v>
      </c>
      <c r="C905" s="61">
        <v>54199</v>
      </c>
      <c r="D905" s="73" t="s">
        <v>26</v>
      </c>
      <c r="E905" s="74"/>
      <c r="F905" s="74"/>
      <c r="G905" s="76">
        <v>400</v>
      </c>
      <c r="H905" s="76">
        <f t="shared" si="37"/>
        <v>400</v>
      </c>
      <c r="I905" s="73"/>
      <c r="J905" s="73"/>
      <c r="K905" s="256"/>
      <c r="L905" s="256"/>
      <c r="M905" s="256"/>
    </row>
    <row r="906" spans="1:13" ht="15" customHeight="1" x14ac:dyDescent="0.2">
      <c r="A906" s="249">
        <v>6</v>
      </c>
      <c r="B906" s="147" t="s">
        <v>567</v>
      </c>
      <c r="C906" s="61">
        <v>54301</v>
      </c>
      <c r="D906" s="62" t="s">
        <v>8</v>
      </c>
      <c r="E906" s="74"/>
      <c r="F906" s="74"/>
      <c r="G906" s="76">
        <v>100</v>
      </c>
      <c r="H906" s="76">
        <f t="shared" si="37"/>
        <v>100</v>
      </c>
      <c r="I906" s="73"/>
      <c r="J906" s="73"/>
      <c r="K906" s="256"/>
      <c r="L906" s="256"/>
      <c r="M906" s="256"/>
    </row>
    <row r="907" spans="1:13" ht="15" customHeight="1" x14ac:dyDescent="0.2">
      <c r="A907" s="249">
        <v>6</v>
      </c>
      <c r="B907" s="147" t="s">
        <v>567</v>
      </c>
      <c r="C907" s="61">
        <v>54313</v>
      </c>
      <c r="D907" s="62" t="s">
        <v>11</v>
      </c>
      <c r="E907" s="74"/>
      <c r="F907" s="74"/>
      <c r="G907" s="76">
        <v>300</v>
      </c>
      <c r="H907" s="76">
        <f t="shared" si="37"/>
        <v>300</v>
      </c>
      <c r="I907" s="73"/>
      <c r="J907" s="73"/>
      <c r="K907" s="256"/>
      <c r="L907" s="256"/>
      <c r="M907" s="256"/>
    </row>
    <row r="908" spans="1:13" ht="15" customHeight="1" x14ac:dyDescent="0.2">
      <c r="A908" s="249">
        <v>6</v>
      </c>
      <c r="B908" s="147" t="s">
        <v>567</v>
      </c>
      <c r="C908" s="61" t="s">
        <v>542</v>
      </c>
      <c r="D908" s="62" t="s">
        <v>153</v>
      </c>
      <c r="E908" s="74"/>
      <c r="F908" s="74"/>
      <c r="G908" s="76">
        <v>900</v>
      </c>
      <c r="H908" s="76">
        <f t="shared" si="37"/>
        <v>900</v>
      </c>
      <c r="I908" s="73"/>
      <c r="J908" s="73"/>
      <c r="K908" s="256"/>
      <c r="L908" s="256"/>
      <c r="M908" s="256"/>
    </row>
    <row r="909" spans="1:13" ht="15" customHeight="1" x14ac:dyDescent="0.2">
      <c r="A909" s="249">
        <v>6</v>
      </c>
      <c r="B909" s="147" t="s">
        <v>567</v>
      </c>
      <c r="C909" s="61">
        <v>54401</v>
      </c>
      <c r="D909" s="73" t="s">
        <v>30</v>
      </c>
      <c r="E909" s="74"/>
      <c r="F909" s="74"/>
      <c r="G909" s="76">
        <v>200</v>
      </c>
      <c r="H909" s="76">
        <f t="shared" si="37"/>
        <v>200</v>
      </c>
      <c r="I909" s="73"/>
      <c r="J909" s="73"/>
      <c r="K909" s="256"/>
      <c r="L909" s="256"/>
      <c r="M909" s="256"/>
    </row>
    <row r="910" spans="1:13" ht="15" customHeight="1" x14ac:dyDescent="0.2">
      <c r="A910" s="249">
        <v>6</v>
      </c>
      <c r="B910" s="147" t="s">
        <v>567</v>
      </c>
      <c r="C910" s="61">
        <v>54507</v>
      </c>
      <c r="D910" s="73" t="s">
        <v>622</v>
      </c>
      <c r="E910" s="74"/>
      <c r="F910" s="74"/>
      <c r="G910" s="76">
        <v>700</v>
      </c>
      <c r="H910" s="76">
        <f t="shared" si="37"/>
        <v>700</v>
      </c>
      <c r="I910" s="73"/>
      <c r="J910" s="73"/>
      <c r="K910" s="256"/>
      <c r="L910" s="256"/>
      <c r="M910" s="256"/>
    </row>
    <row r="911" spans="1:13" ht="15" customHeight="1" x14ac:dyDescent="0.2">
      <c r="A911" s="249">
        <v>6</v>
      </c>
      <c r="B911" s="147" t="s">
        <v>567</v>
      </c>
      <c r="C911" s="61">
        <v>61101</v>
      </c>
      <c r="D911" s="73" t="s">
        <v>144</v>
      </c>
      <c r="E911" s="74"/>
      <c r="F911" s="74"/>
      <c r="G911" s="76">
        <v>3000</v>
      </c>
      <c r="H911" s="76">
        <f t="shared" si="37"/>
        <v>3000</v>
      </c>
      <c r="I911" s="73"/>
      <c r="J911" s="73"/>
      <c r="K911" s="256"/>
      <c r="L911" s="256"/>
      <c r="M911" s="256"/>
    </row>
    <row r="912" spans="1:13" ht="15" customHeight="1" x14ac:dyDescent="0.2">
      <c r="A912" s="249">
        <v>6</v>
      </c>
      <c r="B912" s="147" t="s">
        <v>567</v>
      </c>
      <c r="C912" s="61">
        <v>61102</v>
      </c>
      <c r="D912" s="73" t="s">
        <v>28</v>
      </c>
      <c r="E912" s="74"/>
      <c r="F912" s="74"/>
      <c r="G912" s="76">
        <v>1400</v>
      </c>
      <c r="H912" s="76">
        <f t="shared" si="37"/>
        <v>1400</v>
      </c>
      <c r="I912" s="73"/>
      <c r="J912" s="73"/>
      <c r="K912" s="256"/>
      <c r="L912" s="256"/>
      <c r="M912" s="256"/>
    </row>
    <row r="913" spans="1:18" ht="15" customHeight="1" x14ac:dyDescent="0.2">
      <c r="A913" s="249">
        <v>6</v>
      </c>
      <c r="B913" s="147" t="s">
        <v>567</v>
      </c>
      <c r="C913" s="61">
        <v>61104</v>
      </c>
      <c r="D913" s="73" t="s">
        <v>46</v>
      </c>
      <c r="E913" s="74"/>
      <c r="F913" s="74"/>
      <c r="G913" s="76">
        <v>2500</v>
      </c>
      <c r="H913" s="76">
        <f t="shared" si="37"/>
        <v>2500</v>
      </c>
      <c r="I913" s="73"/>
      <c r="J913" s="73"/>
      <c r="K913" s="256"/>
      <c r="L913" s="256"/>
      <c r="M913" s="256"/>
    </row>
    <row r="914" spans="1:18" ht="15" customHeight="1" x14ac:dyDescent="0.2">
      <c r="A914" s="249">
        <v>6</v>
      </c>
      <c r="B914" s="147" t="s">
        <v>567</v>
      </c>
      <c r="C914" s="61">
        <v>61108</v>
      </c>
      <c r="D914" s="73" t="s">
        <v>545</v>
      </c>
      <c r="E914" s="74"/>
      <c r="F914" s="74"/>
      <c r="G914" s="76">
        <v>300</v>
      </c>
      <c r="H914" s="76">
        <f t="shared" si="37"/>
        <v>300</v>
      </c>
      <c r="I914" s="73"/>
      <c r="J914" s="73"/>
      <c r="K914" s="256"/>
      <c r="L914" s="256"/>
      <c r="M914" s="256"/>
    </row>
    <row r="915" spans="1:18" ht="15" customHeight="1" x14ac:dyDescent="0.2">
      <c r="A915" s="249">
        <v>6</v>
      </c>
      <c r="B915" s="147" t="s">
        <v>567</v>
      </c>
      <c r="C915" s="61">
        <v>61403</v>
      </c>
      <c r="D915" s="73" t="s">
        <v>345</v>
      </c>
      <c r="E915" s="74"/>
      <c r="F915" s="74"/>
      <c r="G915" s="76">
        <v>400</v>
      </c>
      <c r="H915" s="76">
        <f t="shared" si="37"/>
        <v>400</v>
      </c>
      <c r="I915" s="73"/>
      <c r="J915" s="73"/>
      <c r="K915" s="256"/>
      <c r="L915" s="256"/>
      <c r="M915" s="256"/>
    </row>
    <row r="916" spans="1:18" ht="15" customHeight="1" x14ac:dyDescent="0.2">
      <c r="A916" s="249">
        <v>6</v>
      </c>
      <c r="B916" s="147" t="s">
        <v>568</v>
      </c>
      <c r="C916" s="61"/>
      <c r="D916" s="61" t="s">
        <v>14</v>
      </c>
      <c r="E916" s="138">
        <f>SUM(E890:E913)</f>
        <v>0</v>
      </c>
      <c r="F916" s="138">
        <f>SUM(F890:F913)</f>
        <v>0</v>
      </c>
      <c r="G916" s="138">
        <f>SUM(G890:G915)</f>
        <v>26085</v>
      </c>
      <c r="H916" s="83">
        <f t="shared" si="37"/>
        <v>26085</v>
      </c>
      <c r="I916" s="73"/>
      <c r="J916" s="73"/>
      <c r="K916" s="256"/>
      <c r="L916" s="256"/>
      <c r="M916" s="256"/>
      <c r="O916" s="258"/>
      <c r="P916" s="259"/>
    </row>
    <row r="917" spans="1:18" ht="15" customHeight="1" x14ac:dyDescent="0.2">
      <c r="A917" s="249" t="s">
        <v>387</v>
      </c>
      <c r="B917" s="147" t="s">
        <v>387</v>
      </c>
      <c r="C917" s="148"/>
      <c r="D917" s="148"/>
      <c r="E917" s="260"/>
      <c r="F917" s="260"/>
      <c r="G917" s="261"/>
      <c r="H917" s="261"/>
      <c r="O917" s="258"/>
      <c r="P917" s="259"/>
      <c r="Q917" s="147" t="s">
        <v>591</v>
      </c>
      <c r="R917" s="259">
        <f>+H916-P917</f>
        <v>26085</v>
      </c>
    </row>
    <row r="918" spans="1:18" ht="15" customHeight="1" x14ac:dyDescent="0.2">
      <c r="A918" s="249" t="s">
        <v>387</v>
      </c>
      <c r="B918" s="147" t="s">
        <v>387</v>
      </c>
      <c r="C918" s="148"/>
      <c r="D918" s="148"/>
      <c r="E918" s="260"/>
      <c r="F918" s="260"/>
      <c r="G918" s="261"/>
      <c r="H918" s="261"/>
    </row>
    <row r="919" spans="1:18" ht="15" customHeight="1" x14ac:dyDescent="0.2">
      <c r="A919" s="249" t="s">
        <v>387</v>
      </c>
      <c r="B919" s="147" t="s">
        <v>387</v>
      </c>
      <c r="C919" s="427"/>
      <c r="D919" s="427"/>
      <c r="E919" s="427"/>
      <c r="F919" s="427"/>
      <c r="G919" s="427"/>
      <c r="H919" s="427"/>
    </row>
    <row r="920" spans="1:18" ht="15" customHeight="1" x14ac:dyDescent="0.2">
      <c r="A920" s="249" t="s">
        <v>387</v>
      </c>
      <c r="B920" s="147" t="s">
        <v>387</v>
      </c>
      <c r="C920" s="427" t="s">
        <v>119</v>
      </c>
      <c r="D920" s="427"/>
      <c r="E920" s="427"/>
      <c r="F920" s="427"/>
      <c r="G920" s="427"/>
      <c r="H920" s="427"/>
    </row>
    <row r="921" spans="1:18" ht="15" customHeight="1" x14ac:dyDescent="0.2">
      <c r="A921" s="249" t="s">
        <v>387</v>
      </c>
      <c r="B921" s="147" t="s">
        <v>387</v>
      </c>
      <c r="C921" s="428" t="str">
        <f>C3</f>
        <v xml:space="preserve"> PRESUPUESTO AÑO 2024</v>
      </c>
      <c r="D921" s="428"/>
      <c r="E921" s="428"/>
      <c r="F921" s="428"/>
      <c r="G921" s="428"/>
      <c r="H921" s="428"/>
    </row>
    <row r="922" spans="1:18" ht="15" customHeight="1" x14ac:dyDescent="0.2">
      <c r="A922" s="249" t="s">
        <v>387</v>
      </c>
      <c r="B922" s="147" t="s">
        <v>387</v>
      </c>
      <c r="C922" s="428" t="str">
        <f>C4</f>
        <v>PRESUPUESTO EXTRA CONTABLE</v>
      </c>
      <c r="D922" s="428"/>
      <c r="E922" s="428"/>
      <c r="F922" s="428"/>
      <c r="G922" s="428"/>
      <c r="H922" s="428"/>
    </row>
    <row r="923" spans="1:18" ht="15" customHeight="1" x14ac:dyDescent="0.2">
      <c r="A923" s="249" t="s">
        <v>387</v>
      </c>
      <c r="B923" s="147" t="s">
        <v>387</v>
      </c>
      <c r="C923" s="427" t="s">
        <v>117</v>
      </c>
      <c r="D923" s="427"/>
      <c r="E923" s="427"/>
      <c r="F923" s="427"/>
      <c r="G923" s="427"/>
      <c r="H923" s="427"/>
    </row>
    <row r="924" spans="1:18" ht="15" customHeight="1" x14ac:dyDescent="0.2">
      <c r="A924" s="249" t="s">
        <v>387</v>
      </c>
      <c r="B924" s="147" t="s">
        <v>387</v>
      </c>
      <c r="C924" s="427" t="s">
        <v>747</v>
      </c>
      <c r="D924" s="427"/>
      <c r="E924" s="427"/>
      <c r="F924" s="427"/>
      <c r="G924" s="427"/>
      <c r="H924" s="427"/>
    </row>
    <row r="925" spans="1:18" ht="15" customHeight="1" x14ac:dyDescent="0.2">
      <c r="A925" s="249" t="s">
        <v>387</v>
      </c>
      <c r="B925" s="147" t="s">
        <v>387</v>
      </c>
      <c r="C925" s="435" t="s">
        <v>1</v>
      </c>
      <c r="D925" s="430" t="s">
        <v>0</v>
      </c>
      <c r="E925" s="255" t="s">
        <v>56</v>
      </c>
      <c r="F925" s="255" t="str">
        <f>F7</f>
        <v>REFORMA</v>
      </c>
      <c r="G925" s="255" t="s">
        <v>56</v>
      </c>
      <c r="H925" s="432" t="str">
        <f>$H$7</f>
        <v>TOTAL 2024</v>
      </c>
      <c r="I925" s="153" t="s">
        <v>285</v>
      </c>
      <c r="J925" s="153"/>
      <c r="K925" s="153"/>
      <c r="L925" s="153"/>
      <c r="M925" s="153"/>
    </row>
    <row r="926" spans="1:18" ht="15" customHeight="1" x14ac:dyDescent="0.2">
      <c r="A926" s="249" t="s">
        <v>387</v>
      </c>
      <c r="B926" s="147" t="s">
        <v>387</v>
      </c>
      <c r="C926" s="436"/>
      <c r="D926" s="431"/>
      <c r="E926" s="255" t="s">
        <v>139</v>
      </c>
      <c r="F926" s="255"/>
      <c r="G926" s="255" t="s">
        <v>140</v>
      </c>
      <c r="H926" s="433"/>
      <c r="I926" s="153" t="s">
        <v>286</v>
      </c>
      <c r="J926" s="153" t="s">
        <v>290</v>
      </c>
      <c r="K926" s="153" t="s">
        <v>291</v>
      </c>
      <c r="L926" s="153" t="s">
        <v>293</v>
      </c>
      <c r="M926" s="153" t="s">
        <v>292</v>
      </c>
    </row>
    <row r="927" spans="1:18" ht="15" customHeight="1" x14ac:dyDescent="0.2">
      <c r="A927" s="249">
        <v>6</v>
      </c>
      <c r="B927" s="147">
        <v>18</v>
      </c>
      <c r="C927" s="130">
        <v>51101</v>
      </c>
      <c r="D927" s="131" t="s">
        <v>15</v>
      </c>
      <c r="E927" s="132"/>
      <c r="F927" s="132"/>
      <c r="G927" s="378">
        <v>44100</v>
      </c>
      <c r="H927" s="133">
        <f t="shared" ref="H927:H951" si="38">E927+F927+G927</f>
        <v>44100</v>
      </c>
      <c r="I927" s="131"/>
      <c r="J927" s="283"/>
      <c r="K927" s="283"/>
      <c r="L927" s="283"/>
      <c r="M927" s="283"/>
      <c r="N927" s="269"/>
      <c r="P927" s="147">
        <v>47100</v>
      </c>
      <c r="Q927" s="274">
        <f>G927-P927</f>
        <v>-3000</v>
      </c>
    </row>
    <row r="928" spans="1:18" ht="15" customHeight="1" x14ac:dyDescent="0.2">
      <c r="A928" s="249">
        <v>6</v>
      </c>
      <c r="B928" s="147">
        <v>18</v>
      </c>
      <c r="C928" s="61">
        <v>51103</v>
      </c>
      <c r="D928" s="73" t="s">
        <v>16</v>
      </c>
      <c r="E928" s="76"/>
      <c r="F928" s="76"/>
      <c r="G928" s="272">
        <v>3675</v>
      </c>
      <c r="H928" s="133">
        <f t="shared" si="38"/>
        <v>3675</v>
      </c>
      <c r="I928" s="73"/>
      <c r="J928" s="283"/>
      <c r="K928" s="283"/>
      <c r="L928" s="283"/>
      <c r="M928" s="283"/>
      <c r="P928" s="147">
        <v>3925</v>
      </c>
      <c r="Q928" s="274">
        <f t="shared" ref="Q928:Q931" si="39">G928-P928</f>
        <v>-250</v>
      </c>
    </row>
    <row r="929" spans="1:17" ht="15" customHeight="1" x14ac:dyDescent="0.2">
      <c r="A929" s="249">
        <v>6</v>
      </c>
      <c r="B929" s="147">
        <v>18</v>
      </c>
      <c r="C929" s="61">
        <v>51107</v>
      </c>
      <c r="D929" s="73" t="s">
        <v>34</v>
      </c>
      <c r="E929" s="76"/>
      <c r="F929" s="76"/>
      <c r="G929" s="272">
        <f>1400+6000</f>
        <v>7400</v>
      </c>
      <c r="H929" s="133">
        <f t="shared" si="38"/>
        <v>7400</v>
      </c>
      <c r="I929" s="73"/>
      <c r="J929" s="283"/>
      <c r="K929" s="283"/>
      <c r="L929" s="283"/>
      <c r="M929" s="283"/>
      <c r="O929" s="252">
        <v>7500</v>
      </c>
      <c r="P929" s="147">
        <v>8900</v>
      </c>
      <c r="Q929" s="274">
        <f t="shared" si="39"/>
        <v>-1500</v>
      </c>
    </row>
    <row r="930" spans="1:17" ht="15" customHeight="1" x14ac:dyDescent="0.2">
      <c r="A930" s="249">
        <v>6</v>
      </c>
      <c r="B930" s="147">
        <v>18</v>
      </c>
      <c r="C930" s="61">
        <v>51401</v>
      </c>
      <c r="D930" s="62" t="s">
        <v>47</v>
      </c>
      <c r="E930" s="74"/>
      <c r="F930" s="74"/>
      <c r="G930" s="271">
        <v>3748.5000000000005</v>
      </c>
      <c r="H930" s="133">
        <f t="shared" si="38"/>
        <v>3748.5000000000005</v>
      </c>
      <c r="I930" s="73"/>
      <c r="J930" s="283"/>
      <c r="K930" s="283"/>
      <c r="L930" s="283"/>
      <c r="M930" s="283"/>
      <c r="O930" s="257"/>
      <c r="P930" s="147">
        <v>3799.56</v>
      </c>
      <c r="Q930" s="274">
        <f t="shared" si="39"/>
        <v>-51.059999999999491</v>
      </c>
    </row>
    <row r="931" spans="1:17" ht="15" customHeight="1" x14ac:dyDescent="0.2">
      <c r="A931" s="249">
        <v>6</v>
      </c>
      <c r="B931" s="147">
        <v>18</v>
      </c>
      <c r="C931" s="61">
        <v>51501</v>
      </c>
      <c r="D931" s="73" t="s">
        <v>29</v>
      </c>
      <c r="E931" s="74"/>
      <c r="F931" s="74"/>
      <c r="G931" s="272">
        <v>3858.7499999999995</v>
      </c>
      <c r="H931" s="133">
        <f t="shared" si="38"/>
        <v>3858.7499999999995</v>
      </c>
      <c r="I931" s="73"/>
      <c r="J931" s="283"/>
      <c r="K931" s="283"/>
      <c r="L931" s="283"/>
      <c r="M931" s="283"/>
      <c r="P931" s="147">
        <v>4121.25</v>
      </c>
      <c r="Q931" s="274">
        <f t="shared" si="39"/>
        <v>-262.50000000000045</v>
      </c>
    </row>
    <row r="932" spans="1:17" ht="15" customHeight="1" x14ac:dyDescent="0.2">
      <c r="A932" s="249">
        <v>6</v>
      </c>
      <c r="B932" s="147">
        <v>18</v>
      </c>
      <c r="C932" s="61">
        <v>54104</v>
      </c>
      <c r="D932" s="62" t="s">
        <v>17</v>
      </c>
      <c r="E932" s="74"/>
      <c r="F932" s="74"/>
      <c r="G932" s="76">
        <v>800</v>
      </c>
      <c r="H932" s="133">
        <f t="shared" si="38"/>
        <v>800</v>
      </c>
      <c r="I932" s="73"/>
      <c r="J932" s="283"/>
      <c r="K932" s="283"/>
      <c r="L932" s="283"/>
      <c r="M932" s="283"/>
      <c r="Q932" s="274">
        <f>SUM(Q927:Q931)</f>
        <v>-5063.5599999999995</v>
      </c>
    </row>
    <row r="933" spans="1:17" ht="15" customHeight="1" x14ac:dyDescent="0.2">
      <c r="A933" s="249">
        <v>6</v>
      </c>
      <c r="B933" s="147">
        <v>18</v>
      </c>
      <c r="C933" s="61">
        <v>54105</v>
      </c>
      <c r="D933" s="73" t="s">
        <v>3</v>
      </c>
      <c r="E933" s="74"/>
      <c r="F933" s="74"/>
      <c r="G933" s="76">
        <v>1400</v>
      </c>
      <c r="H933" s="133">
        <f t="shared" si="38"/>
        <v>1400</v>
      </c>
      <c r="I933" s="73"/>
      <c r="J933" s="283"/>
      <c r="K933" s="283"/>
      <c r="L933" s="283"/>
      <c r="M933" s="283"/>
    </row>
    <row r="934" spans="1:17" ht="15" customHeight="1" x14ac:dyDescent="0.2">
      <c r="A934" s="249">
        <v>6</v>
      </c>
      <c r="B934" s="147">
        <v>18</v>
      </c>
      <c r="C934" s="61">
        <v>54107</v>
      </c>
      <c r="D934" s="73" t="s">
        <v>43</v>
      </c>
      <c r="E934" s="74"/>
      <c r="F934" s="74"/>
      <c r="G934" s="76">
        <v>143</v>
      </c>
      <c r="H934" s="133">
        <f t="shared" si="38"/>
        <v>143</v>
      </c>
      <c r="I934" s="73"/>
      <c r="J934" s="283"/>
      <c r="K934" s="283"/>
      <c r="L934" s="283"/>
      <c r="M934" s="283"/>
    </row>
    <row r="935" spans="1:17" ht="15" customHeight="1" x14ac:dyDescent="0.2">
      <c r="A935" s="249">
        <v>6</v>
      </c>
      <c r="B935" s="147">
        <v>18</v>
      </c>
      <c r="C935" s="61">
        <v>54111</v>
      </c>
      <c r="D935" s="73" t="s">
        <v>162</v>
      </c>
      <c r="E935" s="74"/>
      <c r="F935" s="74"/>
      <c r="G935" s="76">
        <v>100</v>
      </c>
      <c r="H935" s="133">
        <f t="shared" si="38"/>
        <v>100</v>
      </c>
      <c r="I935" s="73"/>
      <c r="J935" s="283"/>
      <c r="K935" s="283"/>
      <c r="L935" s="283"/>
      <c r="M935" s="283"/>
    </row>
    <row r="936" spans="1:17" ht="15" customHeight="1" x14ac:dyDescent="0.2">
      <c r="A936" s="249">
        <v>6</v>
      </c>
      <c r="B936" s="147">
        <v>18</v>
      </c>
      <c r="C936" s="61">
        <v>54112</v>
      </c>
      <c r="D936" s="73" t="s">
        <v>549</v>
      </c>
      <c r="E936" s="74"/>
      <c r="F936" s="74"/>
      <c r="G936" s="76">
        <v>100</v>
      </c>
      <c r="H936" s="133">
        <f t="shared" si="38"/>
        <v>100</v>
      </c>
      <c r="I936" s="73"/>
      <c r="J936" s="283"/>
      <c r="K936" s="283"/>
      <c r="L936" s="283"/>
      <c r="M936" s="283"/>
    </row>
    <row r="937" spans="1:17" ht="15" customHeight="1" x14ac:dyDescent="0.2">
      <c r="A937" s="249">
        <v>6</v>
      </c>
      <c r="B937" s="147">
        <v>18</v>
      </c>
      <c r="C937" s="61">
        <v>54114</v>
      </c>
      <c r="D937" s="73" t="s">
        <v>5</v>
      </c>
      <c r="E937" s="74"/>
      <c r="F937" s="74"/>
      <c r="G937" s="76">
        <v>500</v>
      </c>
      <c r="H937" s="133">
        <f t="shared" si="38"/>
        <v>500</v>
      </c>
      <c r="I937" s="73"/>
      <c r="J937" s="283"/>
      <c r="K937" s="283"/>
      <c r="L937" s="283"/>
      <c r="M937" s="283"/>
    </row>
    <row r="938" spans="1:17" ht="15" customHeight="1" x14ac:dyDescent="0.2">
      <c r="A938" s="249">
        <v>6</v>
      </c>
      <c r="B938" s="147">
        <v>18</v>
      </c>
      <c r="C938" s="61">
        <v>54115</v>
      </c>
      <c r="D938" s="73" t="s">
        <v>49</v>
      </c>
      <c r="E938" s="74"/>
      <c r="F938" s="74"/>
      <c r="G938" s="76">
        <v>1450</v>
      </c>
      <c r="H938" s="133">
        <f t="shared" si="38"/>
        <v>1450</v>
      </c>
      <c r="I938" s="73"/>
      <c r="J938" s="283"/>
      <c r="K938" s="283"/>
      <c r="L938" s="283"/>
      <c r="M938" s="283"/>
    </row>
    <row r="939" spans="1:17" ht="15" customHeight="1" x14ac:dyDescent="0.2">
      <c r="A939" s="249">
        <v>6</v>
      </c>
      <c r="B939" s="147">
        <v>18</v>
      </c>
      <c r="C939" s="61">
        <v>54116</v>
      </c>
      <c r="D939" s="62" t="s">
        <v>167</v>
      </c>
      <c r="E939" s="74"/>
      <c r="F939" s="74"/>
      <c r="G939" s="76">
        <v>0</v>
      </c>
      <c r="H939" s="133">
        <f t="shared" si="38"/>
        <v>0</v>
      </c>
      <c r="I939" s="73"/>
      <c r="J939" s="283"/>
      <c r="K939" s="283"/>
      <c r="L939" s="283"/>
      <c r="M939" s="283"/>
    </row>
    <row r="940" spans="1:17" ht="15" customHeight="1" x14ac:dyDescent="0.2">
      <c r="A940" s="249">
        <v>6</v>
      </c>
      <c r="B940" s="147">
        <v>18</v>
      </c>
      <c r="C940" s="61">
        <v>54119</v>
      </c>
      <c r="D940" s="62" t="s">
        <v>44</v>
      </c>
      <c r="E940" s="74"/>
      <c r="F940" s="74"/>
      <c r="G940" s="76">
        <v>150</v>
      </c>
      <c r="H940" s="133">
        <f t="shared" si="38"/>
        <v>150</v>
      </c>
      <c r="I940" s="73"/>
      <c r="J940" s="283"/>
      <c r="K940" s="283"/>
      <c r="L940" s="283"/>
      <c r="M940" s="283"/>
    </row>
    <row r="941" spans="1:17" ht="15" customHeight="1" x14ac:dyDescent="0.2">
      <c r="A941" s="249">
        <v>6</v>
      </c>
      <c r="B941" s="147">
        <v>18</v>
      </c>
      <c r="C941" s="61">
        <v>54121</v>
      </c>
      <c r="D941" s="73" t="s">
        <v>136</v>
      </c>
      <c r="E941" s="74">
        <f>30000+6000</f>
        <v>36000</v>
      </c>
      <c r="F941" s="74"/>
      <c r="G941" s="76">
        <v>0</v>
      </c>
      <c r="H941" s="133">
        <f t="shared" si="38"/>
        <v>36000</v>
      </c>
      <c r="I941" s="73"/>
      <c r="J941" s="283"/>
      <c r="K941" s="283"/>
      <c r="L941" s="283"/>
      <c r="M941" s="283"/>
    </row>
    <row r="942" spans="1:17" ht="15" customHeight="1" x14ac:dyDescent="0.2">
      <c r="A942" s="249">
        <v>6</v>
      </c>
      <c r="B942" s="147">
        <v>18</v>
      </c>
      <c r="C942" s="61">
        <v>54199</v>
      </c>
      <c r="D942" s="73" t="s">
        <v>26</v>
      </c>
      <c r="E942" s="74"/>
      <c r="F942" s="74"/>
      <c r="G942" s="76">
        <v>200</v>
      </c>
      <c r="H942" s="133">
        <f t="shared" si="38"/>
        <v>200</v>
      </c>
      <c r="I942" s="73"/>
      <c r="J942" s="283"/>
      <c r="K942" s="283"/>
      <c r="L942" s="283"/>
      <c r="M942" s="283"/>
    </row>
    <row r="943" spans="1:17" ht="15" customHeight="1" x14ac:dyDescent="0.2">
      <c r="A943" s="249">
        <v>6</v>
      </c>
      <c r="B943" s="147">
        <v>18</v>
      </c>
      <c r="C943" s="130">
        <v>54301</v>
      </c>
      <c r="D943" s="73" t="s">
        <v>158</v>
      </c>
      <c r="E943" s="74"/>
      <c r="F943" s="74"/>
      <c r="G943" s="76">
        <v>600</v>
      </c>
      <c r="H943" s="133">
        <f t="shared" si="38"/>
        <v>600</v>
      </c>
      <c r="I943" s="73"/>
      <c r="J943" s="283"/>
      <c r="K943" s="283"/>
      <c r="L943" s="283"/>
      <c r="M943" s="283"/>
    </row>
    <row r="944" spans="1:17" ht="15" customHeight="1" x14ac:dyDescent="0.2">
      <c r="A944" s="249">
        <v>6</v>
      </c>
      <c r="B944" s="147">
        <v>18</v>
      </c>
      <c r="C944" s="130">
        <v>54313</v>
      </c>
      <c r="D944" s="73" t="s">
        <v>11</v>
      </c>
      <c r="E944" s="74"/>
      <c r="F944" s="74"/>
      <c r="G944" s="76">
        <v>100</v>
      </c>
      <c r="H944" s="133">
        <f t="shared" si="38"/>
        <v>100</v>
      </c>
      <c r="I944" s="73"/>
      <c r="J944" s="283"/>
      <c r="K944" s="283"/>
      <c r="L944" s="283"/>
      <c r="M944" s="283"/>
    </row>
    <row r="945" spans="1:18" ht="15" customHeight="1" x14ac:dyDescent="0.2">
      <c r="A945" s="249">
        <v>6</v>
      </c>
      <c r="B945" s="147">
        <v>18</v>
      </c>
      <c r="C945" s="130">
        <v>54401</v>
      </c>
      <c r="D945" s="62" t="s">
        <v>143</v>
      </c>
      <c r="E945" s="74"/>
      <c r="F945" s="74"/>
      <c r="G945" s="76">
        <v>100</v>
      </c>
      <c r="H945" s="133">
        <f t="shared" si="38"/>
        <v>100</v>
      </c>
      <c r="I945" s="73"/>
      <c r="J945" s="283"/>
      <c r="K945" s="283"/>
      <c r="L945" s="283"/>
      <c r="M945" s="283"/>
    </row>
    <row r="946" spans="1:18" ht="15" customHeight="1" x14ac:dyDescent="0.2">
      <c r="A946" s="249">
        <v>6</v>
      </c>
      <c r="B946" s="147">
        <v>18</v>
      </c>
      <c r="C946" s="130">
        <v>54505</v>
      </c>
      <c r="D946" s="62" t="s">
        <v>40</v>
      </c>
      <c r="E946" s="74"/>
      <c r="F946" s="74"/>
      <c r="G946" s="76">
        <v>0</v>
      </c>
      <c r="H946" s="133">
        <f t="shared" si="38"/>
        <v>0</v>
      </c>
      <c r="I946" s="73"/>
      <c r="J946" s="283"/>
      <c r="K946" s="283"/>
      <c r="L946" s="283"/>
      <c r="M946" s="283"/>
    </row>
    <row r="947" spans="1:18" ht="15" customHeight="1" x14ac:dyDescent="0.2">
      <c r="A947" s="249">
        <v>6</v>
      </c>
      <c r="B947" s="147">
        <v>18</v>
      </c>
      <c r="C947" s="130">
        <v>55603</v>
      </c>
      <c r="D947" s="73" t="s">
        <v>134</v>
      </c>
      <c r="E947" s="74">
        <v>2000</v>
      </c>
      <c r="F947" s="74"/>
      <c r="G947" s="74">
        <v>2000</v>
      </c>
      <c r="H947" s="133">
        <f t="shared" si="38"/>
        <v>4000</v>
      </c>
      <c r="I947" s="73"/>
      <c r="J947" s="283"/>
      <c r="K947" s="283"/>
      <c r="L947" s="283"/>
      <c r="M947" s="283"/>
    </row>
    <row r="948" spans="1:18" ht="15" customHeight="1" x14ac:dyDescent="0.2">
      <c r="A948" s="249">
        <v>6</v>
      </c>
      <c r="B948" s="147">
        <v>18</v>
      </c>
      <c r="C948" s="130">
        <v>61101</v>
      </c>
      <c r="D948" s="73" t="s">
        <v>144</v>
      </c>
      <c r="E948" s="74"/>
      <c r="F948" s="74"/>
      <c r="G948" s="74">
        <v>1370</v>
      </c>
      <c r="H948" s="133">
        <f t="shared" si="38"/>
        <v>1370</v>
      </c>
      <c r="I948" s="73"/>
      <c r="J948" s="283"/>
      <c r="K948" s="283"/>
      <c r="L948" s="283"/>
      <c r="M948" s="283"/>
    </row>
    <row r="949" spans="1:18" ht="15" customHeight="1" x14ac:dyDescent="0.2">
      <c r="A949" s="249">
        <v>6</v>
      </c>
      <c r="B949" s="147">
        <v>18</v>
      </c>
      <c r="C949" s="130">
        <v>61102</v>
      </c>
      <c r="D949" s="73" t="s">
        <v>28</v>
      </c>
      <c r="E949" s="74"/>
      <c r="F949" s="74"/>
      <c r="G949" s="74">
        <v>1000</v>
      </c>
      <c r="H949" s="133">
        <f t="shared" si="38"/>
        <v>1000</v>
      </c>
      <c r="I949" s="73"/>
      <c r="J949" s="283"/>
      <c r="K949" s="283"/>
      <c r="L949" s="283"/>
      <c r="M949" s="283"/>
    </row>
    <row r="950" spans="1:18" ht="15" customHeight="1" x14ac:dyDescent="0.2">
      <c r="A950" s="249">
        <v>6</v>
      </c>
      <c r="B950" s="147">
        <v>18</v>
      </c>
      <c r="C950" s="130">
        <v>61104</v>
      </c>
      <c r="D950" s="73" t="s">
        <v>46</v>
      </c>
      <c r="E950" s="74"/>
      <c r="F950" s="74"/>
      <c r="G950" s="74">
        <v>1800</v>
      </c>
      <c r="H950" s="133">
        <f t="shared" si="38"/>
        <v>1800</v>
      </c>
      <c r="I950" s="73"/>
      <c r="J950" s="283"/>
      <c r="K950" s="283"/>
      <c r="L950" s="283"/>
      <c r="M950" s="283"/>
    </row>
    <row r="951" spans="1:18" ht="15" customHeight="1" x14ac:dyDescent="0.2">
      <c r="A951" s="249">
        <v>6</v>
      </c>
      <c r="B951" s="147" t="s">
        <v>569</v>
      </c>
      <c r="C951" s="61"/>
      <c r="D951" s="61" t="s">
        <v>14</v>
      </c>
      <c r="E951" s="138">
        <f>SUM(E927:E947)</f>
        <v>38000</v>
      </c>
      <c r="F951" s="138">
        <f>SUM(F927:F947)</f>
        <v>0</v>
      </c>
      <c r="G951" s="138">
        <f>SUM(G927:G950)</f>
        <v>74595.25</v>
      </c>
      <c r="H951" s="139">
        <f t="shared" si="38"/>
        <v>112595.25</v>
      </c>
      <c r="I951" s="73"/>
      <c r="J951" s="283"/>
      <c r="K951" s="283"/>
      <c r="L951" s="283"/>
      <c r="M951" s="283"/>
      <c r="O951" s="258"/>
      <c r="P951" s="259"/>
      <c r="Q951" s="274"/>
    </row>
    <row r="952" spans="1:18" ht="15" customHeight="1" x14ac:dyDescent="0.2">
      <c r="A952" s="249" t="s">
        <v>387</v>
      </c>
      <c r="B952" s="147" t="s">
        <v>387</v>
      </c>
      <c r="C952" s="148"/>
      <c r="D952" s="148"/>
      <c r="E952" s="260"/>
      <c r="F952" s="260"/>
      <c r="G952" s="261"/>
      <c r="H952" s="261"/>
      <c r="O952" s="258"/>
      <c r="P952" s="259"/>
      <c r="Q952" s="147" t="s">
        <v>591</v>
      </c>
      <c r="R952" s="259">
        <f>+H951-P952</f>
        <v>112595.25</v>
      </c>
    </row>
    <row r="953" spans="1:18" ht="15" customHeight="1" x14ac:dyDescent="0.2">
      <c r="A953" s="249" t="s">
        <v>387</v>
      </c>
      <c r="B953" s="147" t="s">
        <v>387</v>
      </c>
      <c r="C953" s="148"/>
      <c r="D953" s="148"/>
      <c r="E953" s="260"/>
      <c r="F953" s="260"/>
      <c r="G953" s="261"/>
      <c r="H953" s="261"/>
      <c r="O953" s="258"/>
    </row>
    <row r="954" spans="1:18" ht="15" customHeight="1" x14ac:dyDescent="0.2">
      <c r="A954" s="249" t="s">
        <v>387</v>
      </c>
      <c r="B954" s="147" t="s">
        <v>387</v>
      </c>
      <c r="C954" s="369"/>
      <c r="D954" s="369"/>
      <c r="E954" s="369"/>
      <c r="F954" s="369"/>
      <c r="G954" s="369"/>
      <c r="H954" s="369"/>
    </row>
    <row r="955" spans="1:18" ht="15" customHeight="1" x14ac:dyDescent="0.2">
      <c r="A955" s="249" t="s">
        <v>387</v>
      </c>
      <c r="B955" s="147" t="s">
        <v>387</v>
      </c>
      <c r="C955" s="427" t="s">
        <v>119</v>
      </c>
      <c r="D955" s="427"/>
      <c r="E955" s="427"/>
      <c r="F955" s="427"/>
      <c r="G955" s="427"/>
      <c r="H955" s="427"/>
    </row>
    <row r="956" spans="1:18" ht="15" customHeight="1" x14ac:dyDescent="0.2">
      <c r="A956" s="249" t="s">
        <v>387</v>
      </c>
      <c r="B956" s="147" t="s">
        <v>387</v>
      </c>
      <c r="C956" s="428" t="str">
        <f>C3</f>
        <v xml:space="preserve"> PRESUPUESTO AÑO 2024</v>
      </c>
      <c r="D956" s="428"/>
      <c r="E956" s="428"/>
      <c r="F956" s="428"/>
      <c r="G956" s="428"/>
      <c r="H956" s="428"/>
    </row>
    <row r="957" spans="1:18" ht="15" customHeight="1" x14ac:dyDescent="0.2">
      <c r="A957" s="249" t="s">
        <v>387</v>
      </c>
      <c r="B957" s="147" t="s">
        <v>387</v>
      </c>
      <c r="C957" s="428" t="str">
        <f>C4</f>
        <v>PRESUPUESTO EXTRA CONTABLE</v>
      </c>
      <c r="D957" s="428"/>
      <c r="E957" s="428"/>
      <c r="F957" s="428"/>
      <c r="G957" s="428"/>
      <c r="H957" s="428"/>
    </row>
    <row r="958" spans="1:18" ht="15" customHeight="1" x14ac:dyDescent="0.2">
      <c r="A958" s="249" t="s">
        <v>387</v>
      </c>
      <c r="B958" s="147" t="s">
        <v>387</v>
      </c>
      <c r="C958" s="427" t="s">
        <v>117</v>
      </c>
      <c r="D958" s="427"/>
      <c r="E958" s="427"/>
      <c r="F958" s="427"/>
      <c r="G958" s="427"/>
      <c r="H958" s="427"/>
    </row>
    <row r="959" spans="1:18" ht="15" customHeight="1" x14ac:dyDescent="0.2">
      <c r="A959" s="249" t="s">
        <v>387</v>
      </c>
      <c r="B959" s="147" t="s">
        <v>387</v>
      </c>
      <c r="C959" s="427" t="s">
        <v>752</v>
      </c>
      <c r="D959" s="427"/>
      <c r="E959" s="427"/>
      <c r="F959" s="427"/>
      <c r="G959" s="427"/>
      <c r="H959" s="427"/>
    </row>
    <row r="960" spans="1:18" ht="15" customHeight="1" x14ac:dyDescent="0.2">
      <c r="A960" s="249" t="s">
        <v>387</v>
      </c>
      <c r="B960" s="147" t="s">
        <v>387</v>
      </c>
      <c r="C960" s="430" t="s">
        <v>1</v>
      </c>
      <c r="D960" s="430" t="s">
        <v>0</v>
      </c>
      <c r="E960" s="255" t="s">
        <v>56</v>
      </c>
      <c r="F960" s="255" t="str">
        <f>F7</f>
        <v>REFORMA</v>
      </c>
      <c r="G960" s="255" t="s">
        <v>56</v>
      </c>
      <c r="H960" s="432" t="str">
        <f>$H$7</f>
        <v>TOTAL 2024</v>
      </c>
      <c r="I960" s="153" t="s">
        <v>285</v>
      </c>
      <c r="J960" s="153"/>
      <c r="K960" s="153"/>
      <c r="L960" s="153"/>
      <c r="M960" s="153"/>
    </row>
    <row r="961" spans="1:15" ht="15" customHeight="1" x14ac:dyDescent="0.2">
      <c r="A961" s="249" t="s">
        <v>387</v>
      </c>
      <c r="B961" s="147" t="s">
        <v>387</v>
      </c>
      <c r="C961" s="431"/>
      <c r="D961" s="431"/>
      <c r="E961" s="255" t="s">
        <v>139</v>
      </c>
      <c r="F961" s="255"/>
      <c r="G961" s="255" t="s">
        <v>140</v>
      </c>
      <c r="H961" s="433"/>
      <c r="I961" s="153" t="s">
        <v>286</v>
      </c>
      <c r="J961" s="153" t="s">
        <v>290</v>
      </c>
      <c r="K961" s="153" t="s">
        <v>291</v>
      </c>
      <c r="L961" s="153" t="s">
        <v>293</v>
      </c>
      <c r="M961" s="153" t="s">
        <v>292</v>
      </c>
    </row>
    <row r="962" spans="1:15" ht="15" customHeight="1" x14ac:dyDescent="0.2">
      <c r="A962" s="249">
        <v>6</v>
      </c>
      <c r="B962" s="147">
        <v>20</v>
      </c>
      <c r="C962" s="61">
        <v>51101</v>
      </c>
      <c r="D962" s="73" t="s">
        <v>15</v>
      </c>
      <c r="E962" s="74"/>
      <c r="F962" s="74"/>
      <c r="G962" s="272">
        <v>50700</v>
      </c>
      <c r="H962" s="76">
        <f>E962+F962+G962</f>
        <v>50700</v>
      </c>
      <c r="I962" s="73"/>
      <c r="J962" s="256"/>
      <c r="K962" s="256"/>
      <c r="L962" s="256"/>
      <c r="M962" s="256"/>
    </row>
    <row r="963" spans="1:15" ht="15" customHeight="1" x14ac:dyDescent="0.2">
      <c r="A963" s="249">
        <v>6</v>
      </c>
      <c r="B963" s="147">
        <v>20</v>
      </c>
      <c r="C963" s="61">
        <v>51103</v>
      </c>
      <c r="D963" s="73" t="s">
        <v>16</v>
      </c>
      <c r="E963" s="76"/>
      <c r="F963" s="76"/>
      <c r="G963" s="272">
        <v>4225</v>
      </c>
      <c r="H963" s="76">
        <f>E963+F963+G963</f>
        <v>4225</v>
      </c>
      <c r="I963" s="73"/>
      <c r="J963" s="256"/>
      <c r="K963" s="256"/>
      <c r="L963" s="256"/>
      <c r="M963" s="256"/>
    </row>
    <row r="964" spans="1:15" ht="15" customHeight="1" x14ac:dyDescent="0.2">
      <c r="A964" s="249">
        <v>6</v>
      </c>
      <c r="B964" s="147">
        <v>20</v>
      </c>
      <c r="C964" s="61" t="s">
        <v>550</v>
      </c>
      <c r="D964" s="73" t="s">
        <v>34</v>
      </c>
      <c r="E964" s="76"/>
      <c r="F964" s="76"/>
      <c r="G964" s="272">
        <v>2000</v>
      </c>
      <c r="H964" s="76">
        <f>E964+F964+G964</f>
        <v>2000</v>
      </c>
      <c r="I964" s="73"/>
      <c r="J964" s="256"/>
      <c r="K964" s="256"/>
      <c r="L964" s="256"/>
      <c r="M964" s="256"/>
    </row>
    <row r="965" spans="1:15" ht="15" customHeight="1" x14ac:dyDescent="0.2">
      <c r="A965" s="249">
        <v>6</v>
      </c>
      <c r="B965" s="147">
        <v>20</v>
      </c>
      <c r="C965" s="61">
        <v>51401</v>
      </c>
      <c r="D965" s="62" t="s">
        <v>47</v>
      </c>
      <c r="E965" s="74"/>
      <c r="F965" s="74"/>
      <c r="G965" s="272">
        <v>3901.5000000000005</v>
      </c>
      <c r="H965" s="76">
        <f t="shared" ref="H965:H992" si="40">E965+F965+G965</f>
        <v>3901.5000000000005</v>
      </c>
      <c r="I965" s="73"/>
      <c r="J965" s="256"/>
      <c r="K965" s="256"/>
      <c r="L965" s="256"/>
      <c r="M965" s="256"/>
      <c r="O965" s="257"/>
    </row>
    <row r="966" spans="1:15" ht="15" customHeight="1" x14ac:dyDescent="0.2">
      <c r="A966" s="249">
        <v>6</v>
      </c>
      <c r="B966" s="147">
        <v>20</v>
      </c>
      <c r="C966" s="61">
        <v>51501</v>
      </c>
      <c r="D966" s="73" t="s">
        <v>29</v>
      </c>
      <c r="E966" s="74"/>
      <c r="F966" s="74"/>
      <c r="G966" s="272">
        <v>4436.25</v>
      </c>
      <c r="H966" s="76">
        <f t="shared" si="40"/>
        <v>4436.25</v>
      </c>
      <c r="I966" s="73"/>
      <c r="J966" s="256"/>
      <c r="K966" s="256"/>
      <c r="L966" s="256"/>
      <c r="M966" s="256"/>
    </row>
    <row r="967" spans="1:15" ht="15" customHeight="1" x14ac:dyDescent="0.2">
      <c r="A967" s="249">
        <v>6</v>
      </c>
      <c r="B967" s="147">
        <v>20</v>
      </c>
      <c r="C967" s="61">
        <v>51901</v>
      </c>
      <c r="D967" s="73" t="s">
        <v>330</v>
      </c>
      <c r="E967" s="74"/>
      <c r="F967" s="74"/>
      <c r="G967" s="76">
        <v>600</v>
      </c>
      <c r="H967" s="76">
        <f t="shared" si="40"/>
        <v>600</v>
      </c>
      <c r="I967" s="73"/>
      <c r="J967" s="256"/>
      <c r="K967" s="256"/>
      <c r="L967" s="256"/>
      <c r="M967" s="256"/>
    </row>
    <row r="968" spans="1:15" ht="15" customHeight="1" x14ac:dyDescent="0.2">
      <c r="A968" s="249">
        <v>6</v>
      </c>
      <c r="B968" s="147">
        <v>20</v>
      </c>
      <c r="C968" s="61">
        <v>54101</v>
      </c>
      <c r="D968" s="73" t="s">
        <v>516</v>
      </c>
      <c r="E968" s="74"/>
      <c r="F968" s="74"/>
      <c r="G968" s="76">
        <v>0</v>
      </c>
      <c r="H968" s="76">
        <f t="shared" si="40"/>
        <v>0</v>
      </c>
      <c r="I968" s="73"/>
      <c r="J968" s="256"/>
      <c r="K968" s="256"/>
      <c r="L968" s="256"/>
      <c r="M968" s="256"/>
    </row>
    <row r="969" spans="1:15" ht="15" customHeight="1" x14ac:dyDescent="0.2">
      <c r="A969" s="249">
        <v>6</v>
      </c>
      <c r="B969" s="147">
        <v>20</v>
      </c>
      <c r="C969" s="61">
        <v>54104</v>
      </c>
      <c r="D969" s="62" t="s">
        <v>17</v>
      </c>
      <c r="E969" s="74"/>
      <c r="F969" s="74"/>
      <c r="G969" s="76">
        <v>1500</v>
      </c>
      <c r="H969" s="76">
        <f t="shared" si="40"/>
        <v>1500</v>
      </c>
      <c r="I969" s="73"/>
      <c r="J969" s="256"/>
      <c r="K969" s="256"/>
      <c r="L969" s="256"/>
      <c r="M969" s="256"/>
    </row>
    <row r="970" spans="1:15" ht="15" customHeight="1" x14ac:dyDescent="0.2">
      <c r="A970" s="249">
        <v>6</v>
      </c>
      <c r="B970" s="147">
        <v>20</v>
      </c>
      <c r="C970" s="61">
        <v>54105</v>
      </c>
      <c r="D970" s="73" t="s">
        <v>3</v>
      </c>
      <c r="E970" s="74"/>
      <c r="F970" s="74"/>
      <c r="G970" s="76">
        <v>3800</v>
      </c>
      <c r="H970" s="76">
        <f t="shared" si="40"/>
        <v>3800</v>
      </c>
      <c r="I970" s="73"/>
      <c r="J970" s="256"/>
      <c r="K970" s="256"/>
      <c r="L970" s="256"/>
      <c r="M970" s="256"/>
    </row>
    <row r="971" spans="1:15" ht="15" customHeight="1" x14ac:dyDescent="0.2">
      <c r="A971" s="249">
        <v>6</v>
      </c>
      <c r="B971" s="147">
        <v>20</v>
      </c>
      <c r="C971" s="61">
        <v>54107</v>
      </c>
      <c r="D971" s="73" t="s">
        <v>507</v>
      </c>
      <c r="E971" s="74"/>
      <c r="F971" s="74"/>
      <c r="G971" s="76">
        <v>500</v>
      </c>
      <c r="H971" s="76">
        <f t="shared" si="40"/>
        <v>500</v>
      </c>
      <c r="I971" s="73"/>
      <c r="J971" s="256"/>
      <c r="K971" s="256"/>
      <c r="L971" s="256"/>
      <c r="M971" s="256"/>
    </row>
    <row r="972" spans="1:15" ht="15" customHeight="1" x14ac:dyDescent="0.2">
      <c r="A972" s="249">
        <v>6</v>
      </c>
      <c r="B972" s="147">
        <v>20</v>
      </c>
      <c r="C972" s="134">
        <v>54108</v>
      </c>
      <c r="D972" s="358" t="s">
        <v>169</v>
      </c>
      <c r="E972" s="136"/>
      <c r="F972" s="136"/>
      <c r="G972" s="262">
        <v>120</v>
      </c>
      <c r="H972" s="262">
        <f t="shared" ref="H972" si="41">E972+F972+G972</f>
        <v>120</v>
      </c>
      <c r="I972" s="73"/>
      <c r="J972" s="256"/>
      <c r="K972" s="256"/>
      <c r="L972" s="256"/>
      <c r="M972" s="256"/>
    </row>
    <row r="973" spans="1:15" ht="15" customHeight="1" x14ac:dyDescent="0.2">
      <c r="A973" s="249">
        <v>6</v>
      </c>
      <c r="B973" s="147">
        <v>20</v>
      </c>
      <c r="C973" s="61">
        <v>54111</v>
      </c>
      <c r="D973" s="73" t="s">
        <v>162</v>
      </c>
      <c r="E973" s="74"/>
      <c r="F973" s="74"/>
      <c r="G973" s="76">
        <v>100</v>
      </c>
      <c r="H973" s="76">
        <f t="shared" si="40"/>
        <v>100</v>
      </c>
      <c r="I973" s="73"/>
      <c r="J973" s="256"/>
      <c r="K973" s="256"/>
      <c r="L973" s="256"/>
      <c r="M973" s="256"/>
    </row>
    <row r="974" spans="1:15" ht="15" customHeight="1" x14ac:dyDescent="0.2">
      <c r="A974" s="249">
        <v>6</v>
      </c>
      <c r="B974" s="147">
        <v>20</v>
      </c>
      <c r="C974" s="61">
        <v>54112</v>
      </c>
      <c r="D974" s="73" t="s">
        <v>549</v>
      </c>
      <c r="E974" s="74"/>
      <c r="F974" s="74"/>
      <c r="G974" s="76">
        <v>100</v>
      </c>
      <c r="H974" s="76">
        <f t="shared" si="40"/>
        <v>100</v>
      </c>
      <c r="I974" s="73"/>
      <c r="J974" s="256"/>
      <c r="K974" s="256"/>
      <c r="L974" s="256"/>
      <c r="M974" s="256"/>
    </row>
    <row r="975" spans="1:15" ht="15" customHeight="1" x14ac:dyDescent="0.2">
      <c r="A975" s="249">
        <v>6</v>
      </c>
      <c r="B975" s="147">
        <v>20</v>
      </c>
      <c r="C975" s="61">
        <v>54114</v>
      </c>
      <c r="D975" s="73" t="s">
        <v>5</v>
      </c>
      <c r="E975" s="74"/>
      <c r="F975" s="74"/>
      <c r="G975" s="76">
        <v>1000</v>
      </c>
      <c r="H975" s="76">
        <f t="shared" si="40"/>
        <v>1000</v>
      </c>
      <c r="I975" s="73"/>
      <c r="J975" s="256"/>
      <c r="K975" s="256"/>
      <c r="L975" s="256"/>
      <c r="M975" s="256"/>
    </row>
    <row r="976" spans="1:15" ht="15" customHeight="1" x14ac:dyDescent="0.2">
      <c r="A976" s="249">
        <v>6</v>
      </c>
      <c r="B976" s="147">
        <v>20</v>
      </c>
      <c r="C976" s="61">
        <v>54115</v>
      </c>
      <c r="D976" s="73" t="s">
        <v>49</v>
      </c>
      <c r="E976" s="74"/>
      <c r="F976" s="74"/>
      <c r="G976" s="76">
        <v>1700</v>
      </c>
      <c r="H976" s="76">
        <f t="shared" si="40"/>
        <v>1700</v>
      </c>
      <c r="I976" s="73"/>
      <c r="J976" s="256"/>
      <c r="K976" s="256"/>
      <c r="L976" s="256"/>
      <c r="M976" s="256"/>
    </row>
    <row r="977" spans="1:16" ht="15" customHeight="1" x14ac:dyDescent="0.2">
      <c r="A977" s="249">
        <v>6</v>
      </c>
      <c r="B977" s="147">
        <v>20</v>
      </c>
      <c r="C977" s="61">
        <v>54116</v>
      </c>
      <c r="D977" s="62" t="s">
        <v>167</v>
      </c>
      <c r="E977" s="74"/>
      <c r="F977" s="74"/>
      <c r="G977" s="76">
        <v>0</v>
      </c>
      <c r="H977" s="76">
        <f t="shared" si="40"/>
        <v>0</v>
      </c>
      <c r="I977" s="73"/>
      <c r="J977" s="256"/>
      <c r="K977" s="256"/>
      <c r="L977" s="256"/>
      <c r="M977" s="256"/>
    </row>
    <row r="978" spans="1:16" ht="15" customHeight="1" x14ac:dyDescent="0.2">
      <c r="A978" s="249">
        <v>6</v>
      </c>
      <c r="B978" s="147">
        <v>20</v>
      </c>
      <c r="C978" s="61">
        <v>54119</v>
      </c>
      <c r="D978" s="73" t="s">
        <v>44</v>
      </c>
      <c r="E978" s="74"/>
      <c r="F978" s="74"/>
      <c r="G978" s="76">
        <v>200</v>
      </c>
      <c r="H978" s="76">
        <f t="shared" si="40"/>
        <v>200</v>
      </c>
      <c r="I978" s="73"/>
      <c r="J978" s="256"/>
      <c r="K978" s="256"/>
      <c r="L978" s="256"/>
      <c r="M978" s="256"/>
    </row>
    <row r="979" spans="1:16" ht="15" customHeight="1" x14ac:dyDescent="0.2">
      <c r="A979" s="249">
        <v>6</v>
      </c>
      <c r="B979" s="147">
        <v>20</v>
      </c>
      <c r="C979" s="61">
        <v>54199</v>
      </c>
      <c r="D979" s="73" t="s">
        <v>26</v>
      </c>
      <c r="E979" s="74"/>
      <c r="F979" s="74"/>
      <c r="G979" s="76">
        <v>200</v>
      </c>
      <c r="H979" s="76">
        <f t="shared" si="40"/>
        <v>200</v>
      </c>
      <c r="I979" s="73"/>
      <c r="J979" s="256"/>
      <c r="K979" s="256"/>
      <c r="L979" s="256"/>
      <c r="M979" s="256"/>
    </row>
    <row r="980" spans="1:16" ht="15" customHeight="1" x14ac:dyDescent="0.2">
      <c r="A980" s="249">
        <v>6</v>
      </c>
      <c r="B980" s="147">
        <v>20</v>
      </c>
      <c r="C980" s="61">
        <v>54301</v>
      </c>
      <c r="D980" s="62" t="s">
        <v>158</v>
      </c>
      <c r="E980" s="76"/>
      <c r="F980" s="76"/>
      <c r="G980" s="76">
        <v>1000</v>
      </c>
      <c r="H980" s="76">
        <f t="shared" si="40"/>
        <v>1000</v>
      </c>
      <c r="I980" s="73"/>
      <c r="J980" s="256"/>
      <c r="K980" s="256"/>
      <c r="L980" s="256"/>
      <c r="M980" s="256"/>
    </row>
    <row r="981" spans="1:16" ht="15" customHeight="1" x14ac:dyDescent="0.2">
      <c r="A981" s="249">
        <v>6</v>
      </c>
      <c r="B981" s="147">
        <v>20</v>
      </c>
      <c r="C981" s="61">
        <v>54302</v>
      </c>
      <c r="D981" s="62" t="s">
        <v>440</v>
      </c>
      <c r="E981" s="76"/>
      <c r="F981" s="76"/>
      <c r="G981" s="76">
        <v>0</v>
      </c>
      <c r="H981" s="76">
        <f t="shared" si="40"/>
        <v>0</v>
      </c>
      <c r="I981" s="73"/>
      <c r="J981" s="256"/>
      <c r="K981" s="256"/>
      <c r="L981" s="256"/>
      <c r="M981" s="256"/>
    </row>
    <row r="982" spans="1:16" ht="15" customHeight="1" x14ac:dyDescent="0.2">
      <c r="A982" s="249">
        <v>6</v>
      </c>
      <c r="B982" s="147">
        <v>20</v>
      </c>
      <c r="C982" s="61">
        <v>54305</v>
      </c>
      <c r="D982" s="62" t="s">
        <v>515</v>
      </c>
      <c r="E982" s="76"/>
      <c r="F982" s="76"/>
      <c r="G982" s="76">
        <v>0</v>
      </c>
      <c r="H982" s="76">
        <f t="shared" si="40"/>
        <v>0</v>
      </c>
      <c r="I982" s="73"/>
      <c r="J982" s="256"/>
      <c r="K982" s="256"/>
      <c r="L982" s="256"/>
      <c r="M982" s="256"/>
    </row>
    <row r="983" spans="1:16" ht="15" customHeight="1" x14ac:dyDescent="0.2">
      <c r="A983" s="249">
        <v>6</v>
      </c>
      <c r="B983" s="147">
        <v>20</v>
      </c>
      <c r="C983" s="61">
        <v>54313</v>
      </c>
      <c r="D983" s="62" t="s">
        <v>11</v>
      </c>
      <c r="E983" s="76"/>
      <c r="F983" s="76"/>
      <c r="G983" s="76">
        <v>0</v>
      </c>
      <c r="H983" s="76">
        <f t="shared" si="40"/>
        <v>0</v>
      </c>
      <c r="I983" s="73"/>
      <c r="J983" s="256"/>
      <c r="K983" s="256"/>
      <c r="L983" s="256"/>
      <c r="M983" s="256"/>
    </row>
    <row r="984" spans="1:16" ht="15" customHeight="1" x14ac:dyDescent="0.2">
      <c r="A984" s="249">
        <v>6</v>
      </c>
      <c r="B984" s="147">
        <v>20</v>
      </c>
      <c r="C984" s="134">
        <v>54399</v>
      </c>
      <c r="D984" s="135" t="s">
        <v>153</v>
      </c>
      <c r="E984" s="262"/>
      <c r="F984" s="262"/>
      <c r="G984" s="262">
        <v>88000</v>
      </c>
      <c r="H984" s="76">
        <f t="shared" si="40"/>
        <v>88000</v>
      </c>
      <c r="I984" s="73"/>
      <c r="J984" s="256"/>
      <c r="K984" s="256"/>
      <c r="L984" s="256"/>
      <c r="M984" s="256"/>
    </row>
    <row r="985" spans="1:16" ht="15" customHeight="1" x14ac:dyDescent="0.2">
      <c r="A985" s="249">
        <v>6</v>
      </c>
      <c r="B985" s="147">
        <v>20</v>
      </c>
      <c r="C985" s="61">
        <v>54401</v>
      </c>
      <c r="D985" s="62" t="s">
        <v>30</v>
      </c>
      <c r="E985" s="76"/>
      <c r="F985" s="76"/>
      <c r="G985" s="76">
        <v>1000</v>
      </c>
      <c r="H985" s="76">
        <f t="shared" si="40"/>
        <v>1000</v>
      </c>
      <c r="I985" s="73"/>
      <c r="J985" s="256"/>
      <c r="K985" s="256"/>
      <c r="L985" s="256"/>
      <c r="M985" s="256"/>
    </row>
    <row r="986" spans="1:16" ht="15" customHeight="1" x14ac:dyDescent="0.2">
      <c r="A986" s="249">
        <v>6</v>
      </c>
      <c r="B986" s="147">
        <v>20</v>
      </c>
      <c r="C986" s="61">
        <v>54505</v>
      </c>
      <c r="D986" s="62" t="s">
        <v>513</v>
      </c>
      <c r="E986" s="76"/>
      <c r="F986" s="76"/>
      <c r="G986" s="76">
        <v>500</v>
      </c>
      <c r="H986" s="76">
        <f t="shared" si="40"/>
        <v>500</v>
      </c>
      <c r="I986" s="73"/>
      <c r="J986" s="256"/>
      <c r="K986" s="256"/>
      <c r="L986" s="256"/>
      <c r="M986" s="256"/>
    </row>
    <row r="987" spans="1:16" ht="15" customHeight="1" x14ac:dyDescent="0.2">
      <c r="A987" s="249">
        <v>6</v>
      </c>
      <c r="B987" s="147">
        <v>20</v>
      </c>
      <c r="C987" s="61">
        <v>54507</v>
      </c>
      <c r="D987" s="62" t="s">
        <v>514</v>
      </c>
      <c r="E987" s="76"/>
      <c r="F987" s="76"/>
      <c r="G987" s="76">
        <v>500</v>
      </c>
      <c r="H987" s="76">
        <f t="shared" si="40"/>
        <v>500</v>
      </c>
      <c r="I987" s="73"/>
      <c r="J987" s="256"/>
      <c r="K987" s="256"/>
      <c r="L987" s="256"/>
      <c r="M987" s="256"/>
    </row>
    <row r="988" spans="1:16" ht="15" customHeight="1" x14ac:dyDescent="0.2">
      <c r="A988" s="249">
        <v>6</v>
      </c>
      <c r="B988" s="147">
        <v>20</v>
      </c>
      <c r="C988" s="61">
        <v>55704</v>
      </c>
      <c r="D988" s="62" t="s">
        <v>137</v>
      </c>
      <c r="E988" s="76"/>
      <c r="F988" s="76"/>
      <c r="G988" s="76">
        <v>0</v>
      </c>
      <c r="H988" s="76">
        <f t="shared" si="40"/>
        <v>0</v>
      </c>
      <c r="I988" s="73"/>
      <c r="J988" s="256"/>
      <c r="K988" s="256"/>
      <c r="L988" s="256"/>
      <c r="M988" s="256"/>
    </row>
    <row r="989" spans="1:16" ht="15" customHeight="1" x14ac:dyDescent="0.2">
      <c r="A989" s="249">
        <v>6</v>
      </c>
      <c r="B989" s="147">
        <v>20</v>
      </c>
      <c r="C989" s="61">
        <v>61101</v>
      </c>
      <c r="D989" s="62" t="s">
        <v>144</v>
      </c>
      <c r="E989" s="76"/>
      <c r="F989" s="76"/>
      <c r="G989" s="76">
        <v>2600</v>
      </c>
      <c r="H989" s="76">
        <f t="shared" si="40"/>
        <v>2600</v>
      </c>
      <c r="I989" s="73"/>
      <c r="J989" s="256"/>
      <c r="K989" s="256"/>
      <c r="L989" s="256"/>
      <c r="M989" s="256"/>
    </row>
    <row r="990" spans="1:16" ht="15" customHeight="1" x14ac:dyDescent="0.2">
      <c r="A990" s="249">
        <v>6</v>
      </c>
      <c r="B990" s="147">
        <v>20</v>
      </c>
      <c r="C990" s="61">
        <v>61102</v>
      </c>
      <c r="D990" s="62" t="s">
        <v>28</v>
      </c>
      <c r="E990" s="76"/>
      <c r="F990" s="76"/>
      <c r="G990" s="76">
        <v>800</v>
      </c>
      <c r="H990" s="76">
        <f t="shared" si="40"/>
        <v>800</v>
      </c>
      <c r="I990" s="73"/>
      <c r="J990" s="256"/>
      <c r="K990" s="256"/>
      <c r="L990" s="256"/>
      <c r="M990" s="256"/>
    </row>
    <row r="991" spans="1:16" ht="15" customHeight="1" x14ac:dyDescent="0.2">
      <c r="A991" s="249">
        <v>6</v>
      </c>
      <c r="B991" s="147">
        <v>20</v>
      </c>
      <c r="C991" s="61">
        <v>61104</v>
      </c>
      <c r="D991" s="62" t="s">
        <v>504</v>
      </c>
      <c r="E991" s="76"/>
      <c r="F991" s="76"/>
      <c r="G991" s="76">
        <v>3100</v>
      </c>
      <c r="H991" s="76">
        <f t="shared" si="40"/>
        <v>3100</v>
      </c>
      <c r="I991" s="73"/>
      <c r="J991" s="256"/>
      <c r="K991" s="256"/>
      <c r="L991" s="256"/>
      <c r="M991" s="256"/>
    </row>
    <row r="992" spans="1:16" ht="15" customHeight="1" x14ac:dyDescent="0.2">
      <c r="A992" s="249">
        <v>6</v>
      </c>
      <c r="B992" s="147" t="s">
        <v>570</v>
      </c>
      <c r="C992" s="61"/>
      <c r="D992" s="61" t="s">
        <v>14</v>
      </c>
      <c r="E992" s="83">
        <f>SUM(E962:E991)</f>
        <v>0</v>
      </c>
      <c r="F992" s="83">
        <f>SUM(F962:F991)</f>
        <v>0</v>
      </c>
      <c r="G992" s="83">
        <f>SUM(G962:G991)</f>
        <v>172582.75</v>
      </c>
      <c r="H992" s="83">
        <f t="shared" si="40"/>
        <v>172582.75</v>
      </c>
      <c r="I992" s="73"/>
      <c r="J992" s="73"/>
      <c r="K992" s="73"/>
      <c r="L992" s="73"/>
      <c r="M992" s="73"/>
      <c r="O992" s="258"/>
      <c r="P992" s="259"/>
    </row>
    <row r="993" spans="1:18" ht="15" customHeight="1" x14ac:dyDescent="0.2">
      <c r="A993" s="249" t="s">
        <v>387</v>
      </c>
      <c r="B993" s="147" t="s">
        <v>387</v>
      </c>
      <c r="C993" s="284"/>
      <c r="D993" s="284"/>
      <c r="E993" s="285"/>
      <c r="F993" s="285"/>
      <c r="G993" s="286"/>
      <c r="H993" s="286"/>
      <c r="O993" s="258"/>
      <c r="P993" s="259"/>
      <c r="Q993" s="147" t="s">
        <v>590</v>
      </c>
      <c r="R993" s="259">
        <f>+H992-P993</f>
        <v>172582.75</v>
      </c>
    </row>
    <row r="994" spans="1:18" ht="15" customHeight="1" x14ac:dyDescent="0.2">
      <c r="A994" s="249" t="s">
        <v>387</v>
      </c>
      <c r="B994" s="147" t="s">
        <v>387</v>
      </c>
      <c r="E994" s="285"/>
      <c r="F994" s="285"/>
      <c r="G994" s="286"/>
      <c r="H994" s="286"/>
    </row>
    <row r="995" spans="1:18" ht="15" customHeight="1" x14ac:dyDescent="0.2">
      <c r="A995" s="249" t="s">
        <v>387</v>
      </c>
      <c r="B995" s="147" t="s">
        <v>387</v>
      </c>
      <c r="C995" s="369"/>
      <c r="D995" s="369"/>
      <c r="E995" s="369"/>
      <c r="F995" s="369"/>
      <c r="G995" s="369"/>
      <c r="H995" s="369"/>
    </row>
    <row r="996" spans="1:18" ht="15" customHeight="1" x14ac:dyDescent="0.2">
      <c r="A996" s="249" t="s">
        <v>387</v>
      </c>
      <c r="B996" s="147" t="s">
        <v>387</v>
      </c>
      <c r="C996" s="427" t="s">
        <v>119</v>
      </c>
      <c r="D996" s="427"/>
      <c r="E996" s="427"/>
      <c r="F996" s="427"/>
      <c r="G996" s="427"/>
      <c r="H996" s="427"/>
    </row>
    <row r="997" spans="1:18" ht="15" customHeight="1" x14ac:dyDescent="0.2">
      <c r="A997" s="249" t="s">
        <v>387</v>
      </c>
      <c r="B997" s="147" t="s">
        <v>387</v>
      </c>
      <c r="C997" s="428" t="str">
        <f>C3</f>
        <v xml:space="preserve"> PRESUPUESTO AÑO 2024</v>
      </c>
      <c r="D997" s="428"/>
      <c r="E997" s="428"/>
      <c r="F997" s="428"/>
      <c r="G997" s="428"/>
      <c r="H997" s="428"/>
    </row>
    <row r="998" spans="1:18" ht="15" customHeight="1" x14ac:dyDescent="0.2">
      <c r="A998" s="249" t="s">
        <v>387</v>
      </c>
      <c r="B998" s="147" t="s">
        <v>387</v>
      </c>
      <c r="C998" s="428" t="str">
        <f>C4</f>
        <v>PRESUPUESTO EXTRA CONTABLE</v>
      </c>
      <c r="D998" s="428"/>
      <c r="E998" s="428"/>
      <c r="F998" s="428"/>
      <c r="G998" s="428"/>
      <c r="H998" s="428"/>
    </row>
    <row r="999" spans="1:18" ht="15" customHeight="1" x14ac:dyDescent="0.2">
      <c r="A999" s="249" t="s">
        <v>387</v>
      </c>
      <c r="B999" s="147" t="s">
        <v>387</v>
      </c>
      <c r="C999" s="427" t="s">
        <v>117</v>
      </c>
      <c r="D999" s="427"/>
      <c r="E999" s="427"/>
      <c r="F999" s="427"/>
      <c r="G999" s="427"/>
      <c r="H999" s="427"/>
    </row>
    <row r="1000" spans="1:18" ht="15" customHeight="1" x14ac:dyDescent="0.2">
      <c r="A1000" s="249" t="s">
        <v>387</v>
      </c>
      <c r="B1000" s="147" t="s">
        <v>387</v>
      </c>
      <c r="C1000" s="427" t="s">
        <v>753</v>
      </c>
      <c r="D1000" s="427"/>
      <c r="E1000" s="427"/>
      <c r="F1000" s="427"/>
      <c r="G1000" s="427"/>
      <c r="H1000" s="427"/>
    </row>
    <row r="1001" spans="1:18" ht="15" customHeight="1" x14ac:dyDescent="0.2">
      <c r="A1001" s="249" t="s">
        <v>387</v>
      </c>
      <c r="B1001" s="147" t="s">
        <v>387</v>
      </c>
      <c r="C1001" s="430" t="s">
        <v>1</v>
      </c>
      <c r="D1001" s="430" t="s">
        <v>0</v>
      </c>
      <c r="E1001" s="255" t="s">
        <v>56</v>
      </c>
      <c r="F1001" s="255" t="str">
        <f>F7</f>
        <v>REFORMA</v>
      </c>
      <c r="G1001" s="255" t="s">
        <v>56</v>
      </c>
      <c r="H1001" s="432" t="str">
        <f>$H$7</f>
        <v>TOTAL 2024</v>
      </c>
      <c r="I1001" s="153" t="s">
        <v>285</v>
      </c>
      <c r="J1001" s="153"/>
      <c r="K1001" s="153"/>
      <c r="L1001" s="153"/>
      <c r="M1001" s="153"/>
      <c r="N1001" s="269" t="s">
        <v>295</v>
      </c>
    </row>
    <row r="1002" spans="1:18" ht="15" customHeight="1" x14ac:dyDescent="0.2">
      <c r="A1002" s="249" t="s">
        <v>387</v>
      </c>
      <c r="B1002" s="147" t="s">
        <v>387</v>
      </c>
      <c r="C1002" s="431"/>
      <c r="D1002" s="431"/>
      <c r="E1002" s="255" t="s">
        <v>139</v>
      </c>
      <c r="F1002" s="255"/>
      <c r="G1002" s="255" t="s">
        <v>140</v>
      </c>
      <c r="H1002" s="433"/>
      <c r="I1002" s="153" t="s">
        <v>286</v>
      </c>
      <c r="J1002" s="153" t="s">
        <v>290</v>
      </c>
      <c r="K1002" s="153" t="s">
        <v>291</v>
      </c>
      <c r="L1002" s="153" t="s">
        <v>293</v>
      </c>
      <c r="M1002" s="153" t="s">
        <v>292</v>
      </c>
    </row>
    <row r="1003" spans="1:18" ht="15" customHeight="1" x14ac:dyDescent="0.2">
      <c r="A1003" s="249">
        <v>22</v>
      </c>
      <c r="B1003" s="147">
        <v>22</v>
      </c>
      <c r="C1003" s="61">
        <v>51101</v>
      </c>
      <c r="D1003" s="73" t="s">
        <v>15</v>
      </c>
      <c r="E1003" s="74"/>
      <c r="F1003" s="74"/>
      <c r="G1003" s="272">
        <v>17400</v>
      </c>
      <c r="H1003" s="76">
        <f t="shared" ref="H1003:H1023" si="42">E1003+F1003+G1003</f>
        <v>17400</v>
      </c>
      <c r="I1003" s="73"/>
      <c r="J1003" s="73"/>
      <c r="K1003" s="73"/>
      <c r="L1003" s="73"/>
      <c r="M1003" s="73"/>
    </row>
    <row r="1004" spans="1:18" ht="15" customHeight="1" x14ac:dyDescent="0.2">
      <c r="A1004" s="249">
        <v>22</v>
      </c>
      <c r="B1004" s="147">
        <v>22</v>
      </c>
      <c r="C1004" s="61">
        <v>51103</v>
      </c>
      <c r="D1004" s="73" t="s">
        <v>16</v>
      </c>
      <c r="E1004" s="74"/>
      <c r="F1004" s="74"/>
      <c r="G1004" s="272">
        <v>1450</v>
      </c>
      <c r="H1004" s="76">
        <f t="shared" si="42"/>
        <v>1450</v>
      </c>
      <c r="I1004" s="73"/>
      <c r="J1004" s="73"/>
      <c r="K1004" s="73"/>
      <c r="L1004" s="73"/>
      <c r="M1004" s="73"/>
    </row>
    <row r="1005" spans="1:18" ht="15" customHeight="1" x14ac:dyDescent="0.2">
      <c r="A1005" s="249">
        <v>22</v>
      </c>
      <c r="B1005" s="147">
        <v>22</v>
      </c>
      <c r="C1005" s="61">
        <v>51107</v>
      </c>
      <c r="D1005" s="73" t="s">
        <v>34</v>
      </c>
      <c r="E1005" s="74"/>
      <c r="F1005" s="74"/>
      <c r="G1005" s="272">
        <v>400</v>
      </c>
      <c r="H1005" s="76">
        <f t="shared" si="42"/>
        <v>400</v>
      </c>
      <c r="I1005" s="73"/>
      <c r="J1005" s="73"/>
      <c r="K1005" s="73"/>
      <c r="L1005" s="73"/>
      <c r="M1005" s="73"/>
    </row>
    <row r="1006" spans="1:18" ht="15" customHeight="1" x14ac:dyDescent="0.2">
      <c r="A1006" s="249">
        <v>22</v>
      </c>
      <c r="B1006" s="147">
        <v>22</v>
      </c>
      <c r="C1006" s="61">
        <v>51401</v>
      </c>
      <c r="D1006" s="62" t="s">
        <v>47</v>
      </c>
      <c r="E1006" s="74"/>
      <c r="F1006" s="74"/>
      <c r="G1006" s="272">
        <v>1479</v>
      </c>
      <c r="H1006" s="76">
        <f t="shared" si="42"/>
        <v>1479</v>
      </c>
      <c r="I1006" s="73"/>
      <c r="J1006" s="73"/>
      <c r="K1006" s="73"/>
      <c r="L1006" s="73"/>
      <c r="M1006" s="73"/>
      <c r="N1006" s="269"/>
      <c r="O1006" s="257"/>
    </row>
    <row r="1007" spans="1:18" ht="15" customHeight="1" x14ac:dyDescent="0.2">
      <c r="A1007" s="249">
        <v>22</v>
      </c>
      <c r="B1007" s="147">
        <v>22</v>
      </c>
      <c r="C1007" s="61">
        <v>51501</v>
      </c>
      <c r="D1007" s="73" t="s">
        <v>29</v>
      </c>
      <c r="E1007" s="74"/>
      <c r="F1007" s="74"/>
      <c r="G1007" s="272">
        <v>1522.5</v>
      </c>
      <c r="H1007" s="76">
        <f t="shared" si="42"/>
        <v>1522.5</v>
      </c>
      <c r="I1007" s="73"/>
      <c r="J1007" s="73"/>
      <c r="K1007" s="73"/>
      <c r="L1007" s="73"/>
      <c r="M1007" s="73"/>
      <c r="O1007" s="258"/>
    </row>
    <row r="1008" spans="1:18" ht="15" customHeight="1" x14ac:dyDescent="0.2">
      <c r="A1008" s="249">
        <v>22</v>
      </c>
      <c r="B1008" s="147">
        <v>22</v>
      </c>
      <c r="C1008" s="61">
        <v>54101</v>
      </c>
      <c r="D1008" s="73" t="s">
        <v>516</v>
      </c>
      <c r="E1008" s="74"/>
      <c r="F1008" s="74"/>
      <c r="G1008" s="76">
        <v>0</v>
      </c>
      <c r="H1008" s="76">
        <f t="shared" si="42"/>
        <v>0</v>
      </c>
      <c r="I1008" s="73"/>
      <c r="J1008" s="73"/>
      <c r="K1008" s="73"/>
      <c r="L1008" s="73"/>
      <c r="M1008" s="73"/>
    </row>
    <row r="1009" spans="1:18" ht="15" customHeight="1" x14ac:dyDescent="0.2">
      <c r="A1009" s="249">
        <v>22</v>
      </c>
      <c r="B1009" s="147">
        <v>22</v>
      </c>
      <c r="C1009" s="61">
        <v>54104</v>
      </c>
      <c r="D1009" s="62" t="s">
        <v>17</v>
      </c>
      <c r="E1009" s="74"/>
      <c r="F1009" s="74"/>
      <c r="G1009" s="76">
        <v>600</v>
      </c>
      <c r="H1009" s="76">
        <f t="shared" si="42"/>
        <v>600</v>
      </c>
      <c r="I1009" s="73"/>
      <c r="J1009" s="73"/>
      <c r="K1009" s="73"/>
      <c r="L1009" s="73"/>
      <c r="M1009" s="73"/>
    </row>
    <row r="1010" spans="1:18" ht="15" customHeight="1" x14ac:dyDescent="0.2">
      <c r="A1010" s="249">
        <v>22</v>
      </c>
      <c r="B1010" s="147">
        <v>22</v>
      </c>
      <c r="C1010" s="61">
        <v>54105</v>
      </c>
      <c r="D1010" s="73" t="s">
        <v>3</v>
      </c>
      <c r="E1010" s="74"/>
      <c r="F1010" s="74"/>
      <c r="G1010" s="76">
        <v>1150</v>
      </c>
      <c r="H1010" s="76">
        <f t="shared" si="42"/>
        <v>1150</v>
      </c>
      <c r="I1010" s="73"/>
      <c r="J1010" s="73"/>
      <c r="K1010" s="73"/>
      <c r="L1010" s="73"/>
      <c r="M1010" s="73"/>
    </row>
    <row r="1011" spans="1:18" ht="15" customHeight="1" x14ac:dyDescent="0.2">
      <c r="A1011" s="249">
        <v>22</v>
      </c>
      <c r="B1011" s="147">
        <v>22</v>
      </c>
      <c r="C1011" s="61">
        <v>54107</v>
      </c>
      <c r="D1011" s="73" t="s">
        <v>43</v>
      </c>
      <c r="E1011" s="74"/>
      <c r="F1011" s="74"/>
      <c r="G1011" s="76">
        <v>100</v>
      </c>
      <c r="H1011" s="76">
        <f t="shared" si="42"/>
        <v>100</v>
      </c>
      <c r="I1011" s="73"/>
      <c r="J1011" s="73"/>
      <c r="K1011" s="73"/>
      <c r="L1011" s="73"/>
      <c r="M1011" s="73"/>
    </row>
    <row r="1012" spans="1:18" ht="15" customHeight="1" x14ac:dyDescent="0.2">
      <c r="A1012" s="249">
        <v>22</v>
      </c>
      <c r="B1012" s="147">
        <v>22</v>
      </c>
      <c r="C1012" s="61">
        <v>54111</v>
      </c>
      <c r="D1012" s="73" t="s">
        <v>162</v>
      </c>
      <c r="E1012" s="74"/>
      <c r="F1012" s="74"/>
      <c r="G1012" s="76">
        <v>100</v>
      </c>
      <c r="H1012" s="76">
        <f t="shared" si="42"/>
        <v>100</v>
      </c>
      <c r="I1012" s="73"/>
      <c r="J1012" s="73"/>
      <c r="K1012" s="73"/>
      <c r="L1012" s="73"/>
      <c r="M1012" s="73"/>
    </row>
    <row r="1013" spans="1:18" ht="15" customHeight="1" x14ac:dyDescent="0.2">
      <c r="A1013" s="249">
        <v>22</v>
      </c>
      <c r="B1013" s="147">
        <v>22</v>
      </c>
      <c r="C1013" s="61">
        <v>54112</v>
      </c>
      <c r="D1013" s="73" t="s">
        <v>42</v>
      </c>
      <c r="E1013" s="74"/>
      <c r="F1013" s="74"/>
      <c r="G1013" s="76">
        <v>100</v>
      </c>
      <c r="H1013" s="76">
        <f t="shared" si="42"/>
        <v>100</v>
      </c>
      <c r="I1013" s="73"/>
      <c r="J1013" s="73"/>
      <c r="K1013" s="73"/>
      <c r="L1013" s="73"/>
      <c r="M1013" s="73"/>
    </row>
    <row r="1014" spans="1:18" ht="15" customHeight="1" x14ac:dyDescent="0.2">
      <c r="A1014" s="249">
        <v>22</v>
      </c>
      <c r="B1014" s="147">
        <v>22</v>
      </c>
      <c r="C1014" s="61">
        <v>54114</v>
      </c>
      <c r="D1014" s="73" t="s">
        <v>5</v>
      </c>
      <c r="E1014" s="74"/>
      <c r="F1014" s="74"/>
      <c r="G1014" s="76">
        <v>360</v>
      </c>
      <c r="H1014" s="76">
        <f t="shared" si="42"/>
        <v>360</v>
      </c>
      <c r="I1014" s="73"/>
      <c r="J1014" s="73"/>
      <c r="K1014" s="73"/>
      <c r="L1014" s="73"/>
      <c r="M1014" s="73"/>
    </row>
    <row r="1015" spans="1:18" ht="15" customHeight="1" x14ac:dyDescent="0.2">
      <c r="A1015" s="249">
        <v>22</v>
      </c>
      <c r="B1015" s="147">
        <v>22</v>
      </c>
      <c r="C1015" s="61">
        <v>54115</v>
      </c>
      <c r="D1015" s="73" t="s">
        <v>49</v>
      </c>
      <c r="E1015" s="74"/>
      <c r="F1015" s="74"/>
      <c r="G1015" s="76">
        <v>605</v>
      </c>
      <c r="H1015" s="76">
        <f t="shared" si="42"/>
        <v>605</v>
      </c>
      <c r="I1015" s="73"/>
      <c r="J1015" s="73"/>
      <c r="K1015" s="73"/>
      <c r="L1015" s="73"/>
      <c r="M1015" s="73"/>
    </row>
    <row r="1016" spans="1:18" ht="15" customHeight="1" x14ac:dyDescent="0.2">
      <c r="A1016" s="249">
        <v>22</v>
      </c>
      <c r="B1016" s="147">
        <v>22</v>
      </c>
      <c r="C1016" s="61">
        <v>54118</v>
      </c>
      <c r="D1016" s="73" t="s">
        <v>454</v>
      </c>
      <c r="E1016" s="74"/>
      <c r="F1016" s="74"/>
      <c r="G1016" s="76">
        <v>100</v>
      </c>
      <c r="H1016" s="76">
        <f t="shared" si="42"/>
        <v>100</v>
      </c>
      <c r="I1016" s="73"/>
      <c r="J1016" s="73"/>
      <c r="K1016" s="73"/>
      <c r="L1016" s="73"/>
      <c r="M1016" s="73"/>
    </row>
    <row r="1017" spans="1:18" ht="15" customHeight="1" x14ac:dyDescent="0.2">
      <c r="A1017" s="249">
        <v>22</v>
      </c>
      <c r="B1017" s="147">
        <v>22</v>
      </c>
      <c r="C1017" s="128">
        <v>54119</v>
      </c>
      <c r="D1017" s="73" t="str">
        <f>+D1048</f>
        <v>MATERIALES ELECTRICOS</v>
      </c>
      <c r="E1017" s="74"/>
      <c r="F1017" s="74"/>
      <c r="G1017" s="76">
        <v>100</v>
      </c>
      <c r="H1017" s="76">
        <f t="shared" si="42"/>
        <v>100</v>
      </c>
      <c r="I1017" s="73"/>
      <c r="J1017" s="73"/>
      <c r="K1017" s="73"/>
      <c r="L1017" s="73"/>
      <c r="M1017" s="73"/>
    </row>
    <row r="1018" spans="1:18" ht="15" customHeight="1" x14ac:dyDescent="0.2">
      <c r="A1018" s="249">
        <v>22</v>
      </c>
      <c r="B1018" s="147">
        <v>22</v>
      </c>
      <c r="C1018" s="128">
        <v>54301</v>
      </c>
      <c r="D1018" s="73" t="str">
        <f>+D1050</f>
        <v>MANTENIMIENTO Y REPARACION DE BIENES MUEBLES</v>
      </c>
      <c r="E1018" s="74"/>
      <c r="F1018" s="74"/>
      <c r="G1018" s="76">
        <v>100</v>
      </c>
      <c r="H1018" s="76">
        <f t="shared" si="42"/>
        <v>100</v>
      </c>
      <c r="I1018" s="73"/>
      <c r="J1018" s="73"/>
      <c r="K1018" s="73"/>
      <c r="L1018" s="73"/>
      <c r="M1018" s="73"/>
    </row>
    <row r="1019" spans="1:18" ht="15" customHeight="1" x14ac:dyDescent="0.2">
      <c r="A1019" s="249">
        <v>22</v>
      </c>
      <c r="B1019" s="147">
        <v>22</v>
      </c>
      <c r="C1019" s="129">
        <v>54199</v>
      </c>
      <c r="D1019" s="73" t="s">
        <v>26</v>
      </c>
      <c r="E1019" s="74"/>
      <c r="F1019" s="74"/>
      <c r="G1019" s="76">
        <v>200</v>
      </c>
      <c r="H1019" s="76">
        <f t="shared" si="42"/>
        <v>200</v>
      </c>
      <c r="I1019" s="73"/>
      <c r="J1019" s="73"/>
      <c r="K1019" s="73"/>
      <c r="L1019" s="73"/>
      <c r="M1019" s="73"/>
    </row>
    <row r="1020" spans="1:18" ht="15" customHeight="1" x14ac:dyDescent="0.2">
      <c r="A1020" s="249">
        <v>22</v>
      </c>
      <c r="B1020" s="147">
        <v>22</v>
      </c>
      <c r="C1020" s="61">
        <v>61101</v>
      </c>
      <c r="D1020" s="73" t="s">
        <v>188</v>
      </c>
      <c r="E1020" s="74"/>
      <c r="F1020" s="74"/>
      <c r="G1020" s="76">
        <v>775</v>
      </c>
      <c r="H1020" s="76">
        <f t="shared" si="42"/>
        <v>775</v>
      </c>
      <c r="I1020" s="73"/>
      <c r="J1020" s="73"/>
      <c r="K1020" s="73"/>
      <c r="L1020" s="73"/>
      <c r="M1020" s="73"/>
    </row>
    <row r="1021" spans="1:18" ht="15" customHeight="1" x14ac:dyDescent="0.2">
      <c r="A1021" s="249">
        <v>22</v>
      </c>
      <c r="B1021" s="147">
        <v>22</v>
      </c>
      <c r="C1021" s="61">
        <v>61102</v>
      </c>
      <c r="D1021" s="62" t="s">
        <v>28</v>
      </c>
      <c r="E1021" s="74"/>
      <c r="F1021" s="74"/>
      <c r="G1021" s="76">
        <v>2030</v>
      </c>
      <c r="H1021" s="76">
        <f t="shared" si="42"/>
        <v>2030</v>
      </c>
      <c r="I1021" s="73"/>
      <c r="J1021" s="73"/>
      <c r="K1021" s="73"/>
      <c r="L1021" s="73"/>
      <c r="M1021" s="73"/>
    </row>
    <row r="1022" spans="1:18" ht="15" customHeight="1" x14ac:dyDescent="0.2">
      <c r="A1022" s="249">
        <v>22</v>
      </c>
      <c r="B1022" s="147">
        <v>22</v>
      </c>
      <c r="C1022" s="61">
        <v>61104</v>
      </c>
      <c r="D1022" s="73" t="s">
        <v>504</v>
      </c>
      <c r="E1022" s="74"/>
      <c r="F1022" s="74"/>
      <c r="G1022" s="76">
        <v>65</v>
      </c>
      <c r="H1022" s="76">
        <f t="shared" si="42"/>
        <v>65</v>
      </c>
      <c r="I1022" s="73"/>
      <c r="J1022" s="73"/>
      <c r="K1022" s="73"/>
      <c r="L1022" s="73"/>
      <c r="M1022" s="73"/>
    </row>
    <row r="1023" spans="1:18" ht="15" customHeight="1" x14ac:dyDescent="0.2">
      <c r="A1023" s="249">
        <v>22</v>
      </c>
      <c r="B1023" s="147" t="s">
        <v>399</v>
      </c>
      <c r="C1023" s="61"/>
      <c r="D1023" s="61" t="s">
        <v>14</v>
      </c>
      <c r="E1023" s="83">
        <f>SUM(E1003:E1022)</f>
        <v>0</v>
      </c>
      <c r="F1023" s="83">
        <f>SUM(F1003:F1015)</f>
        <v>0</v>
      </c>
      <c r="G1023" s="83">
        <f>SUM(G1003:G1022)</f>
        <v>28636.5</v>
      </c>
      <c r="H1023" s="83">
        <f t="shared" si="42"/>
        <v>28636.5</v>
      </c>
      <c r="I1023" s="73"/>
      <c r="J1023" s="73"/>
      <c r="K1023" s="73"/>
      <c r="L1023" s="73"/>
      <c r="M1023" s="73"/>
      <c r="O1023" s="258"/>
      <c r="P1023" s="259"/>
    </row>
    <row r="1024" spans="1:18" ht="15" customHeight="1" x14ac:dyDescent="0.2">
      <c r="A1024" s="249" t="s">
        <v>387</v>
      </c>
      <c r="B1024" s="147" t="s">
        <v>387</v>
      </c>
      <c r="C1024" s="148"/>
      <c r="D1024" s="148"/>
      <c r="E1024" s="260"/>
      <c r="F1024" s="260"/>
      <c r="G1024" s="261"/>
      <c r="H1024" s="261"/>
      <c r="O1024" s="258"/>
      <c r="P1024" s="259"/>
      <c r="R1024" s="259"/>
    </row>
    <row r="1025" spans="1:15" ht="15" customHeight="1" x14ac:dyDescent="0.2">
      <c r="A1025" s="249" t="s">
        <v>387</v>
      </c>
      <c r="B1025" s="147" t="s">
        <v>387</v>
      </c>
      <c r="C1025" s="148"/>
      <c r="D1025" s="148"/>
      <c r="E1025" s="260"/>
      <c r="F1025" s="260"/>
      <c r="G1025" s="261"/>
      <c r="H1025" s="261"/>
    </row>
    <row r="1026" spans="1:15" ht="15" customHeight="1" x14ac:dyDescent="0.2">
      <c r="A1026" s="249" t="s">
        <v>387</v>
      </c>
      <c r="B1026" s="147" t="s">
        <v>387</v>
      </c>
      <c r="C1026" s="368"/>
      <c r="D1026" s="363"/>
      <c r="E1026" s="371"/>
      <c r="F1026" s="371"/>
      <c r="G1026" s="372"/>
      <c r="H1026" s="372"/>
    </row>
    <row r="1027" spans="1:15" ht="15" customHeight="1" x14ac:dyDescent="0.2">
      <c r="A1027" s="249" t="s">
        <v>387</v>
      </c>
      <c r="B1027" s="147" t="s">
        <v>387</v>
      </c>
      <c r="C1027" s="427" t="s">
        <v>119</v>
      </c>
      <c r="D1027" s="427"/>
      <c r="E1027" s="427"/>
      <c r="F1027" s="427"/>
      <c r="G1027" s="427"/>
      <c r="H1027" s="427"/>
    </row>
    <row r="1028" spans="1:15" ht="15" customHeight="1" x14ac:dyDescent="0.2">
      <c r="A1028" s="249" t="s">
        <v>387</v>
      </c>
      <c r="B1028" s="147" t="s">
        <v>387</v>
      </c>
      <c r="C1028" s="428" t="str">
        <f>C3</f>
        <v xml:space="preserve"> PRESUPUESTO AÑO 2024</v>
      </c>
      <c r="D1028" s="428"/>
      <c r="E1028" s="428"/>
      <c r="F1028" s="428"/>
      <c r="G1028" s="428"/>
      <c r="H1028" s="428"/>
    </row>
    <row r="1029" spans="1:15" ht="15" customHeight="1" x14ac:dyDescent="0.2">
      <c r="A1029" s="249" t="s">
        <v>387</v>
      </c>
      <c r="B1029" s="147" t="s">
        <v>387</v>
      </c>
      <c r="C1029" s="428" t="str">
        <f>C4</f>
        <v>PRESUPUESTO EXTRA CONTABLE</v>
      </c>
      <c r="D1029" s="428"/>
      <c r="E1029" s="428"/>
      <c r="F1029" s="428"/>
      <c r="G1029" s="428"/>
      <c r="H1029" s="428"/>
    </row>
    <row r="1030" spans="1:15" ht="15" customHeight="1" x14ac:dyDescent="0.2">
      <c r="A1030" s="249" t="s">
        <v>387</v>
      </c>
      <c r="B1030" s="147" t="s">
        <v>387</v>
      </c>
      <c r="C1030" s="427" t="s">
        <v>117</v>
      </c>
      <c r="D1030" s="427"/>
      <c r="E1030" s="427"/>
      <c r="F1030" s="427"/>
      <c r="G1030" s="427"/>
      <c r="H1030" s="427"/>
    </row>
    <row r="1031" spans="1:15" ht="15" customHeight="1" x14ac:dyDescent="0.2">
      <c r="A1031" s="249" t="s">
        <v>387</v>
      </c>
      <c r="B1031" s="147" t="s">
        <v>387</v>
      </c>
      <c r="C1031" s="427" t="s">
        <v>281</v>
      </c>
      <c r="D1031" s="427"/>
      <c r="E1031" s="427"/>
      <c r="F1031" s="427"/>
      <c r="G1031" s="427"/>
      <c r="H1031" s="427"/>
    </row>
    <row r="1032" spans="1:15" ht="15" customHeight="1" x14ac:dyDescent="0.2">
      <c r="A1032" s="249" t="s">
        <v>387</v>
      </c>
      <c r="B1032" s="147" t="s">
        <v>387</v>
      </c>
      <c r="C1032" s="430" t="s">
        <v>1</v>
      </c>
      <c r="D1032" s="430" t="s">
        <v>0</v>
      </c>
      <c r="E1032" s="255" t="s">
        <v>56</v>
      </c>
      <c r="F1032" s="255" t="str">
        <f>F7</f>
        <v>REFORMA</v>
      </c>
      <c r="G1032" s="255" t="s">
        <v>56</v>
      </c>
      <c r="H1032" s="432" t="str">
        <f>$H$7</f>
        <v>TOTAL 2024</v>
      </c>
      <c r="I1032" s="153" t="s">
        <v>285</v>
      </c>
      <c r="J1032" s="153"/>
      <c r="K1032" s="153"/>
      <c r="L1032" s="153"/>
      <c r="M1032" s="153"/>
      <c r="N1032" s="269" t="s">
        <v>295</v>
      </c>
    </row>
    <row r="1033" spans="1:15" ht="15" customHeight="1" x14ac:dyDescent="0.2">
      <c r="A1033" s="249" t="s">
        <v>387</v>
      </c>
      <c r="B1033" s="147" t="s">
        <v>387</v>
      </c>
      <c r="C1033" s="431"/>
      <c r="D1033" s="431"/>
      <c r="E1033" s="255" t="s">
        <v>139</v>
      </c>
      <c r="F1033" s="255"/>
      <c r="G1033" s="255" t="s">
        <v>140</v>
      </c>
      <c r="H1033" s="433"/>
      <c r="I1033" s="153" t="s">
        <v>286</v>
      </c>
      <c r="J1033" s="153" t="s">
        <v>290</v>
      </c>
      <c r="K1033" s="153" t="s">
        <v>291</v>
      </c>
      <c r="L1033" s="153" t="s">
        <v>293</v>
      </c>
      <c r="M1033" s="153" t="s">
        <v>292</v>
      </c>
    </row>
    <row r="1034" spans="1:15" ht="15" customHeight="1" x14ac:dyDescent="0.2">
      <c r="A1034" s="249">
        <v>24</v>
      </c>
      <c r="B1034" s="147">
        <v>24</v>
      </c>
      <c r="C1034" s="61">
        <v>51101</v>
      </c>
      <c r="D1034" s="73" t="s">
        <v>15</v>
      </c>
      <c r="E1034" s="74"/>
      <c r="F1034" s="74"/>
      <c r="G1034" s="272">
        <v>18600</v>
      </c>
      <c r="H1034" s="76">
        <f t="shared" ref="H1034:H1043" si="43">E1034+F1034+G1034</f>
        <v>18600</v>
      </c>
      <c r="I1034" s="73"/>
      <c r="J1034" s="73"/>
      <c r="K1034" s="73"/>
      <c r="L1034" s="73"/>
      <c r="M1034" s="73"/>
    </row>
    <row r="1035" spans="1:15" ht="15" customHeight="1" x14ac:dyDescent="0.2">
      <c r="A1035" s="249">
        <v>24</v>
      </c>
      <c r="B1035" s="147">
        <v>24</v>
      </c>
      <c r="C1035" s="61">
        <v>51103</v>
      </c>
      <c r="D1035" s="73" t="s">
        <v>16</v>
      </c>
      <c r="E1035" s="76"/>
      <c r="F1035" s="76"/>
      <c r="G1035" s="272">
        <v>1550</v>
      </c>
      <c r="H1035" s="76">
        <f t="shared" si="43"/>
        <v>1550</v>
      </c>
      <c r="I1035" s="73"/>
      <c r="J1035" s="73"/>
      <c r="K1035" s="73"/>
      <c r="L1035" s="73"/>
      <c r="M1035" s="73"/>
    </row>
    <row r="1036" spans="1:15" ht="15" customHeight="1" x14ac:dyDescent="0.2">
      <c r="A1036" s="249">
        <v>24</v>
      </c>
      <c r="B1036" s="147">
        <v>24</v>
      </c>
      <c r="C1036" s="61">
        <v>51107</v>
      </c>
      <c r="D1036" s="73" t="s">
        <v>34</v>
      </c>
      <c r="E1036" s="76"/>
      <c r="F1036" s="76"/>
      <c r="G1036" s="272">
        <v>400</v>
      </c>
      <c r="H1036" s="76">
        <f t="shared" si="43"/>
        <v>400</v>
      </c>
      <c r="I1036" s="73"/>
      <c r="J1036" s="73"/>
      <c r="K1036" s="73"/>
      <c r="L1036" s="73"/>
      <c r="M1036" s="73"/>
    </row>
    <row r="1037" spans="1:15" ht="15" customHeight="1" x14ac:dyDescent="0.2">
      <c r="A1037" s="249">
        <v>24</v>
      </c>
      <c r="B1037" s="147">
        <v>24</v>
      </c>
      <c r="C1037" s="61">
        <v>51401</v>
      </c>
      <c r="D1037" s="62" t="s">
        <v>47</v>
      </c>
      <c r="E1037" s="74"/>
      <c r="F1037" s="74"/>
      <c r="G1037" s="272">
        <v>1581</v>
      </c>
      <c r="H1037" s="76">
        <f t="shared" si="43"/>
        <v>1581</v>
      </c>
      <c r="I1037" s="73"/>
      <c r="J1037" s="73"/>
      <c r="K1037" s="73"/>
      <c r="L1037" s="73"/>
      <c r="M1037" s="73"/>
      <c r="O1037" s="257"/>
    </row>
    <row r="1038" spans="1:15" ht="15" customHeight="1" x14ac:dyDescent="0.2">
      <c r="A1038" s="249">
        <v>24</v>
      </c>
      <c r="B1038" s="147">
        <v>24</v>
      </c>
      <c r="C1038" s="61">
        <v>51501</v>
      </c>
      <c r="D1038" s="73" t="s">
        <v>29</v>
      </c>
      <c r="E1038" s="74"/>
      <c r="F1038" s="74"/>
      <c r="G1038" s="272">
        <v>1627.5</v>
      </c>
      <c r="H1038" s="76">
        <f t="shared" si="43"/>
        <v>1627.5</v>
      </c>
      <c r="I1038" s="73"/>
      <c r="J1038" s="73"/>
      <c r="K1038" s="73"/>
      <c r="L1038" s="73"/>
      <c r="M1038" s="73"/>
    </row>
    <row r="1039" spans="1:15" ht="15" customHeight="1" x14ac:dyDescent="0.2">
      <c r="A1039" s="249">
        <v>24</v>
      </c>
      <c r="B1039" s="147">
        <v>24</v>
      </c>
      <c r="C1039" s="61">
        <v>54104</v>
      </c>
      <c r="D1039" s="73" t="s">
        <v>517</v>
      </c>
      <c r="E1039" s="74"/>
      <c r="F1039" s="74"/>
      <c r="G1039" s="76">
        <v>200</v>
      </c>
      <c r="H1039" s="76">
        <f t="shared" si="43"/>
        <v>200</v>
      </c>
      <c r="I1039" s="73"/>
      <c r="J1039" s="73"/>
      <c r="K1039" s="73"/>
      <c r="L1039" s="73"/>
      <c r="M1039" s="73"/>
    </row>
    <row r="1040" spans="1:15" ht="15" customHeight="1" x14ac:dyDescent="0.2">
      <c r="A1040" s="249">
        <v>24</v>
      </c>
      <c r="B1040" s="147">
        <v>24</v>
      </c>
      <c r="C1040" s="61">
        <v>54105</v>
      </c>
      <c r="D1040" s="73" t="s">
        <v>3</v>
      </c>
      <c r="E1040" s="74"/>
      <c r="F1040" s="74"/>
      <c r="G1040" s="74">
        <v>0</v>
      </c>
      <c r="H1040" s="76">
        <f t="shared" si="43"/>
        <v>0</v>
      </c>
      <c r="I1040" s="73"/>
      <c r="J1040" s="73"/>
      <c r="K1040" s="73"/>
      <c r="L1040" s="73"/>
      <c r="M1040" s="73"/>
    </row>
    <row r="1041" spans="1:13" ht="15" customHeight="1" x14ac:dyDescent="0.2">
      <c r="A1041" s="249">
        <v>24</v>
      </c>
      <c r="B1041" s="147">
        <v>24</v>
      </c>
      <c r="C1041" s="61">
        <v>54107</v>
      </c>
      <c r="D1041" s="73" t="s">
        <v>43</v>
      </c>
      <c r="E1041" s="74"/>
      <c r="F1041" s="74"/>
      <c r="G1041" s="74">
        <v>100</v>
      </c>
      <c r="H1041" s="76">
        <f t="shared" si="43"/>
        <v>100</v>
      </c>
      <c r="I1041" s="73"/>
      <c r="J1041" s="73"/>
      <c r="K1041" s="73"/>
      <c r="L1041" s="73"/>
      <c r="M1041" s="73"/>
    </row>
    <row r="1042" spans="1:13" ht="15" customHeight="1" x14ac:dyDescent="0.2">
      <c r="A1042" s="249">
        <v>24</v>
      </c>
      <c r="B1042" s="147">
        <v>24</v>
      </c>
      <c r="C1042" s="61">
        <v>54111</v>
      </c>
      <c r="D1042" s="73" t="s">
        <v>162</v>
      </c>
      <c r="E1042" s="74"/>
      <c r="F1042" s="74"/>
      <c r="G1042" s="74">
        <v>100</v>
      </c>
      <c r="H1042" s="76">
        <f t="shared" si="43"/>
        <v>100</v>
      </c>
      <c r="I1042" s="73"/>
      <c r="J1042" s="73"/>
      <c r="K1042" s="73"/>
      <c r="L1042" s="73"/>
      <c r="M1042" s="73"/>
    </row>
    <row r="1043" spans="1:13" ht="15" customHeight="1" x14ac:dyDescent="0.2">
      <c r="A1043" s="249">
        <v>24</v>
      </c>
      <c r="B1043" s="147">
        <v>24</v>
      </c>
      <c r="C1043" s="61">
        <v>54112</v>
      </c>
      <c r="D1043" s="73" t="s">
        <v>42</v>
      </c>
      <c r="E1043" s="74"/>
      <c r="F1043" s="74"/>
      <c r="G1043" s="74">
        <v>100</v>
      </c>
      <c r="H1043" s="76">
        <f t="shared" si="43"/>
        <v>100</v>
      </c>
      <c r="I1043" s="73"/>
      <c r="J1043" s="73"/>
      <c r="K1043" s="73"/>
      <c r="L1043" s="73"/>
      <c r="M1043" s="73"/>
    </row>
    <row r="1044" spans="1:13" ht="15" customHeight="1" x14ac:dyDescent="0.2">
      <c r="A1044" s="249">
        <v>24</v>
      </c>
      <c r="B1044" s="147">
        <v>24</v>
      </c>
      <c r="C1044" s="61">
        <v>54114</v>
      </c>
      <c r="D1044" s="73" t="s">
        <v>5</v>
      </c>
      <c r="E1044" s="74"/>
      <c r="F1044" s="74"/>
      <c r="G1044" s="76">
        <v>250</v>
      </c>
      <c r="H1044" s="76">
        <f>E1044+F1044+G1044</f>
        <v>250</v>
      </c>
      <c r="I1044" s="73"/>
      <c r="J1044" s="73"/>
      <c r="K1044" s="73"/>
      <c r="L1044" s="73"/>
      <c r="M1044" s="73"/>
    </row>
    <row r="1045" spans="1:13" ht="15" customHeight="1" x14ac:dyDescent="0.2">
      <c r="A1045" s="249">
        <v>24</v>
      </c>
      <c r="B1045" s="147">
        <v>24</v>
      </c>
      <c r="C1045" s="61">
        <v>54115</v>
      </c>
      <c r="D1045" s="73" t="s">
        <v>49</v>
      </c>
      <c r="E1045" s="74"/>
      <c r="F1045" s="74"/>
      <c r="G1045" s="76">
        <v>200</v>
      </c>
      <c r="H1045" s="76">
        <f>E1045+F1045+G1045</f>
        <v>200</v>
      </c>
      <c r="I1045" s="73"/>
      <c r="J1045" s="73"/>
      <c r="K1045" s="73"/>
      <c r="L1045" s="73"/>
      <c r="M1045" s="73"/>
    </row>
    <row r="1046" spans="1:13" ht="15" customHeight="1" x14ac:dyDescent="0.2">
      <c r="A1046" s="249">
        <v>24</v>
      </c>
      <c r="B1046" s="147">
        <v>24</v>
      </c>
      <c r="C1046" s="61">
        <v>54116</v>
      </c>
      <c r="D1046" s="62" t="s">
        <v>167</v>
      </c>
      <c r="E1046" s="74"/>
      <c r="F1046" s="74"/>
      <c r="G1046" s="76">
        <v>200</v>
      </c>
      <c r="H1046" s="76">
        <f t="shared" ref="H1046:H1053" si="44">E1046+F1046+G1046</f>
        <v>200</v>
      </c>
      <c r="I1046" s="73"/>
      <c r="J1046" s="73"/>
      <c r="K1046" s="73"/>
      <c r="L1046" s="73"/>
      <c r="M1046" s="73"/>
    </row>
    <row r="1047" spans="1:13" ht="15" customHeight="1" x14ac:dyDescent="0.2">
      <c r="A1047" s="249">
        <v>24</v>
      </c>
      <c r="B1047" s="147">
        <v>24</v>
      </c>
      <c r="C1047" s="61">
        <v>54118</v>
      </c>
      <c r="D1047" s="73" t="s">
        <v>35</v>
      </c>
      <c r="E1047" s="74"/>
      <c r="F1047" s="74"/>
      <c r="G1047" s="76">
        <v>100</v>
      </c>
      <c r="H1047" s="76">
        <f t="shared" si="44"/>
        <v>100</v>
      </c>
      <c r="I1047" s="73"/>
      <c r="J1047" s="73"/>
      <c r="K1047" s="73"/>
      <c r="L1047" s="73"/>
      <c r="M1047" s="73"/>
    </row>
    <row r="1048" spans="1:13" ht="15" customHeight="1" x14ac:dyDescent="0.2">
      <c r="A1048" s="249">
        <v>24</v>
      </c>
      <c r="B1048" s="147">
        <v>24</v>
      </c>
      <c r="C1048" s="61">
        <v>54119</v>
      </c>
      <c r="D1048" s="73" t="s">
        <v>44</v>
      </c>
      <c r="E1048" s="74"/>
      <c r="F1048" s="74"/>
      <c r="G1048" s="76">
        <v>100</v>
      </c>
      <c r="H1048" s="76">
        <f t="shared" si="44"/>
        <v>100</v>
      </c>
      <c r="I1048" s="73"/>
      <c r="J1048" s="73"/>
      <c r="K1048" s="73"/>
      <c r="L1048" s="73"/>
      <c r="M1048" s="73"/>
    </row>
    <row r="1049" spans="1:13" ht="15" customHeight="1" x14ac:dyDescent="0.2">
      <c r="A1049" s="249">
        <v>24</v>
      </c>
      <c r="B1049" s="147">
        <v>24</v>
      </c>
      <c r="C1049" s="61">
        <v>54199</v>
      </c>
      <c r="D1049" s="73" t="s">
        <v>26</v>
      </c>
      <c r="E1049" s="74"/>
      <c r="F1049" s="74"/>
      <c r="G1049" s="76">
        <v>500</v>
      </c>
      <c r="H1049" s="76">
        <f t="shared" si="44"/>
        <v>500</v>
      </c>
      <c r="I1049" s="73"/>
      <c r="J1049" s="73"/>
      <c r="K1049" s="73"/>
      <c r="L1049" s="73"/>
      <c r="M1049" s="73"/>
    </row>
    <row r="1050" spans="1:13" ht="15" customHeight="1" x14ac:dyDescent="0.2">
      <c r="A1050" s="249">
        <v>24</v>
      </c>
      <c r="B1050" s="147">
        <v>24</v>
      </c>
      <c r="C1050" s="61">
        <v>54301</v>
      </c>
      <c r="D1050" s="73" t="s">
        <v>158</v>
      </c>
      <c r="E1050" s="74"/>
      <c r="F1050" s="74"/>
      <c r="G1050" s="76">
        <v>100</v>
      </c>
      <c r="H1050" s="76">
        <f t="shared" si="44"/>
        <v>100</v>
      </c>
      <c r="I1050" s="73"/>
      <c r="J1050" s="73"/>
      <c r="K1050" s="73"/>
      <c r="L1050" s="73"/>
      <c r="M1050" s="73"/>
    </row>
    <row r="1051" spans="1:13" ht="15" customHeight="1" x14ac:dyDescent="0.2">
      <c r="A1051" s="249">
        <v>24</v>
      </c>
      <c r="B1051" s="147">
        <v>24</v>
      </c>
      <c r="C1051" s="61">
        <v>54307</v>
      </c>
      <c r="D1051" s="62" t="s">
        <v>10</v>
      </c>
      <c r="E1051" s="74"/>
      <c r="F1051" s="74"/>
      <c r="G1051" s="76">
        <v>0</v>
      </c>
      <c r="H1051" s="76">
        <f t="shared" si="44"/>
        <v>0</v>
      </c>
      <c r="I1051" s="73"/>
      <c r="J1051" s="73"/>
      <c r="K1051" s="73"/>
      <c r="L1051" s="73"/>
      <c r="M1051" s="73"/>
    </row>
    <row r="1052" spans="1:13" ht="15" customHeight="1" x14ac:dyDescent="0.2">
      <c r="A1052" s="249">
        <v>24</v>
      </c>
      <c r="B1052" s="147">
        <v>24</v>
      </c>
      <c r="C1052" s="61">
        <v>54313</v>
      </c>
      <c r="D1052" s="62" t="s">
        <v>11</v>
      </c>
      <c r="E1052" s="74"/>
      <c r="F1052" s="74"/>
      <c r="G1052" s="76">
        <v>200</v>
      </c>
      <c r="H1052" s="76">
        <f t="shared" si="44"/>
        <v>200</v>
      </c>
      <c r="I1052" s="73"/>
      <c r="J1052" s="73"/>
      <c r="K1052" s="73"/>
      <c r="L1052" s="73"/>
      <c r="M1052" s="73"/>
    </row>
    <row r="1053" spans="1:13" ht="15" customHeight="1" x14ac:dyDescent="0.2">
      <c r="A1053" s="249">
        <v>24</v>
      </c>
      <c r="B1053" s="147">
        <v>24</v>
      </c>
      <c r="C1053" s="61">
        <v>54401</v>
      </c>
      <c r="D1053" s="62" t="s">
        <v>143</v>
      </c>
      <c r="E1053" s="76"/>
      <c r="F1053" s="76"/>
      <c r="G1053" s="76">
        <v>150</v>
      </c>
      <c r="H1053" s="76">
        <f t="shared" si="44"/>
        <v>150</v>
      </c>
      <c r="I1053" s="73"/>
      <c r="J1053" s="73"/>
      <c r="K1053" s="73"/>
      <c r="L1053" s="73"/>
      <c r="M1053" s="73"/>
    </row>
    <row r="1054" spans="1:13" ht="15" customHeight="1" x14ac:dyDescent="0.2">
      <c r="A1054" s="249">
        <v>24</v>
      </c>
      <c r="B1054" s="147">
        <v>24</v>
      </c>
      <c r="C1054" s="61">
        <v>54505</v>
      </c>
      <c r="D1054" s="62" t="s">
        <v>513</v>
      </c>
      <c r="E1054" s="76"/>
      <c r="F1054" s="76"/>
      <c r="G1054" s="76">
        <v>200</v>
      </c>
      <c r="H1054" s="76">
        <f>E1054+F1054+G1054</f>
        <v>200</v>
      </c>
      <c r="I1054" s="73"/>
      <c r="J1054" s="73"/>
      <c r="K1054" s="73"/>
      <c r="L1054" s="73"/>
      <c r="M1054" s="73"/>
    </row>
    <row r="1055" spans="1:13" ht="15" customHeight="1" x14ac:dyDescent="0.2">
      <c r="A1055" s="249">
        <v>24</v>
      </c>
      <c r="B1055" s="147">
        <v>24</v>
      </c>
      <c r="C1055" s="61">
        <v>61101</v>
      </c>
      <c r="D1055" s="62" t="s">
        <v>144</v>
      </c>
      <c r="E1055" s="74"/>
      <c r="F1055" s="74"/>
      <c r="G1055" s="74">
        <v>400</v>
      </c>
      <c r="H1055" s="76">
        <f>E1055+F1055+G1055</f>
        <v>400</v>
      </c>
      <c r="I1055" s="73"/>
      <c r="J1055" s="73"/>
      <c r="K1055" s="73"/>
      <c r="L1055" s="73"/>
      <c r="M1055" s="73"/>
    </row>
    <row r="1056" spans="1:13" ht="15" customHeight="1" x14ac:dyDescent="0.2">
      <c r="A1056" s="249">
        <v>24</v>
      </c>
      <c r="B1056" s="147">
        <v>24</v>
      </c>
      <c r="C1056" s="61">
        <v>61102</v>
      </c>
      <c r="D1056" s="62" t="s">
        <v>28</v>
      </c>
      <c r="E1056" s="74"/>
      <c r="F1056" s="74"/>
      <c r="G1056" s="74">
        <v>500</v>
      </c>
      <c r="H1056" s="76">
        <f>E1056+F1056+G1056</f>
        <v>500</v>
      </c>
      <c r="I1056" s="73"/>
      <c r="J1056" s="73"/>
      <c r="K1056" s="73"/>
      <c r="L1056" s="73"/>
      <c r="M1056" s="73"/>
    </row>
    <row r="1057" spans="1:18" ht="15" customHeight="1" x14ac:dyDescent="0.2">
      <c r="A1057" s="249">
        <v>24</v>
      </c>
      <c r="B1057" s="147">
        <v>24</v>
      </c>
      <c r="C1057" s="61">
        <v>61104</v>
      </c>
      <c r="D1057" s="73" t="s">
        <v>31</v>
      </c>
      <c r="E1057" s="74"/>
      <c r="F1057" s="74"/>
      <c r="G1057" s="76">
        <v>600</v>
      </c>
      <c r="H1057" s="76">
        <f>E1057+F1057+G1057</f>
        <v>600</v>
      </c>
      <c r="I1057" s="73"/>
      <c r="J1057" s="73"/>
      <c r="K1057" s="73"/>
      <c r="L1057" s="73"/>
      <c r="M1057" s="73"/>
    </row>
    <row r="1058" spans="1:18" ht="15" customHeight="1" x14ac:dyDescent="0.2">
      <c r="A1058" s="249">
        <v>24</v>
      </c>
      <c r="B1058" s="147" t="s">
        <v>400</v>
      </c>
      <c r="C1058" s="61"/>
      <c r="D1058" s="61" t="s">
        <v>14</v>
      </c>
      <c r="E1058" s="83">
        <f>SUM(E1034:E1057)</f>
        <v>0</v>
      </c>
      <c r="F1058" s="83">
        <f>SUM(F1034:F1057)</f>
        <v>0</v>
      </c>
      <c r="G1058" s="83">
        <f>SUM(G1034:G1057)</f>
        <v>27758.5</v>
      </c>
      <c r="H1058" s="83">
        <f>E1058+F1058+G1058</f>
        <v>27758.5</v>
      </c>
      <c r="I1058" s="73"/>
      <c r="J1058" s="73"/>
      <c r="K1058" s="73"/>
      <c r="L1058" s="73"/>
      <c r="M1058" s="73"/>
      <c r="O1058" s="258"/>
      <c r="P1058" s="259"/>
    </row>
    <row r="1059" spans="1:18" ht="15" customHeight="1" x14ac:dyDescent="0.2">
      <c r="A1059" s="249" t="s">
        <v>387</v>
      </c>
      <c r="B1059" s="147" t="s">
        <v>387</v>
      </c>
      <c r="C1059" s="148"/>
      <c r="D1059" s="148"/>
      <c r="E1059" s="260"/>
      <c r="F1059" s="260"/>
      <c r="G1059" s="261"/>
      <c r="H1059" s="261"/>
      <c r="O1059" s="258"/>
      <c r="P1059" s="259"/>
      <c r="Q1059" s="147" t="s">
        <v>591</v>
      </c>
      <c r="R1059" s="259">
        <f>+H1058-P1059</f>
        <v>27758.5</v>
      </c>
    </row>
    <row r="1060" spans="1:18" ht="15" customHeight="1" x14ac:dyDescent="0.2">
      <c r="A1060" s="249" t="s">
        <v>387</v>
      </c>
      <c r="B1060" s="147" t="s">
        <v>387</v>
      </c>
      <c r="C1060" s="368"/>
      <c r="D1060" s="368"/>
      <c r="E1060" s="367"/>
      <c r="F1060" s="367"/>
      <c r="G1060" s="366"/>
      <c r="H1060" s="366"/>
      <c r="O1060" s="258"/>
    </row>
    <row r="1061" spans="1:18" ht="15" customHeight="1" x14ac:dyDescent="0.2">
      <c r="A1061" s="249" t="s">
        <v>387</v>
      </c>
      <c r="B1061" s="147" t="s">
        <v>387</v>
      </c>
      <c r="C1061" s="427" t="s">
        <v>119</v>
      </c>
      <c r="D1061" s="427"/>
      <c r="E1061" s="427"/>
      <c r="F1061" s="427"/>
      <c r="G1061" s="427"/>
      <c r="H1061" s="427"/>
    </row>
    <row r="1062" spans="1:18" ht="15" customHeight="1" x14ac:dyDescent="0.2">
      <c r="A1062" s="249" t="s">
        <v>387</v>
      </c>
      <c r="B1062" s="147" t="s">
        <v>387</v>
      </c>
      <c r="C1062" s="428" t="str">
        <f>+C3</f>
        <v xml:space="preserve"> PRESUPUESTO AÑO 2024</v>
      </c>
      <c r="D1062" s="428"/>
      <c r="E1062" s="428"/>
      <c r="F1062" s="428"/>
      <c r="G1062" s="428"/>
      <c r="H1062" s="428"/>
    </row>
    <row r="1063" spans="1:18" ht="15" customHeight="1" x14ac:dyDescent="0.2">
      <c r="A1063" s="249" t="s">
        <v>387</v>
      </c>
      <c r="B1063" s="147" t="s">
        <v>387</v>
      </c>
      <c r="C1063" s="428" t="s">
        <v>518</v>
      </c>
      <c r="D1063" s="428"/>
      <c r="E1063" s="428"/>
      <c r="F1063" s="428"/>
      <c r="G1063" s="428"/>
      <c r="H1063" s="428"/>
    </row>
    <row r="1064" spans="1:18" ht="15" customHeight="1" x14ac:dyDescent="0.2">
      <c r="A1064" s="249" t="s">
        <v>387</v>
      </c>
      <c r="B1064" s="147" t="s">
        <v>387</v>
      </c>
      <c r="C1064" s="427" t="s">
        <v>117</v>
      </c>
      <c r="D1064" s="427"/>
      <c r="E1064" s="427"/>
      <c r="F1064" s="427"/>
      <c r="G1064" s="427"/>
      <c r="H1064" s="427"/>
      <c r="O1064" s="257"/>
    </row>
    <row r="1065" spans="1:18" ht="15" customHeight="1" x14ac:dyDescent="0.2">
      <c r="A1065" s="249" t="s">
        <v>387</v>
      </c>
      <c r="B1065" s="147" t="s">
        <v>387</v>
      </c>
      <c r="C1065" s="427" t="s">
        <v>755</v>
      </c>
      <c r="D1065" s="427"/>
      <c r="E1065" s="427"/>
      <c r="F1065" s="427"/>
      <c r="G1065" s="427"/>
      <c r="H1065" s="427"/>
    </row>
    <row r="1066" spans="1:18" ht="15" customHeight="1" x14ac:dyDescent="0.2">
      <c r="A1066" s="249" t="s">
        <v>387</v>
      </c>
      <c r="B1066" s="147" t="s">
        <v>387</v>
      </c>
      <c r="C1066" s="430" t="s">
        <v>1</v>
      </c>
      <c r="D1066" s="430" t="s">
        <v>0</v>
      </c>
      <c r="E1066" s="255" t="s">
        <v>56</v>
      </c>
      <c r="F1066" s="287"/>
      <c r="G1066" s="255" t="s">
        <v>56</v>
      </c>
      <c r="H1066" s="432" t="str">
        <f>$H$7</f>
        <v>TOTAL 2024</v>
      </c>
    </row>
    <row r="1067" spans="1:18" ht="15" customHeight="1" x14ac:dyDescent="0.2">
      <c r="A1067" s="249" t="s">
        <v>387</v>
      </c>
      <c r="B1067" s="147" t="s">
        <v>387</v>
      </c>
      <c r="C1067" s="431"/>
      <c r="D1067" s="431"/>
      <c r="E1067" s="255" t="s">
        <v>139</v>
      </c>
      <c r="F1067" s="287"/>
      <c r="G1067" s="255" t="s">
        <v>140</v>
      </c>
      <c r="H1067" s="433"/>
    </row>
    <row r="1068" spans="1:18" ht="15" customHeight="1" x14ac:dyDescent="0.2">
      <c r="A1068" s="249">
        <v>24</v>
      </c>
      <c r="B1068" s="147" t="s">
        <v>531</v>
      </c>
      <c r="C1068" s="61">
        <v>51101</v>
      </c>
      <c r="D1068" s="73" t="s">
        <v>15</v>
      </c>
      <c r="E1068" s="74"/>
      <c r="F1068" s="74"/>
      <c r="G1068" s="272">
        <v>8400</v>
      </c>
      <c r="H1068" s="76">
        <f t="shared" ref="H1068:H1075" si="45">E1068+F1068+G1068</f>
        <v>8400</v>
      </c>
    </row>
    <row r="1069" spans="1:18" ht="15" customHeight="1" x14ac:dyDescent="0.2">
      <c r="A1069" s="249">
        <v>24</v>
      </c>
      <c r="B1069" s="147" t="s">
        <v>531</v>
      </c>
      <c r="C1069" s="61">
        <v>51103</v>
      </c>
      <c r="D1069" s="73" t="s">
        <v>16</v>
      </c>
      <c r="E1069" s="76"/>
      <c r="F1069" s="74"/>
      <c r="G1069" s="272">
        <v>700</v>
      </c>
      <c r="H1069" s="76">
        <f t="shared" si="45"/>
        <v>700</v>
      </c>
    </row>
    <row r="1070" spans="1:18" ht="15" customHeight="1" x14ac:dyDescent="0.2">
      <c r="A1070" s="249">
        <v>24</v>
      </c>
      <c r="B1070" s="147" t="s">
        <v>531</v>
      </c>
      <c r="C1070" s="61">
        <v>51107</v>
      </c>
      <c r="D1070" s="73" t="s">
        <v>34</v>
      </c>
      <c r="E1070" s="76"/>
      <c r="F1070" s="74"/>
      <c r="G1070" s="272">
        <v>200</v>
      </c>
      <c r="H1070" s="76">
        <f t="shared" si="45"/>
        <v>200</v>
      </c>
    </row>
    <row r="1071" spans="1:18" ht="15" customHeight="1" x14ac:dyDescent="0.2">
      <c r="A1071" s="249">
        <v>24</v>
      </c>
      <c r="B1071" s="147" t="s">
        <v>531</v>
      </c>
      <c r="C1071" s="61">
        <v>51401</v>
      </c>
      <c r="D1071" s="62" t="s">
        <v>47</v>
      </c>
      <c r="E1071" s="74"/>
      <c r="F1071" s="74"/>
      <c r="G1071" s="272">
        <v>714</v>
      </c>
      <c r="H1071" s="76">
        <f t="shared" si="45"/>
        <v>714</v>
      </c>
      <c r="O1071" s="257"/>
    </row>
    <row r="1072" spans="1:18" ht="15" customHeight="1" x14ac:dyDescent="0.2">
      <c r="A1072" s="249">
        <v>24</v>
      </c>
      <c r="B1072" s="147" t="s">
        <v>531</v>
      </c>
      <c r="C1072" s="61">
        <v>51501</v>
      </c>
      <c r="D1072" s="73" t="s">
        <v>29</v>
      </c>
      <c r="E1072" s="74"/>
      <c r="F1072" s="74"/>
      <c r="G1072" s="272">
        <v>735</v>
      </c>
      <c r="H1072" s="76">
        <f t="shared" si="45"/>
        <v>735</v>
      </c>
      <c r="O1072" s="257"/>
      <c r="P1072" s="282"/>
      <c r="Q1072" s="282"/>
    </row>
    <row r="1073" spans="1:8" ht="15" customHeight="1" x14ac:dyDescent="0.2">
      <c r="A1073" s="249">
        <v>24</v>
      </c>
      <c r="B1073" s="147" t="s">
        <v>531</v>
      </c>
      <c r="C1073" s="61">
        <v>54104</v>
      </c>
      <c r="D1073" s="73" t="s">
        <v>517</v>
      </c>
      <c r="E1073" s="74"/>
      <c r="F1073" s="74"/>
      <c r="G1073" s="76">
        <v>100</v>
      </c>
      <c r="H1073" s="76">
        <f t="shared" si="45"/>
        <v>100</v>
      </c>
    </row>
    <row r="1074" spans="1:8" ht="15" customHeight="1" x14ac:dyDescent="0.2">
      <c r="A1074" s="249">
        <v>24</v>
      </c>
      <c r="B1074" s="147" t="s">
        <v>531</v>
      </c>
      <c r="C1074" s="61">
        <v>54105</v>
      </c>
      <c r="D1074" s="73" t="s">
        <v>3</v>
      </c>
      <c r="E1074" s="74"/>
      <c r="F1074" s="74"/>
      <c r="G1074" s="74">
        <v>0</v>
      </c>
      <c r="H1074" s="76">
        <f t="shared" si="45"/>
        <v>0</v>
      </c>
    </row>
    <row r="1075" spans="1:8" ht="15" customHeight="1" x14ac:dyDescent="0.2">
      <c r="A1075" s="249">
        <v>24</v>
      </c>
      <c r="B1075" s="147" t="s">
        <v>531</v>
      </c>
      <c r="C1075" s="61">
        <v>54107</v>
      </c>
      <c r="D1075" s="73" t="s">
        <v>43</v>
      </c>
      <c r="E1075" s="74"/>
      <c r="F1075" s="74"/>
      <c r="G1075" s="74">
        <v>200</v>
      </c>
      <c r="H1075" s="76">
        <f t="shared" si="45"/>
        <v>200</v>
      </c>
    </row>
    <row r="1076" spans="1:8" ht="15" customHeight="1" x14ac:dyDescent="0.2">
      <c r="A1076" s="249">
        <v>24</v>
      </c>
      <c r="B1076" s="147" t="s">
        <v>531</v>
      </c>
      <c r="C1076" s="61">
        <v>54111</v>
      </c>
      <c r="D1076" s="73" t="s">
        <v>162</v>
      </c>
      <c r="E1076" s="74"/>
      <c r="F1076" s="74"/>
      <c r="G1076" s="76">
        <v>100</v>
      </c>
      <c r="H1076" s="76">
        <f t="shared" ref="H1076:H1092" si="46">E1076+F1076+G1076</f>
        <v>100</v>
      </c>
    </row>
    <row r="1077" spans="1:8" ht="15" customHeight="1" x14ac:dyDescent="0.2">
      <c r="A1077" s="249">
        <v>24</v>
      </c>
      <c r="B1077" s="147" t="s">
        <v>531</v>
      </c>
      <c r="C1077" s="61">
        <v>54112</v>
      </c>
      <c r="D1077" s="73" t="s">
        <v>42</v>
      </c>
      <c r="E1077" s="74"/>
      <c r="F1077" s="74"/>
      <c r="G1077" s="76">
        <v>100</v>
      </c>
      <c r="H1077" s="76">
        <f t="shared" si="46"/>
        <v>100</v>
      </c>
    </row>
    <row r="1078" spans="1:8" ht="15" customHeight="1" x14ac:dyDescent="0.2">
      <c r="A1078" s="249">
        <v>24</v>
      </c>
      <c r="B1078" s="147" t="s">
        <v>531</v>
      </c>
      <c r="C1078" s="61">
        <v>54114</v>
      </c>
      <c r="D1078" s="73" t="s">
        <v>5</v>
      </c>
      <c r="E1078" s="74"/>
      <c r="F1078" s="74"/>
      <c r="G1078" s="76">
        <v>200</v>
      </c>
      <c r="H1078" s="76">
        <f t="shared" si="46"/>
        <v>200</v>
      </c>
    </row>
    <row r="1079" spans="1:8" ht="15" customHeight="1" x14ac:dyDescent="0.2">
      <c r="A1079" s="249">
        <v>24</v>
      </c>
      <c r="B1079" s="147" t="s">
        <v>531</v>
      </c>
      <c r="C1079" s="61">
        <v>54115</v>
      </c>
      <c r="D1079" s="73" t="s">
        <v>49</v>
      </c>
      <c r="E1079" s="74"/>
      <c r="F1079" s="74"/>
      <c r="G1079" s="76">
        <v>150</v>
      </c>
      <c r="H1079" s="76">
        <f t="shared" si="46"/>
        <v>150</v>
      </c>
    </row>
    <row r="1080" spans="1:8" ht="15" customHeight="1" x14ac:dyDescent="0.2">
      <c r="A1080" s="249">
        <v>24</v>
      </c>
      <c r="B1080" s="147" t="s">
        <v>531</v>
      </c>
      <c r="C1080" s="61">
        <v>54116</v>
      </c>
      <c r="D1080" s="62" t="s">
        <v>167</v>
      </c>
      <c r="E1080" s="74"/>
      <c r="F1080" s="74"/>
      <c r="G1080" s="76">
        <v>100</v>
      </c>
      <c r="H1080" s="76">
        <f t="shared" si="46"/>
        <v>100</v>
      </c>
    </row>
    <row r="1081" spans="1:8" ht="15" customHeight="1" x14ac:dyDescent="0.2">
      <c r="A1081" s="249">
        <v>24</v>
      </c>
      <c r="B1081" s="147" t="s">
        <v>531</v>
      </c>
      <c r="C1081" s="61">
        <v>54118</v>
      </c>
      <c r="D1081" s="73" t="s">
        <v>35</v>
      </c>
      <c r="E1081" s="74"/>
      <c r="F1081" s="74"/>
      <c r="G1081" s="76">
        <v>100</v>
      </c>
      <c r="H1081" s="76">
        <f t="shared" si="46"/>
        <v>100</v>
      </c>
    </row>
    <row r="1082" spans="1:8" ht="15" customHeight="1" x14ac:dyDescent="0.2">
      <c r="A1082" s="249">
        <v>24</v>
      </c>
      <c r="B1082" s="147" t="s">
        <v>531</v>
      </c>
      <c r="C1082" s="61">
        <v>54119</v>
      </c>
      <c r="D1082" s="73" t="s">
        <v>44</v>
      </c>
      <c r="E1082" s="74"/>
      <c r="F1082" s="74"/>
      <c r="G1082" s="76">
        <v>100</v>
      </c>
      <c r="H1082" s="76">
        <f t="shared" si="46"/>
        <v>100</v>
      </c>
    </row>
    <row r="1083" spans="1:8" ht="15" customHeight="1" x14ac:dyDescent="0.2">
      <c r="A1083" s="249">
        <v>24</v>
      </c>
      <c r="B1083" s="147" t="s">
        <v>531</v>
      </c>
      <c r="C1083" s="61">
        <v>54199</v>
      </c>
      <c r="D1083" s="73" t="s">
        <v>26</v>
      </c>
      <c r="E1083" s="74"/>
      <c r="F1083" s="74"/>
      <c r="G1083" s="76">
        <v>100</v>
      </c>
      <c r="H1083" s="76">
        <f t="shared" si="46"/>
        <v>100</v>
      </c>
    </row>
    <row r="1084" spans="1:8" ht="15" customHeight="1" x14ac:dyDescent="0.2">
      <c r="A1084" s="249">
        <v>24</v>
      </c>
      <c r="B1084" s="147" t="s">
        <v>531</v>
      </c>
      <c r="C1084" s="61">
        <v>54301</v>
      </c>
      <c r="D1084" s="73" t="s">
        <v>8</v>
      </c>
      <c r="E1084" s="74"/>
      <c r="F1084" s="74"/>
      <c r="G1084" s="76">
        <v>100</v>
      </c>
      <c r="H1084" s="76">
        <f t="shared" si="46"/>
        <v>100</v>
      </c>
    </row>
    <row r="1085" spans="1:8" ht="15" customHeight="1" x14ac:dyDescent="0.2">
      <c r="A1085" s="249">
        <v>24</v>
      </c>
      <c r="B1085" s="147" t="s">
        <v>531</v>
      </c>
      <c r="C1085" s="61">
        <v>54307</v>
      </c>
      <c r="D1085" s="62" t="s">
        <v>10</v>
      </c>
      <c r="E1085" s="74"/>
      <c r="F1085" s="74"/>
      <c r="G1085" s="76">
        <v>0</v>
      </c>
      <c r="H1085" s="76">
        <f t="shared" si="46"/>
        <v>0</v>
      </c>
    </row>
    <row r="1086" spans="1:8" ht="15" customHeight="1" x14ac:dyDescent="0.2">
      <c r="A1086" s="249">
        <v>24</v>
      </c>
      <c r="B1086" s="147" t="s">
        <v>531</v>
      </c>
      <c r="C1086" s="61">
        <v>54313</v>
      </c>
      <c r="D1086" s="62" t="s">
        <v>11</v>
      </c>
      <c r="E1086" s="74"/>
      <c r="F1086" s="74"/>
      <c r="G1086" s="76">
        <v>200</v>
      </c>
      <c r="H1086" s="76">
        <f t="shared" si="46"/>
        <v>200</v>
      </c>
    </row>
    <row r="1087" spans="1:8" ht="15" customHeight="1" x14ac:dyDescent="0.2">
      <c r="A1087" s="249">
        <v>24</v>
      </c>
      <c r="B1087" s="147" t="s">
        <v>531</v>
      </c>
      <c r="C1087" s="61">
        <v>54401</v>
      </c>
      <c r="D1087" s="62" t="s">
        <v>143</v>
      </c>
      <c r="E1087" s="76"/>
      <c r="F1087" s="74"/>
      <c r="G1087" s="76">
        <v>100</v>
      </c>
      <c r="H1087" s="76">
        <f t="shared" si="46"/>
        <v>100</v>
      </c>
    </row>
    <row r="1088" spans="1:8" ht="15" customHeight="1" x14ac:dyDescent="0.2">
      <c r="A1088" s="249">
        <v>24</v>
      </c>
      <c r="B1088" s="147" t="s">
        <v>531</v>
      </c>
      <c r="C1088" s="61">
        <v>54505</v>
      </c>
      <c r="D1088" s="62" t="s">
        <v>513</v>
      </c>
      <c r="E1088" s="76"/>
      <c r="F1088" s="74"/>
      <c r="G1088" s="76">
        <v>300</v>
      </c>
      <c r="H1088" s="76">
        <f t="shared" si="46"/>
        <v>300</v>
      </c>
    </row>
    <row r="1089" spans="1:18" ht="15" customHeight="1" x14ac:dyDescent="0.2">
      <c r="A1089" s="249">
        <v>24</v>
      </c>
      <c r="B1089" s="147" t="s">
        <v>531</v>
      </c>
      <c r="C1089" s="61">
        <v>61101</v>
      </c>
      <c r="D1089" s="62" t="s">
        <v>144</v>
      </c>
      <c r="E1089" s="74"/>
      <c r="F1089" s="74"/>
      <c r="G1089" s="74">
        <v>200</v>
      </c>
      <c r="H1089" s="76">
        <f t="shared" si="46"/>
        <v>200</v>
      </c>
    </row>
    <row r="1090" spans="1:18" ht="15" customHeight="1" x14ac:dyDescent="0.2">
      <c r="A1090" s="249">
        <v>24</v>
      </c>
      <c r="B1090" s="147" t="s">
        <v>531</v>
      </c>
      <c r="C1090" s="61">
        <v>61102</v>
      </c>
      <c r="D1090" s="62" t="s">
        <v>28</v>
      </c>
      <c r="E1090" s="74"/>
      <c r="F1090" s="74"/>
      <c r="G1090" s="74">
        <v>100</v>
      </c>
      <c r="H1090" s="76">
        <f t="shared" si="46"/>
        <v>100</v>
      </c>
    </row>
    <row r="1091" spans="1:18" ht="15" customHeight="1" x14ac:dyDescent="0.2">
      <c r="A1091" s="249">
        <v>24</v>
      </c>
      <c r="B1091" s="147" t="s">
        <v>531</v>
      </c>
      <c r="C1091" s="61">
        <v>61104</v>
      </c>
      <c r="D1091" s="73" t="s">
        <v>31</v>
      </c>
      <c r="E1091" s="74"/>
      <c r="F1091" s="74"/>
      <c r="G1091" s="76">
        <v>500</v>
      </c>
      <c r="H1091" s="76">
        <f t="shared" si="46"/>
        <v>500</v>
      </c>
    </row>
    <row r="1092" spans="1:18" ht="15" customHeight="1" x14ac:dyDescent="0.2">
      <c r="A1092" s="249">
        <v>24</v>
      </c>
      <c r="B1092" s="147" t="s">
        <v>572</v>
      </c>
      <c r="C1092" s="61"/>
      <c r="D1092" s="61" t="s">
        <v>14</v>
      </c>
      <c r="E1092" s="83">
        <f>SUM(E1068:E1091)</f>
        <v>0</v>
      </c>
      <c r="F1092" s="74"/>
      <c r="G1092" s="83">
        <f>SUM(G1068:G1091)</f>
        <v>13499</v>
      </c>
      <c r="H1092" s="83">
        <f t="shared" si="46"/>
        <v>13499</v>
      </c>
      <c r="O1092" s="258">
        <f>+H1092+H1058</f>
        <v>41257.5</v>
      </c>
      <c r="P1092" s="259"/>
    </row>
    <row r="1093" spans="1:18" ht="15" customHeight="1" x14ac:dyDescent="0.2">
      <c r="A1093" s="249" t="s">
        <v>387</v>
      </c>
      <c r="B1093" s="147" t="s">
        <v>387</v>
      </c>
      <c r="C1093" s="148"/>
      <c r="D1093" s="148"/>
      <c r="E1093" s="260"/>
      <c r="F1093" s="260"/>
      <c r="G1093" s="261"/>
      <c r="H1093" s="261"/>
      <c r="O1093" s="258"/>
      <c r="P1093" s="259"/>
      <c r="Q1093" s="147" t="s">
        <v>590</v>
      </c>
      <c r="R1093" s="259">
        <f>+H1092-P1093</f>
        <v>13499</v>
      </c>
    </row>
    <row r="1094" spans="1:18" ht="15" customHeight="1" x14ac:dyDescent="0.2">
      <c r="A1094" s="249" t="s">
        <v>387</v>
      </c>
      <c r="B1094" s="147" t="s">
        <v>387</v>
      </c>
      <c r="C1094" s="148"/>
      <c r="D1094" s="148"/>
      <c r="E1094" s="260"/>
      <c r="F1094" s="260"/>
      <c r="G1094" s="261"/>
      <c r="H1094" s="261"/>
    </row>
    <row r="1095" spans="1:18" ht="15" customHeight="1" x14ac:dyDescent="0.2">
      <c r="A1095" s="249" t="s">
        <v>387</v>
      </c>
      <c r="B1095" s="147" t="s">
        <v>387</v>
      </c>
      <c r="C1095" s="148"/>
      <c r="D1095" s="148"/>
      <c r="E1095" s="260"/>
      <c r="F1095" s="260"/>
      <c r="G1095" s="261"/>
      <c r="H1095" s="261"/>
    </row>
    <row r="1096" spans="1:18" ht="15" customHeight="1" x14ac:dyDescent="0.2">
      <c r="A1096" s="249" t="s">
        <v>387</v>
      </c>
      <c r="B1096" s="147" t="s">
        <v>387</v>
      </c>
      <c r="C1096" s="148"/>
      <c r="D1096" s="148"/>
      <c r="E1096" s="260"/>
      <c r="F1096" s="260"/>
      <c r="G1096" s="261"/>
      <c r="H1096" s="261"/>
    </row>
    <row r="1097" spans="1:18" ht="15" customHeight="1" x14ac:dyDescent="0.2">
      <c r="A1097" s="249" t="s">
        <v>387</v>
      </c>
      <c r="B1097" s="147" t="s">
        <v>387</v>
      </c>
      <c r="C1097" s="427"/>
      <c r="D1097" s="427"/>
      <c r="E1097" s="427"/>
      <c r="F1097" s="427"/>
      <c r="G1097" s="427"/>
      <c r="H1097" s="427"/>
    </row>
    <row r="1098" spans="1:18" ht="15" customHeight="1" x14ac:dyDescent="0.2">
      <c r="A1098" s="249" t="s">
        <v>387</v>
      </c>
      <c r="B1098" s="147" t="s">
        <v>387</v>
      </c>
      <c r="C1098" s="427" t="s">
        <v>119</v>
      </c>
      <c r="D1098" s="427"/>
      <c r="E1098" s="427"/>
      <c r="F1098" s="427"/>
      <c r="G1098" s="427"/>
      <c r="H1098" s="427"/>
    </row>
    <row r="1099" spans="1:18" ht="15" customHeight="1" x14ac:dyDescent="0.2">
      <c r="A1099" s="249" t="s">
        <v>387</v>
      </c>
      <c r="B1099" s="147" t="s">
        <v>387</v>
      </c>
      <c r="C1099" s="428" t="str">
        <f>C3</f>
        <v xml:space="preserve"> PRESUPUESTO AÑO 2024</v>
      </c>
      <c r="D1099" s="428"/>
      <c r="E1099" s="428"/>
      <c r="F1099" s="428"/>
      <c r="G1099" s="428"/>
      <c r="H1099" s="428"/>
    </row>
    <row r="1100" spans="1:18" ht="15" customHeight="1" x14ac:dyDescent="0.2">
      <c r="A1100" s="249" t="s">
        <v>387</v>
      </c>
      <c r="B1100" s="147" t="s">
        <v>387</v>
      </c>
      <c r="C1100" s="428" t="str">
        <f>C4</f>
        <v>PRESUPUESTO EXTRA CONTABLE</v>
      </c>
      <c r="D1100" s="428"/>
      <c r="E1100" s="428"/>
      <c r="F1100" s="428"/>
      <c r="G1100" s="428"/>
      <c r="H1100" s="428"/>
    </row>
    <row r="1101" spans="1:18" ht="15" customHeight="1" x14ac:dyDescent="0.2">
      <c r="A1101" s="249" t="s">
        <v>387</v>
      </c>
      <c r="B1101" s="147" t="s">
        <v>387</v>
      </c>
      <c r="C1101" s="427" t="s">
        <v>117</v>
      </c>
      <c r="D1101" s="427"/>
      <c r="E1101" s="427"/>
      <c r="F1101" s="427"/>
      <c r="G1101" s="427"/>
      <c r="H1101" s="427"/>
    </row>
    <row r="1102" spans="1:18" ht="15" customHeight="1" x14ac:dyDescent="0.2">
      <c r="A1102" s="249" t="s">
        <v>387</v>
      </c>
      <c r="B1102" s="147" t="s">
        <v>387</v>
      </c>
      <c r="C1102" s="427" t="s">
        <v>854</v>
      </c>
      <c r="D1102" s="427"/>
      <c r="E1102" s="427"/>
      <c r="F1102" s="427"/>
      <c r="G1102" s="427"/>
      <c r="H1102" s="427"/>
    </row>
    <row r="1103" spans="1:18" ht="15" customHeight="1" x14ac:dyDescent="0.2">
      <c r="A1103" s="249" t="s">
        <v>387</v>
      </c>
      <c r="B1103" s="147" t="s">
        <v>387</v>
      </c>
      <c r="C1103" s="430" t="s">
        <v>1</v>
      </c>
      <c r="D1103" s="430" t="s">
        <v>0</v>
      </c>
      <c r="E1103" s="255" t="s">
        <v>56</v>
      </c>
      <c r="F1103" s="255" t="str">
        <f>F7</f>
        <v>REFORMA</v>
      </c>
      <c r="G1103" s="255" t="s">
        <v>56</v>
      </c>
      <c r="H1103" s="432" t="str">
        <f>$H$7</f>
        <v>TOTAL 2024</v>
      </c>
      <c r="I1103" s="153" t="s">
        <v>285</v>
      </c>
      <c r="J1103" s="153"/>
      <c r="K1103" s="153"/>
      <c r="L1103" s="153"/>
      <c r="M1103" s="153"/>
    </row>
    <row r="1104" spans="1:18" ht="15" customHeight="1" x14ac:dyDescent="0.2">
      <c r="A1104" s="249" t="s">
        <v>387</v>
      </c>
      <c r="B1104" s="147" t="s">
        <v>387</v>
      </c>
      <c r="C1104" s="431"/>
      <c r="D1104" s="431"/>
      <c r="E1104" s="255" t="s">
        <v>139</v>
      </c>
      <c r="F1104" s="255"/>
      <c r="G1104" s="255" t="s">
        <v>140</v>
      </c>
      <c r="H1104" s="433"/>
      <c r="I1104" s="153" t="s">
        <v>286</v>
      </c>
      <c r="J1104" s="153" t="s">
        <v>290</v>
      </c>
      <c r="K1104" s="153" t="s">
        <v>291</v>
      </c>
      <c r="L1104" s="153" t="s">
        <v>293</v>
      </c>
      <c r="M1104" s="153" t="s">
        <v>292</v>
      </c>
    </row>
    <row r="1105" spans="1:17" ht="15" customHeight="1" x14ac:dyDescent="0.2">
      <c r="A1105" s="249">
        <v>26</v>
      </c>
      <c r="B1105" s="147">
        <v>26</v>
      </c>
      <c r="C1105" s="130">
        <v>51101</v>
      </c>
      <c r="D1105" s="131" t="s">
        <v>15</v>
      </c>
      <c r="E1105" s="132"/>
      <c r="F1105" s="132"/>
      <c r="G1105" s="378">
        <v>33000</v>
      </c>
      <c r="H1105" s="133">
        <f t="shared" ref="H1105:H1133" si="47">E1105+F1105+G1105</f>
        <v>33000</v>
      </c>
      <c r="P1105" s="147">
        <v>34800</v>
      </c>
      <c r="Q1105" s="274">
        <f>G1105-P1105</f>
        <v>-1800</v>
      </c>
    </row>
    <row r="1106" spans="1:17" ht="15" customHeight="1" x14ac:dyDescent="0.2">
      <c r="A1106" s="249">
        <v>26</v>
      </c>
      <c r="B1106" s="147">
        <v>26</v>
      </c>
      <c r="C1106" s="61">
        <v>51103</v>
      </c>
      <c r="D1106" s="73" t="s">
        <v>16</v>
      </c>
      <c r="E1106" s="76"/>
      <c r="F1106" s="76"/>
      <c r="G1106" s="272">
        <v>2750</v>
      </c>
      <c r="H1106" s="133">
        <f t="shared" si="47"/>
        <v>2750</v>
      </c>
      <c r="P1106" s="147">
        <v>2900</v>
      </c>
      <c r="Q1106" s="274">
        <f t="shared" ref="Q1106:Q1109" si="48">G1106-P1106</f>
        <v>-150</v>
      </c>
    </row>
    <row r="1107" spans="1:17" ht="15" customHeight="1" x14ac:dyDescent="0.2">
      <c r="A1107" s="249">
        <v>26</v>
      </c>
      <c r="B1107" s="147">
        <v>26</v>
      </c>
      <c r="C1107" s="61">
        <v>51107</v>
      </c>
      <c r="D1107" s="73" t="s">
        <v>34</v>
      </c>
      <c r="E1107" s="76"/>
      <c r="F1107" s="76"/>
      <c r="G1107" s="272">
        <v>800</v>
      </c>
      <c r="H1107" s="133">
        <f t="shared" si="47"/>
        <v>800</v>
      </c>
      <c r="P1107" s="147">
        <v>800</v>
      </c>
      <c r="Q1107" s="274">
        <f t="shared" si="48"/>
        <v>0</v>
      </c>
    </row>
    <row r="1108" spans="1:17" ht="15" customHeight="1" x14ac:dyDescent="0.2">
      <c r="A1108" s="249">
        <v>26</v>
      </c>
      <c r="B1108" s="147">
        <v>26</v>
      </c>
      <c r="C1108" s="61">
        <v>51401</v>
      </c>
      <c r="D1108" s="62" t="s">
        <v>47</v>
      </c>
      <c r="E1108" s="74"/>
      <c r="F1108" s="74"/>
      <c r="G1108" s="271">
        <v>2805</v>
      </c>
      <c r="H1108" s="133">
        <f t="shared" si="47"/>
        <v>2805</v>
      </c>
      <c r="O1108" s="257"/>
      <c r="P1108" s="147">
        <v>2825</v>
      </c>
      <c r="Q1108" s="274">
        <f t="shared" si="48"/>
        <v>-20</v>
      </c>
    </row>
    <row r="1109" spans="1:17" ht="15" customHeight="1" x14ac:dyDescent="0.2">
      <c r="A1109" s="249">
        <v>26</v>
      </c>
      <c r="B1109" s="147">
        <v>26</v>
      </c>
      <c r="C1109" s="61">
        <v>51501</v>
      </c>
      <c r="D1109" s="73" t="s">
        <v>29</v>
      </c>
      <c r="E1109" s="74"/>
      <c r="F1109" s="74"/>
      <c r="G1109" s="272">
        <v>2362.5</v>
      </c>
      <c r="H1109" s="133">
        <f t="shared" si="47"/>
        <v>2362.5</v>
      </c>
      <c r="P1109" s="147">
        <v>2297.5</v>
      </c>
      <c r="Q1109" s="274">
        <f t="shared" si="48"/>
        <v>65</v>
      </c>
    </row>
    <row r="1110" spans="1:17" ht="15" customHeight="1" x14ac:dyDescent="0.2">
      <c r="A1110" s="249">
        <v>26</v>
      </c>
      <c r="B1110" s="147">
        <v>26</v>
      </c>
      <c r="C1110" s="61">
        <v>51901</v>
      </c>
      <c r="D1110" s="62" t="s">
        <v>330</v>
      </c>
      <c r="E1110" s="74"/>
      <c r="F1110" s="74"/>
      <c r="G1110" s="76">
        <v>7350</v>
      </c>
      <c r="H1110" s="133">
        <f t="shared" si="47"/>
        <v>7350</v>
      </c>
      <c r="Q1110" s="274">
        <f>SUM(Q1105:Q1109)</f>
        <v>-1905</v>
      </c>
    </row>
    <row r="1111" spans="1:17" ht="15" customHeight="1" x14ac:dyDescent="0.2">
      <c r="A1111" s="249">
        <v>26</v>
      </c>
      <c r="B1111" s="147">
        <v>26</v>
      </c>
      <c r="C1111" s="61">
        <v>54101</v>
      </c>
      <c r="D1111" s="73" t="s">
        <v>38</v>
      </c>
      <c r="E1111" s="74"/>
      <c r="F1111" s="74"/>
      <c r="G1111" s="76">
        <v>200</v>
      </c>
      <c r="H1111" s="133">
        <f t="shared" si="47"/>
        <v>200</v>
      </c>
    </row>
    <row r="1112" spans="1:17" ht="15" customHeight="1" x14ac:dyDescent="0.2">
      <c r="A1112" s="249">
        <v>26</v>
      </c>
      <c r="B1112" s="147">
        <v>26</v>
      </c>
      <c r="C1112" s="61">
        <v>54104</v>
      </c>
      <c r="D1112" s="62" t="s">
        <v>17</v>
      </c>
      <c r="E1112" s="74"/>
      <c r="F1112" s="74"/>
      <c r="G1112" s="76">
        <v>500</v>
      </c>
      <c r="H1112" s="133">
        <f t="shared" si="47"/>
        <v>500</v>
      </c>
    </row>
    <row r="1113" spans="1:17" ht="15" customHeight="1" x14ac:dyDescent="0.2">
      <c r="A1113" s="249">
        <v>26</v>
      </c>
      <c r="B1113" s="147">
        <v>26</v>
      </c>
      <c r="C1113" s="61">
        <v>54105</v>
      </c>
      <c r="D1113" s="73" t="s">
        <v>3</v>
      </c>
      <c r="E1113" s="74"/>
      <c r="F1113" s="74"/>
      <c r="G1113" s="76">
        <v>800</v>
      </c>
      <c r="H1113" s="133">
        <f t="shared" si="47"/>
        <v>800</v>
      </c>
    </row>
    <row r="1114" spans="1:17" ht="15" customHeight="1" x14ac:dyDescent="0.2">
      <c r="A1114" s="249">
        <v>26</v>
      </c>
      <c r="B1114" s="147">
        <v>26</v>
      </c>
      <c r="C1114" s="61">
        <v>54107</v>
      </c>
      <c r="D1114" s="73" t="s">
        <v>43</v>
      </c>
      <c r="E1114" s="74"/>
      <c r="F1114" s="74"/>
      <c r="G1114" s="76">
        <v>600</v>
      </c>
      <c r="H1114" s="133">
        <f t="shared" si="47"/>
        <v>600</v>
      </c>
    </row>
    <row r="1115" spans="1:17" ht="15" customHeight="1" x14ac:dyDescent="0.2">
      <c r="A1115" s="249">
        <v>26</v>
      </c>
      <c r="B1115" s="147">
        <v>26</v>
      </c>
      <c r="C1115" s="61">
        <v>54111</v>
      </c>
      <c r="D1115" s="73" t="s">
        <v>162</v>
      </c>
      <c r="E1115" s="74"/>
      <c r="F1115" s="74"/>
      <c r="G1115" s="76">
        <v>400</v>
      </c>
      <c r="H1115" s="133">
        <f t="shared" si="47"/>
        <v>400</v>
      </c>
    </row>
    <row r="1116" spans="1:17" ht="15" customHeight="1" x14ac:dyDescent="0.2">
      <c r="A1116" s="249">
        <v>26</v>
      </c>
      <c r="B1116" s="147">
        <v>26</v>
      </c>
      <c r="C1116" s="61">
        <v>54112</v>
      </c>
      <c r="D1116" s="73" t="s">
        <v>42</v>
      </c>
      <c r="E1116" s="74"/>
      <c r="F1116" s="74"/>
      <c r="G1116" s="76">
        <v>200</v>
      </c>
      <c r="H1116" s="133">
        <f t="shared" si="47"/>
        <v>200</v>
      </c>
    </row>
    <row r="1117" spans="1:17" ht="15" customHeight="1" x14ac:dyDescent="0.2">
      <c r="A1117" s="249">
        <v>26</v>
      </c>
      <c r="B1117" s="147">
        <v>26</v>
      </c>
      <c r="C1117" s="61">
        <v>54114</v>
      </c>
      <c r="D1117" s="73" t="s">
        <v>5</v>
      </c>
      <c r="E1117" s="74"/>
      <c r="F1117" s="74"/>
      <c r="G1117" s="76">
        <v>700</v>
      </c>
      <c r="H1117" s="133">
        <f t="shared" si="47"/>
        <v>700</v>
      </c>
    </row>
    <row r="1118" spans="1:17" ht="15" customHeight="1" x14ac:dyDescent="0.2">
      <c r="A1118" s="249">
        <v>26</v>
      </c>
      <c r="B1118" s="147">
        <v>26</v>
      </c>
      <c r="C1118" s="61">
        <v>54115</v>
      </c>
      <c r="D1118" s="73" t="s">
        <v>49</v>
      </c>
      <c r="E1118" s="74"/>
      <c r="F1118" s="74"/>
      <c r="G1118" s="76">
        <v>1000</v>
      </c>
      <c r="H1118" s="133">
        <f t="shared" si="47"/>
        <v>1000</v>
      </c>
    </row>
    <row r="1119" spans="1:17" ht="15" customHeight="1" x14ac:dyDescent="0.2">
      <c r="A1119" s="249">
        <v>26</v>
      </c>
      <c r="B1119" s="147">
        <v>26</v>
      </c>
      <c r="C1119" s="61">
        <v>54116</v>
      </c>
      <c r="D1119" s="62" t="s">
        <v>167</v>
      </c>
      <c r="E1119" s="74"/>
      <c r="F1119" s="74"/>
      <c r="G1119" s="76">
        <v>700</v>
      </c>
      <c r="H1119" s="133">
        <f t="shared" si="47"/>
        <v>700</v>
      </c>
    </row>
    <row r="1120" spans="1:17" ht="15" customHeight="1" x14ac:dyDescent="0.2">
      <c r="A1120" s="249">
        <v>26</v>
      </c>
      <c r="B1120" s="147">
        <v>26</v>
      </c>
      <c r="C1120" s="61">
        <v>54118</v>
      </c>
      <c r="D1120" s="62" t="s">
        <v>35</v>
      </c>
      <c r="E1120" s="74"/>
      <c r="F1120" s="74"/>
      <c r="G1120" s="76">
        <v>200</v>
      </c>
      <c r="H1120" s="133">
        <f t="shared" si="47"/>
        <v>200</v>
      </c>
    </row>
    <row r="1121" spans="1:18" ht="15" customHeight="1" x14ac:dyDescent="0.2">
      <c r="A1121" s="249">
        <v>26</v>
      </c>
      <c r="B1121" s="147">
        <v>26</v>
      </c>
      <c r="C1121" s="61">
        <v>54119</v>
      </c>
      <c r="D1121" s="62" t="s">
        <v>44</v>
      </c>
      <c r="E1121" s="74"/>
      <c r="F1121" s="74"/>
      <c r="G1121" s="76">
        <v>250</v>
      </c>
      <c r="H1121" s="133">
        <f t="shared" si="47"/>
        <v>250</v>
      </c>
    </row>
    <row r="1122" spans="1:18" ht="15" customHeight="1" x14ac:dyDescent="0.2">
      <c r="A1122" s="249">
        <v>26</v>
      </c>
      <c r="B1122" s="147">
        <v>26</v>
      </c>
      <c r="C1122" s="61">
        <v>54199</v>
      </c>
      <c r="D1122" s="73" t="s">
        <v>26</v>
      </c>
      <c r="E1122" s="74"/>
      <c r="F1122" s="74"/>
      <c r="G1122" s="76">
        <v>300</v>
      </c>
      <c r="H1122" s="133">
        <f t="shared" si="47"/>
        <v>300</v>
      </c>
    </row>
    <row r="1123" spans="1:18" ht="15" customHeight="1" x14ac:dyDescent="0.2">
      <c r="A1123" s="249">
        <v>26</v>
      </c>
      <c r="B1123" s="147">
        <v>26</v>
      </c>
      <c r="C1123" s="61">
        <v>54301</v>
      </c>
      <c r="D1123" s="62" t="s">
        <v>8</v>
      </c>
      <c r="E1123" s="74"/>
      <c r="F1123" s="74"/>
      <c r="G1123" s="76">
        <v>400</v>
      </c>
      <c r="H1123" s="133">
        <f t="shared" si="47"/>
        <v>400</v>
      </c>
    </row>
    <row r="1124" spans="1:18" ht="15" customHeight="1" x14ac:dyDescent="0.2">
      <c r="A1124" s="249">
        <v>26</v>
      </c>
      <c r="B1124" s="147">
        <v>26</v>
      </c>
      <c r="C1124" s="130">
        <v>54305</v>
      </c>
      <c r="D1124" s="62" t="s">
        <v>33</v>
      </c>
      <c r="E1124" s="74"/>
      <c r="F1124" s="74"/>
      <c r="G1124" s="76">
        <v>1500</v>
      </c>
      <c r="H1124" s="133">
        <f t="shared" si="47"/>
        <v>1500</v>
      </c>
    </row>
    <row r="1125" spans="1:18" ht="15" customHeight="1" x14ac:dyDescent="0.2">
      <c r="A1125" s="249">
        <v>26</v>
      </c>
      <c r="B1125" s="147">
        <v>26</v>
      </c>
      <c r="C1125" s="130">
        <v>54307</v>
      </c>
      <c r="D1125" s="62" t="s">
        <v>10</v>
      </c>
      <c r="E1125" s="74"/>
      <c r="F1125" s="74"/>
      <c r="G1125" s="76">
        <v>300</v>
      </c>
      <c r="H1125" s="133">
        <f t="shared" si="47"/>
        <v>300</v>
      </c>
    </row>
    <row r="1126" spans="1:18" ht="15" customHeight="1" x14ac:dyDescent="0.2">
      <c r="A1126" s="249">
        <v>26</v>
      </c>
      <c r="B1126" s="147">
        <v>26</v>
      </c>
      <c r="C1126" s="130">
        <v>54313</v>
      </c>
      <c r="D1126" s="62" t="s">
        <v>11</v>
      </c>
      <c r="E1126" s="74"/>
      <c r="F1126" s="74"/>
      <c r="G1126" s="76">
        <v>1400</v>
      </c>
      <c r="H1126" s="133">
        <f t="shared" si="47"/>
        <v>1400</v>
      </c>
    </row>
    <row r="1127" spans="1:18" ht="15" customHeight="1" x14ac:dyDescent="0.2">
      <c r="A1127" s="249">
        <v>26</v>
      </c>
      <c r="B1127" s="147">
        <v>26</v>
      </c>
      <c r="C1127" s="130">
        <v>54399</v>
      </c>
      <c r="D1127" s="62" t="s">
        <v>153</v>
      </c>
      <c r="E1127" s="74"/>
      <c r="F1127" s="74"/>
      <c r="G1127" s="76">
        <v>500</v>
      </c>
      <c r="H1127" s="133">
        <f t="shared" si="47"/>
        <v>500</v>
      </c>
    </row>
    <row r="1128" spans="1:18" ht="15" customHeight="1" x14ac:dyDescent="0.2">
      <c r="A1128" s="249">
        <v>26</v>
      </c>
      <c r="B1128" s="147">
        <v>26</v>
      </c>
      <c r="C1128" s="130">
        <v>54401</v>
      </c>
      <c r="D1128" s="62" t="s">
        <v>30</v>
      </c>
      <c r="E1128" s="74"/>
      <c r="F1128" s="74"/>
      <c r="G1128" s="76">
        <v>0</v>
      </c>
      <c r="H1128" s="76">
        <f t="shared" si="47"/>
        <v>0</v>
      </c>
    </row>
    <row r="1129" spans="1:18" ht="15" customHeight="1" x14ac:dyDescent="0.2">
      <c r="A1129" s="249">
        <v>26</v>
      </c>
      <c r="B1129" s="147">
        <v>26</v>
      </c>
      <c r="C1129" s="130">
        <v>54505</v>
      </c>
      <c r="D1129" s="62" t="s">
        <v>40</v>
      </c>
      <c r="E1129" s="74"/>
      <c r="F1129" s="74"/>
      <c r="G1129" s="76">
        <v>600</v>
      </c>
      <c r="H1129" s="133">
        <f t="shared" si="47"/>
        <v>600</v>
      </c>
    </row>
    <row r="1130" spans="1:18" ht="15" customHeight="1" x14ac:dyDescent="0.2">
      <c r="A1130" s="249">
        <v>26</v>
      </c>
      <c r="B1130" s="147">
        <v>26</v>
      </c>
      <c r="C1130" s="130">
        <v>61101</v>
      </c>
      <c r="D1130" s="73" t="s">
        <v>144</v>
      </c>
      <c r="E1130" s="74"/>
      <c r="F1130" s="74"/>
      <c r="G1130" s="74">
        <v>1300</v>
      </c>
      <c r="H1130" s="133">
        <f t="shared" si="47"/>
        <v>1300</v>
      </c>
    </row>
    <row r="1131" spans="1:18" ht="15" customHeight="1" x14ac:dyDescent="0.2">
      <c r="A1131" s="249">
        <v>26</v>
      </c>
      <c r="B1131" s="147">
        <v>26</v>
      </c>
      <c r="C1131" s="130">
        <v>61102</v>
      </c>
      <c r="D1131" s="73" t="s">
        <v>28</v>
      </c>
      <c r="E1131" s="74"/>
      <c r="F1131" s="74"/>
      <c r="G1131" s="74">
        <v>1500</v>
      </c>
      <c r="H1131" s="133">
        <f t="shared" si="47"/>
        <v>1500</v>
      </c>
    </row>
    <row r="1132" spans="1:18" ht="15" customHeight="1" x14ac:dyDescent="0.2">
      <c r="A1132" s="249">
        <v>26</v>
      </c>
      <c r="B1132" s="147">
        <v>26</v>
      </c>
      <c r="C1132" s="130">
        <v>61104</v>
      </c>
      <c r="D1132" s="73" t="s">
        <v>46</v>
      </c>
      <c r="E1132" s="74"/>
      <c r="F1132" s="74"/>
      <c r="G1132" s="74">
        <v>1500</v>
      </c>
      <c r="H1132" s="133">
        <f t="shared" si="47"/>
        <v>1500</v>
      </c>
    </row>
    <row r="1133" spans="1:18" ht="15" customHeight="1" x14ac:dyDescent="0.2">
      <c r="A1133" s="249">
        <v>26</v>
      </c>
      <c r="B1133" s="147" t="s">
        <v>401</v>
      </c>
      <c r="C1133" s="61"/>
      <c r="D1133" s="61" t="s">
        <v>14</v>
      </c>
      <c r="E1133" s="138">
        <f>SUM(E1105:E1129)</f>
        <v>0</v>
      </c>
      <c r="F1133" s="138">
        <f>SUM(F1105:F1129)</f>
        <v>0</v>
      </c>
      <c r="G1133" s="138">
        <f>SUM(G1105:G1132)</f>
        <v>63917.5</v>
      </c>
      <c r="H1133" s="139">
        <f t="shared" si="47"/>
        <v>63917.5</v>
      </c>
      <c r="O1133" s="258"/>
      <c r="P1133" s="259"/>
    </row>
    <row r="1134" spans="1:18" ht="15" customHeight="1" x14ac:dyDescent="0.2">
      <c r="A1134" s="249" t="s">
        <v>387</v>
      </c>
      <c r="B1134" s="147" t="s">
        <v>387</v>
      </c>
      <c r="C1134" s="148"/>
      <c r="D1134" s="148"/>
      <c r="E1134" s="260"/>
      <c r="F1134" s="260"/>
      <c r="G1134" s="261"/>
      <c r="H1134" s="261"/>
      <c r="O1134" s="258"/>
      <c r="P1134" s="259"/>
      <c r="Q1134" s="147" t="s">
        <v>591</v>
      </c>
      <c r="R1134" s="259">
        <f>+H1133-P1134</f>
        <v>63917.5</v>
      </c>
    </row>
    <row r="1135" spans="1:18" ht="15" customHeight="1" x14ac:dyDescent="0.2">
      <c r="A1135" s="249" t="s">
        <v>387</v>
      </c>
      <c r="B1135" s="147" t="s">
        <v>387</v>
      </c>
      <c r="C1135" s="148"/>
      <c r="D1135" s="267"/>
      <c r="E1135" s="149"/>
      <c r="F1135" s="149"/>
      <c r="G1135" s="149"/>
      <c r="H1135" s="149"/>
      <c r="O1135" s="258"/>
    </row>
    <row r="1136" spans="1:18" ht="15" customHeight="1" x14ac:dyDescent="0.2">
      <c r="A1136" s="249" t="s">
        <v>387</v>
      </c>
      <c r="B1136" s="147" t="s">
        <v>387</v>
      </c>
      <c r="C1136" s="368"/>
      <c r="D1136" s="369"/>
      <c r="E1136" s="370"/>
      <c r="F1136" s="370"/>
      <c r="G1136" s="370"/>
      <c r="H1136" s="370"/>
    </row>
    <row r="1137" spans="1:15" ht="15" customHeight="1" x14ac:dyDescent="0.2">
      <c r="A1137" s="249" t="s">
        <v>387</v>
      </c>
      <c r="B1137" s="147" t="s">
        <v>387</v>
      </c>
      <c r="C1137" s="427" t="s">
        <v>119</v>
      </c>
      <c r="D1137" s="427"/>
      <c r="E1137" s="427"/>
      <c r="F1137" s="427"/>
      <c r="G1137" s="427"/>
      <c r="H1137" s="427"/>
    </row>
    <row r="1138" spans="1:15" ht="15" customHeight="1" x14ac:dyDescent="0.2">
      <c r="A1138" s="249" t="s">
        <v>387</v>
      </c>
      <c r="B1138" s="147" t="s">
        <v>387</v>
      </c>
      <c r="C1138" s="428" t="str">
        <f>C3</f>
        <v xml:space="preserve"> PRESUPUESTO AÑO 2024</v>
      </c>
      <c r="D1138" s="428"/>
      <c r="E1138" s="428"/>
      <c r="F1138" s="428"/>
      <c r="G1138" s="428"/>
      <c r="H1138" s="428"/>
    </row>
    <row r="1139" spans="1:15" ht="15" customHeight="1" x14ac:dyDescent="0.2">
      <c r="A1139" s="249" t="s">
        <v>387</v>
      </c>
      <c r="B1139" s="147" t="s">
        <v>387</v>
      </c>
      <c r="C1139" s="428" t="str">
        <f>C4</f>
        <v>PRESUPUESTO EXTRA CONTABLE</v>
      </c>
      <c r="D1139" s="428"/>
      <c r="E1139" s="428"/>
      <c r="F1139" s="428"/>
      <c r="G1139" s="428"/>
      <c r="H1139" s="428"/>
    </row>
    <row r="1140" spans="1:15" ht="15" customHeight="1" x14ac:dyDescent="0.2">
      <c r="A1140" s="249" t="s">
        <v>387</v>
      </c>
      <c r="B1140" s="147" t="s">
        <v>387</v>
      </c>
      <c r="C1140" s="427" t="s">
        <v>117</v>
      </c>
      <c r="D1140" s="427"/>
      <c r="E1140" s="427"/>
      <c r="F1140" s="427"/>
      <c r="G1140" s="427"/>
      <c r="H1140" s="427"/>
    </row>
    <row r="1141" spans="1:15" ht="15" customHeight="1" x14ac:dyDescent="0.2">
      <c r="A1141" s="249" t="s">
        <v>387</v>
      </c>
      <c r="B1141" s="147" t="s">
        <v>387</v>
      </c>
      <c r="C1141" s="427" t="s">
        <v>767</v>
      </c>
      <c r="D1141" s="427"/>
      <c r="E1141" s="427"/>
      <c r="F1141" s="427"/>
      <c r="G1141" s="427"/>
      <c r="H1141" s="427"/>
    </row>
    <row r="1142" spans="1:15" ht="15" customHeight="1" x14ac:dyDescent="0.2">
      <c r="A1142" s="249" t="s">
        <v>387</v>
      </c>
      <c r="B1142" s="147" t="s">
        <v>387</v>
      </c>
      <c r="C1142" s="430" t="s">
        <v>1</v>
      </c>
      <c r="D1142" s="430" t="s">
        <v>0</v>
      </c>
      <c r="E1142" s="255" t="s">
        <v>56</v>
      </c>
      <c r="F1142" s="255" t="str">
        <f>F7</f>
        <v>REFORMA</v>
      </c>
      <c r="G1142" s="255" t="s">
        <v>56</v>
      </c>
      <c r="H1142" s="432" t="str">
        <f>$H$7</f>
        <v>TOTAL 2024</v>
      </c>
    </row>
    <row r="1143" spans="1:15" ht="15" customHeight="1" x14ac:dyDescent="0.2">
      <c r="A1143" s="249" t="s">
        <v>387</v>
      </c>
      <c r="B1143" s="147" t="s">
        <v>387</v>
      </c>
      <c r="C1143" s="431"/>
      <c r="D1143" s="431"/>
      <c r="E1143" s="255" t="s">
        <v>139</v>
      </c>
      <c r="F1143" s="255"/>
      <c r="G1143" s="255" t="s">
        <v>140</v>
      </c>
      <c r="H1143" s="433"/>
    </row>
    <row r="1144" spans="1:15" ht="15" customHeight="1" x14ac:dyDescent="0.2">
      <c r="A1144" s="249">
        <v>28</v>
      </c>
      <c r="B1144" s="147">
        <v>28</v>
      </c>
      <c r="C1144" s="61">
        <v>51101</v>
      </c>
      <c r="D1144" s="73" t="s">
        <v>15</v>
      </c>
      <c r="E1144" s="74"/>
      <c r="F1144" s="74"/>
      <c r="G1144" s="290">
        <v>13800</v>
      </c>
      <c r="H1144" s="76">
        <f t="shared" ref="H1144:H1179" si="49">E1144+F1144+G1144</f>
        <v>13800</v>
      </c>
    </row>
    <row r="1145" spans="1:15" ht="15" customHeight="1" x14ac:dyDescent="0.2">
      <c r="A1145" s="249">
        <v>28</v>
      </c>
      <c r="B1145" s="147">
        <v>28</v>
      </c>
      <c r="C1145" s="61">
        <v>51103</v>
      </c>
      <c r="D1145" s="73" t="s">
        <v>16</v>
      </c>
      <c r="E1145" s="76"/>
      <c r="F1145" s="76"/>
      <c r="G1145" s="290">
        <v>1150</v>
      </c>
      <c r="H1145" s="76">
        <f t="shared" si="49"/>
        <v>1150</v>
      </c>
    </row>
    <row r="1146" spans="1:15" ht="15" customHeight="1" x14ac:dyDescent="0.2">
      <c r="A1146" s="249">
        <v>28</v>
      </c>
      <c r="B1146" s="147">
        <v>28</v>
      </c>
      <c r="C1146" s="61">
        <v>51107</v>
      </c>
      <c r="D1146" s="73" t="s">
        <v>34</v>
      </c>
      <c r="E1146" s="76"/>
      <c r="F1146" s="76"/>
      <c r="G1146" s="290">
        <v>400</v>
      </c>
      <c r="H1146" s="76">
        <f t="shared" si="49"/>
        <v>400</v>
      </c>
    </row>
    <row r="1147" spans="1:15" ht="15" customHeight="1" x14ac:dyDescent="0.2">
      <c r="A1147" s="249">
        <v>28</v>
      </c>
      <c r="B1147" s="147">
        <v>28</v>
      </c>
      <c r="C1147" s="61">
        <v>51401</v>
      </c>
      <c r="D1147" s="62" t="s">
        <v>47</v>
      </c>
      <c r="E1147" s="74"/>
      <c r="F1147" s="74"/>
      <c r="G1147" s="290">
        <v>1173</v>
      </c>
      <c r="H1147" s="76">
        <f t="shared" si="49"/>
        <v>1173</v>
      </c>
      <c r="O1147" s="257"/>
    </row>
    <row r="1148" spans="1:15" ht="15" customHeight="1" x14ac:dyDescent="0.2">
      <c r="A1148" s="249">
        <v>28</v>
      </c>
      <c r="B1148" s="147">
        <v>28</v>
      </c>
      <c r="C1148" s="61">
        <v>51501</v>
      </c>
      <c r="D1148" s="73" t="s">
        <v>29</v>
      </c>
      <c r="E1148" s="74"/>
      <c r="F1148" s="74"/>
      <c r="G1148" s="290">
        <v>1207.5</v>
      </c>
      <c r="H1148" s="76">
        <f t="shared" si="49"/>
        <v>1207.5</v>
      </c>
    </row>
    <row r="1149" spans="1:15" ht="15" customHeight="1" x14ac:dyDescent="0.2">
      <c r="A1149" s="249">
        <v>28</v>
      </c>
      <c r="B1149" s="147">
        <v>28</v>
      </c>
      <c r="C1149" s="61">
        <v>54101</v>
      </c>
      <c r="D1149" s="73" t="s">
        <v>38</v>
      </c>
      <c r="E1149" s="74"/>
      <c r="F1149" s="74"/>
      <c r="G1149" s="140">
        <v>1000</v>
      </c>
      <c r="H1149" s="76">
        <f t="shared" si="49"/>
        <v>1000</v>
      </c>
    </row>
    <row r="1150" spans="1:15" ht="15" customHeight="1" x14ac:dyDescent="0.2">
      <c r="A1150" s="249">
        <v>28</v>
      </c>
      <c r="B1150" s="147">
        <v>28</v>
      </c>
      <c r="C1150" s="61">
        <v>54104</v>
      </c>
      <c r="D1150" s="73" t="s">
        <v>17</v>
      </c>
      <c r="E1150" s="74"/>
      <c r="F1150" s="74"/>
      <c r="G1150" s="140">
        <v>300</v>
      </c>
      <c r="H1150" s="76">
        <f t="shared" si="49"/>
        <v>300</v>
      </c>
    </row>
    <row r="1151" spans="1:15" ht="15" customHeight="1" x14ac:dyDescent="0.2">
      <c r="A1151" s="249">
        <v>28</v>
      </c>
      <c r="B1151" s="147">
        <v>28</v>
      </c>
      <c r="C1151" s="61">
        <v>54105</v>
      </c>
      <c r="D1151" s="73" t="s">
        <v>131</v>
      </c>
      <c r="E1151" s="74"/>
      <c r="F1151" s="74"/>
      <c r="G1151" s="140">
        <v>425</v>
      </c>
      <c r="H1151" s="76">
        <f t="shared" si="49"/>
        <v>425</v>
      </c>
    </row>
    <row r="1152" spans="1:15" ht="15" customHeight="1" x14ac:dyDescent="0.2">
      <c r="A1152" s="249">
        <v>28</v>
      </c>
      <c r="B1152" s="147">
        <v>28</v>
      </c>
      <c r="C1152" s="61">
        <v>54106</v>
      </c>
      <c r="D1152" s="73" t="s">
        <v>18</v>
      </c>
      <c r="E1152" s="74"/>
      <c r="F1152" s="74"/>
      <c r="G1152" s="140">
        <v>100</v>
      </c>
      <c r="H1152" s="76">
        <f t="shared" si="49"/>
        <v>100</v>
      </c>
    </row>
    <row r="1153" spans="1:8" ht="15" customHeight="1" x14ac:dyDescent="0.2">
      <c r="A1153" s="249">
        <v>28</v>
      </c>
      <c r="B1153" s="147">
        <v>28</v>
      </c>
      <c r="C1153" s="61">
        <v>54107</v>
      </c>
      <c r="D1153" s="73" t="s">
        <v>43</v>
      </c>
      <c r="E1153" s="74"/>
      <c r="F1153" s="74"/>
      <c r="G1153" s="140">
        <v>300</v>
      </c>
      <c r="H1153" s="76">
        <f t="shared" si="49"/>
        <v>300</v>
      </c>
    </row>
    <row r="1154" spans="1:8" ht="15" customHeight="1" x14ac:dyDescent="0.2">
      <c r="A1154" s="249">
        <v>28</v>
      </c>
      <c r="B1154" s="147">
        <v>28</v>
      </c>
      <c r="C1154" s="61">
        <v>54110</v>
      </c>
      <c r="D1154" s="73" t="s">
        <v>519</v>
      </c>
      <c r="E1154" s="74"/>
      <c r="F1154" s="74"/>
      <c r="G1154" s="140">
        <v>0</v>
      </c>
      <c r="H1154" s="76">
        <f t="shared" si="49"/>
        <v>0</v>
      </c>
    </row>
    <row r="1155" spans="1:8" ht="15" customHeight="1" x14ac:dyDescent="0.2">
      <c r="A1155" s="249">
        <v>28</v>
      </c>
      <c r="B1155" s="147">
        <v>28</v>
      </c>
      <c r="C1155" s="61">
        <v>54111</v>
      </c>
      <c r="D1155" s="73" t="s">
        <v>162</v>
      </c>
      <c r="E1155" s="74"/>
      <c r="F1155" s="74"/>
      <c r="G1155" s="140">
        <v>100</v>
      </c>
      <c r="H1155" s="76">
        <f t="shared" si="49"/>
        <v>100</v>
      </c>
    </row>
    <row r="1156" spans="1:8" ht="15" customHeight="1" x14ac:dyDescent="0.2">
      <c r="A1156" s="249">
        <v>28</v>
      </c>
      <c r="B1156" s="147">
        <v>28</v>
      </c>
      <c r="C1156" s="61">
        <v>54112</v>
      </c>
      <c r="D1156" s="73" t="s">
        <v>42</v>
      </c>
      <c r="E1156" s="74"/>
      <c r="F1156" s="74"/>
      <c r="G1156" s="140">
        <v>100</v>
      </c>
      <c r="H1156" s="76">
        <f t="shared" si="49"/>
        <v>100</v>
      </c>
    </row>
    <row r="1157" spans="1:8" ht="15" customHeight="1" x14ac:dyDescent="0.2">
      <c r="A1157" s="249">
        <v>28</v>
      </c>
      <c r="B1157" s="147">
        <v>28</v>
      </c>
      <c r="C1157" s="61">
        <v>54113</v>
      </c>
      <c r="D1157" s="62" t="s">
        <v>148</v>
      </c>
      <c r="E1157" s="74"/>
      <c r="F1157" s="74"/>
      <c r="G1157" s="140">
        <v>400</v>
      </c>
      <c r="H1157" s="76">
        <f t="shared" si="49"/>
        <v>400</v>
      </c>
    </row>
    <row r="1158" spans="1:8" ht="15" customHeight="1" x14ac:dyDescent="0.2">
      <c r="A1158" s="249">
        <v>28</v>
      </c>
      <c r="B1158" s="147">
        <v>28</v>
      </c>
      <c r="C1158" s="61">
        <v>54114</v>
      </c>
      <c r="D1158" s="73" t="s">
        <v>5</v>
      </c>
      <c r="E1158" s="74"/>
      <c r="F1158" s="74"/>
      <c r="G1158" s="140">
        <v>300</v>
      </c>
      <c r="H1158" s="76">
        <f t="shared" si="49"/>
        <v>300</v>
      </c>
    </row>
    <row r="1159" spans="1:8" ht="15" customHeight="1" x14ac:dyDescent="0.2">
      <c r="A1159" s="249">
        <v>28</v>
      </c>
      <c r="B1159" s="147">
        <v>28</v>
      </c>
      <c r="C1159" s="61">
        <v>54115</v>
      </c>
      <c r="D1159" s="73" t="s">
        <v>49</v>
      </c>
      <c r="E1159" s="74"/>
      <c r="F1159" s="74"/>
      <c r="G1159" s="140">
        <v>500</v>
      </c>
      <c r="H1159" s="76">
        <f t="shared" si="49"/>
        <v>500</v>
      </c>
    </row>
    <row r="1160" spans="1:8" ht="15" customHeight="1" x14ac:dyDescent="0.2">
      <c r="A1160" s="249">
        <v>28</v>
      </c>
      <c r="B1160" s="147">
        <v>28</v>
      </c>
      <c r="C1160" s="61">
        <v>54116</v>
      </c>
      <c r="D1160" s="62" t="s">
        <v>155</v>
      </c>
      <c r="E1160" s="74"/>
      <c r="F1160" s="74"/>
      <c r="G1160" s="140">
        <v>100</v>
      </c>
      <c r="H1160" s="76">
        <f t="shared" si="49"/>
        <v>100</v>
      </c>
    </row>
    <row r="1161" spans="1:8" ht="15" customHeight="1" x14ac:dyDescent="0.2">
      <c r="A1161" s="249">
        <v>28</v>
      </c>
      <c r="B1161" s="147">
        <v>28</v>
      </c>
      <c r="C1161" s="61">
        <v>54118</v>
      </c>
      <c r="D1161" s="62" t="s">
        <v>35</v>
      </c>
      <c r="E1161" s="74"/>
      <c r="F1161" s="74"/>
      <c r="G1161" s="140">
        <v>500</v>
      </c>
      <c r="H1161" s="76">
        <f t="shared" si="49"/>
        <v>500</v>
      </c>
    </row>
    <row r="1162" spans="1:8" ht="15" customHeight="1" x14ac:dyDescent="0.2">
      <c r="A1162" s="249">
        <v>28</v>
      </c>
      <c r="B1162" s="147">
        <v>28</v>
      </c>
      <c r="C1162" s="61">
        <v>54119</v>
      </c>
      <c r="D1162" s="62" t="s">
        <v>44</v>
      </c>
      <c r="E1162" s="74"/>
      <c r="F1162" s="74"/>
      <c r="G1162" s="140">
        <v>100</v>
      </c>
      <c r="H1162" s="76">
        <f t="shared" si="49"/>
        <v>100</v>
      </c>
    </row>
    <row r="1163" spans="1:8" ht="15" customHeight="1" x14ac:dyDescent="0.2">
      <c r="A1163" s="249">
        <v>28</v>
      </c>
      <c r="B1163" s="147">
        <v>28</v>
      </c>
      <c r="C1163" s="61">
        <v>54199</v>
      </c>
      <c r="D1163" s="62" t="s">
        <v>318</v>
      </c>
      <c r="E1163" s="74"/>
      <c r="F1163" s="74"/>
      <c r="G1163" s="140">
        <v>400</v>
      </c>
      <c r="H1163" s="76">
        <f t="shared" si="49"/>
        <v>400</v>
      </c>
    </row>
    <row r="1164" spans="1:8" ht="15" customHeight="1" x14ac:dyDescent="0.2">
      <c r="A1164" s="249">
        <v>28</v>
      </c>
      <c r="B1164" s="147">
        <v>28</v>
      </c>
      <c r="C1164" s="61">
        <v>54301</v>
      </c>
      <c r="D1164" s="62" t="s">
        <v>8</v>
      </c>
      <c r="E1164" s="74"/>
      <c r="F1164" s="74"/>
      <c r="G1164" s="140">
        <v>300</v>
      </c>
      <c r="H1164" s="76">
        <f t="shared" si="49"/>
        <v>300</v>
      </c>
    </row>
    <row r="1165" spans="1:8" ht="15" customHeight="1" x14ac:dyDescent="0.2">
      <c r="A1165" s="249">
        <v>28</v>
      </c>
      <c r="B1165" s="147">
        <v>28</v>
      </c>
      <c r="C1165" s="61">
        <v>54303</v>
      </c>
      <c r="D1165" s="62" t="s">
        <v>183</v>
      </c>
      <c r="E1165" s="74"/>
      <c r="F1165" s="74"/>
      <c r="G1165" s="140">
        <v>100</v>
      </c>
      <c r="H1165" s="76">
        <f t="shared" si="49"/>
        <v>100</v>
      </c>
    </row>
    <row r="1166" spans="1:8" ht="15" customHeight="1" x14ac:dyDescent="0.2">
      <c r="A1166" s="249">
        <v>28</v>
      </c>
      <c r="B1166" s="147">
        <v>28</v>
      </c>
      <c r="C1166" s="61">
        <v>54310</v>
      </c>
      <c r="D1166" s="62" t="s">
        <v>390</v>
      </c>
      <c r="E1166" s="74"/>
      <c r="F1166" s="74"/>
      <c r="G1166" s="140">
        <v>0</v>
      </c>
      <c r="H1166" s="76">
        <f t="shared" si="49"/>
        <v>0</v>
      </c>
    </row>
    <row r="1167" spans="1:8" ht="15" customHeight="1" x14ac:dyDescent="0.2">
      <c r="A1167" s="249">
        <v>28</v>
      </c>
      <c r="B1167" s="147">
        <v>28</v>
      </c>
      <c r="C1167" s="61">
        <v>54313</v>
      </c>
      <c r="D1167" s="62" t="s">
        <v>11</v>
      </c>
      <c r="E1167" s="74"/>
      <c r="F1167" s="74"/>
      <c r="G1167" s="140">
        <v>100</v>
      </c>
      <c r="H1167" s="76">
        <f t="shared" si="49"/>
        <v>100</v>
      </c>
    </row>
    <row r="1168" spans="1:8" ht="15" customHeight="1" x14ac:dyDescent="0.2">
      <c r="A1168" s="249">
        <v>28</v>
      </c>
      <c r="B1168" s="147">
        <v>28</v>
      </c>
      <c r="C1168" s="61">
        <v>54314</v>
      </c>
      <c r="D1168" s="62" t="s">
        <v>505</v>
      </c>
      <c r="E1168" s="74"/>
      <c r="F1168" s="74"/>
      <c r="G1168" s="140">
        <v>500</v>
      </c>
      <c r="H1168" s="76">
        <f t="shared" si="49"/>
        <v>500</v>
      </c>
    </row>
    <row r="1169" spans="1:18" ht="15" customHeight="1" x14ac:dyDescent="0.2">
      <c r="A1169" s="249">
        <v>28</v>
      </c>
      <c r="B1169" s="147">
        <v>28</v>
      </c>
      <c r="C1169" s="61">
        <v>54316</v>
      </c>
      <c r="D1169" s="62" t="s">
        <v>228</v>
      </c>
      <c r="E1169" s="74"/>
      <c r="F1169" s="74"/>
      <c r="G1169" s="140">
        <v>400</v>
      </c>
      <c r="H1169" s="76">
        <f t="shared" si="49"/>
        <v>400</v>
      </c>
    </row>
    <row r="1170" spans="1:18" ht="15" customHeight="1" x14ac:dyDescent="0.2">
      <c r="A1170" s="249">
        <v>28</v>
      </c>
      <c r="B1170" s="147">
        <v>28</v>
      </c>
      <c r="C1170" s="61" t="s">
        <v>542</v>
      </c>
      <c r="D1170" s="62" t="s">
        <v>153</v>
      </c>
      <c r="E1170" s="74"/>
      <c r="F1170" s="74"/>
      <c r="G1170" s="140">
        <v>400</v>
      </c>
      <c r="H1170" s="76">
        <f t="shared" si="49"/>
        <v>400</v>
      </c>
    </row>
    <row r="1171" spans="1:18" ht="15" customHeight="1" x14ac:dyDescent="0.2">
      <c r="A1171" s="249">
        <v>28</v>
      </c>
      <c r="B1171" s="147">
        <v>28</v>
      </c>
      <c r="C1171" s="61">
        <v>54401</v>
      </c>
      <c r="D1171" s="62" t="s">
        <v>30</v>
      </c>
      <c r="E1171" s="74"/>
      <c r="F1171" s="74"/>
      <c r="G1171" s="140">
        <v>500</v>
      </c>
      <c r="H1171" s="76">
        <f t="shared" si="49"/>
        <v>500</v>
      </c>
    </row>
    <row r="1172" spans="1:18" ht="15" customHeight="1" x14ac:dyDescent="0.2">
      <c r="A1172" s="249">
        <v>28</v>
      </c>
      <c r="B1172" s="147">
        <v>28</v>
      </c>
      <c r="C1172" s="61">
        <v>54402</v>
      </c>
      <c r="D1172" s="62" t="s">
        <v>520</v>
      </c>
      <c r="E1172" s="74"/>
      <c r="F1172" s="74"/>
      <c r="G1172" s="140">
        <v>0</v>
      </c>
      <c r="H1172" s="76">
        <f t="shared" si="49"/>
        <v>0</v>
      </c>
    </row>
    <row r="1173" spans="1:18" ht="15" customHeight="1" x14ac:dyDescent="0.2">
      <c r="A1173" s="249">
        <v>28</v>
      </c>
      <c r="B1173" s="147">
        <v>28</v>
      </c>
      <c r="C1173" s="106">
        <v>54599</v>
      </c>
      <c r="D1173" s="107" t="s">
        <v>154</v>
      </c>
      <c r="E1173" s="271"/>
      <c r="F1173" s="74"/>
      <c r="G1173" s="288">
        <v>40000</v>
      </c>
      <c r="H1173" s="272">
        <f t="shared" si="49"/>
        <v>40000</v>
      </c>
    </row>
    <row r="1174" spans="1:18" ht="15" customHeight="1" x14ac:dyDescent="0.2">
      <c r="A1174" s="249">
        <v>28</v>
      </c>
      <c r="B1174" s="147">
        <v>28</v>
      </c>
      <c r="C1174" s="134">
        <v>56305</v>
      </c>
      <c r="D1174" s="135" t="s">
        <v>193</v>
      </c>
      <c r="E1174" s="136"/>
      <c r="F1174" s="136"/>
      <c r="G1174" s="141">
        <v>15000</v>
      </c>
      <c r="H1174" s="141">
        <v>15000</v>
      </c>
    </row>
    <row r="1175" spans="1:18" ht="15" customHeight="1" x14ac:dyDescent="0.2">
      <c r="A1175" s="249">
        <v>28</v>
      </c>
      <c r="B1175" s="147">
        <v>28</v>
      </c>
      <c r="C1175" s="61">
        <v>61101</v>
      </c>
      <c r="D1175" s="73" t="s">
        <v>144</v>
      </c>
      <c r="E1175" s="74"/>
      <c r="F1175" s="74"/>
      <c r="G1175" s="140">
        <v>500</v>
      </c>
      <c r="H1175" s="76">
        <f t="shared" si="49"/>
        <v>500</v>
      </c>
    </row>
    <row r="1176" spans="1:18" ht="15" customHeight="1" x14ac:dyDescent="0.2">
      <c r="A1176" s="249">
        <v>28</v>
      </c>
      <c r="B1176" s="147">
        <v>28</v>
      </c>
      <c r="C1176" s="61">
        <v>61102</v>
      </c>
      <c r="D1176" s="73" t="s">
        <v>28</v>
      </c>
      <c r="E1176" s="74"/>
      <c r="F1176" s="74"/>
      <c r="G1176" s="140">
        <v>400</v>
      </c>
      <c r="H1176" s="76">
        <f t="shared" si="49"/>
        <v>400</v>
      </c>
    </row>
    <row r="1177" spans="1:18" ht="15" customHeight="1" x14ac:dyDescent="0.2">
      <c r="A1177" s="249">
        <v>28</v>
      </c>
      <c r="B1177" s="147">
        <v>28</v>
      </c>
      <c r="C1177" s="61">
        <v>61104</v>
      </c>
      <c r="D1177" s="73" t="s">
        <v>46</v>
      </c>
      <c r="E1177" s="74"/>
      <c r="F1177" s="74"/>
      <c r="G1177" s="140">
        <v>500</v>
      </c>
      <c r="H1177" s="76">
        <f t="shared" si="49"/>
        <v>500</v>
      </c>
    </row>
    <row r="1178" spans="1:18" ht="15" customHeight="1" x14ac:dyDescent="0.2">
      <c r="A1178" s="249">
        <v>28</v>
      </c>
      <c r="B1178" s="147">
        <v>28</v>
      </c>
      <c r="C1178" s="61">
        <v>61603</v>
      </c>
      <c r="D1178" s="73" t="s">
        <v>703</v>
      </c>
      <c r="E1178" s="74"/>
      <c r="F1178" s="74"/>
      <c r="G1178" s="140">
        <v>20000</v>
      </c>
      <c r="H1178" s="76">
        <f t="shared" si="49"/>
        <v>20000</v>
      </c>
    </row>
    <row r="1179" spans="1:18" ht="15" customHeight="1" x14ac:dyDescent="0.2">
      <c r="A1179" s="249">
        <v>28</v>
      </c>
      <c r="B1179" s="147" t="s">
        <v>417</v>
      </c>
      <c r="C1179" s="61"/>
      <c r="D1179" s="61" t="s">
        <v>14</v>
      </c>
      <c r="E1179" s="138">
        <f>SUM(E1144:E1175)</f>
        <v>0</v>
      </c>
      <c r="F1179" s="138">
        <f>SUM(F1144:F1175)</f>
        <v>0</v>
      </c>
      <c r="G1179" s="138">
        <f>SUM(G1144:G1178)</f>
        <v>101055.5</v>
      </c>
      <c r="H1179" s="83">
        <f t="shared" si="49"/>
        <v>101055.5</v>
      </c>
      <c r="O1179" s="258"/>
      <c r="P1179" s="259"/>
    </row>
    <row r="1180" spans="1:18" ht="15" customHeight="1" x14ac:dyDescent="0.2">
      <c r="A1180" s="249" t="s">
        <v>387</v>
      </c>
      <c r="B1180" s="147" t="s">
        <v>387</v>
      </c>
      <c r="C1180" s="148"/>
      <c r="D1180" s="267"/>
      <c r="E1180" s="149"/>
      <c r="F1180" s="149"/>
      <c r="G1180" s="149"/>
      <c r="H1180" s="149"/>
      <c r="O1180" s="258"/>
      <c r="P1180" s="259"/>
      <c r="Q1180" s="147" t="s">
        <v>590</v>
      </c>
      <c r="R1180" s="259">
        <f>+H1179-P1180</f>
        <v>101055.5</v>
      </c>
    </row>
    <row r="1181" spans="1:18" ht="15" customHeight="1" x14ac:dyDescent="0.2">
      <c r="A1181" s="249" t="s">
        <v>387</v>
      </c>
      <c r="B1181" s="147" t="s">
        <v>387</v>
      </c>
      <c r="C1181" s="369"/>
      <c r="D1181" s="369"/>
      <c r="E1181" s="369"/>
      <c r="F1181" s="369"/>
      <c r="G1181" s="369"/>
      <c r="H1181" s="369"/>
    </row>
    <row r="1182" spans="1:18" ht="15" customHeight="1" x14ac:dyDescent="0.2">
      <c r="A1182" s="249" t="s">
        <v>387</v>
      </c>
      <c r="B1182" s="147" t="s">
        <v>387</v>
      </c>
      <c r="C1182" s="427" t="s">
        <v>119</v>
      </c>
      <c r="D1182" s="427"/>
      <c r="E1182" s="427"/>
      <c r="F1182" s="427"/>
      <c r="G1182" s="427"/>
      <c r="H1182" s="427"/>
    </row>
    <row r="1183" spans="1:18" ht="15" customHeight="1" x14ac:dyDescent="0.2">
      <c r="A1183" s="249" t="s">
        <v>387</v>
      </c>
      <c r="B1183" s="147" t="s">
        <v>387</v>
      </c>
      <c r="C1183" s="428" t="str">
        <f>C3</f>
        <v xml:space="preserve"> PRESUPUESTO AÑO 2024</v>
      </c>
      <c r="D1183" s="428"/>
      <c r="E1183" s="428"/>
      <c r="F1183" s="428"/>
      <c r="G1183" s="428"/>
      <c r="H1183" s="428"/>
    </row>
    <row r="1184" spans="1:18" ht="15" customHeight="1" x14ac:dyDescent="0.2">
      <c r="A1184" s="249" t="s">
        <v>387</v>
      </c>
      <c r="B1184" s="147" t="s">
        <v>387</v>
      </c>
      <c r="C1184" s="428" t="str">
        <f>C4</f>
        <v>PRESUPUESTO EXTRA CONTABLE</v>
      </c>
      <c r="D1184" s="428"/>
      <c r="E1184" s="428"/>
      <c r="F1184" s="428"/>
      <c r="G1184" s="428"/>
      <c r="H1184" s="428"/>
    </row>
    <row r="1185" spans="1:15" ht="15" customHeight="1" x14ac:dyDescent="0.2">
      <c r="A1185" s="249" t="s">
        <v>387</v>
      </c>
      <c r="B1185" s="147" t="s">
        <v>387</v>
      </c>
      <c r="C1185" s="427" t="s">
        <v>117</v>
      </c>
      <c r="D1185" s="427"/>
      <c r="E1185" s="427"/>
      <c r="F1185" s="427"/>
      <c r="G1185" s="427"/>
      <c r="H1185" s="427"/>
    </row>
    <row r="1186" spans="1:15" ht="15" customHeight="1" x14ac:dyDescent="0.2">
      <c r="A1186" s="249" t="s">
        <v>387</v>
      </c>
      <c r="B1186" s="147" t="s">
        <v>387</v>
      </c>
      <c r="C1186" s="429" t="s">
        <v>756</v>
      </c>
      <c r="D1186" s="429"/>
      <c r="E1186" s="429"/>
      <c r="F1186" s="429"/>
      <c r="G1186" s="429"/>
      <c r="H1186" s="429"/>
    </row>
    <row r="1187" spans="1:15" ht="15" customHeight="1" x14ac:dyDescent="0.2">
      <c r="A1187" s="249" t="s">
        <v>387</v>
      </c>
      <c r="B1187" s="147" t="s">
        <v>387</v>
      </c>
      <c r="C1187" s="430" t="s">
        <v>1</v>
      </c>
      <c r="D1187" s="430" t="s">
        <v>0</v>
      </c>
      <c r="E1187" s="255" t="s">
        <v>56</v>
      </c>
      <c r="F1187" s="255" t="str">
        <f>F7</f>
        <v>REFORMA</v>
      </c>
      <c r="G1187" s="255" t="s">
        <v>56</v>
      </c>
      <c r="H1187" s="432" t="str">
        <f>$H$7</f>
        <v>TOTAL 2024</v>
      </c>
      <c r="I1187" s="153" t="s">
        <v>285</v>
      </c>
      <c r="J1187" s="153"/>
      <c r="K1187" s="153"/>
      <c r="L1187" s="153"/>
      <c r="M1187" s="153"/>
    </row>
    <row r="1188" spans="1:15" ht="15" customHeight="1" x14ac:dyDescent="0.2">
      <c r="A1188" s="249" t="s">
        <v>387</v>
      </c>
      <c r="B1188" s="147" t="s">
        <v>387</v>
      </c>
      <c r="C1188" s="431"/>
      <c r="D1188" s="431"/>
      <c r="E1188" s="255" t="s">
        <v>139</v>
      </c>
      <c r="F1188" s="255"/>
      <c r="G1188" s="255" t="s">
        <v>140</v>
      </c>
      <c r="H1188" s="433"/>
      <c r="I1188" s="153" t="s">
        <v>286</v>
      </c>
      <c r="J1188" s="153" t="s">
        <v>290</v>
      </c>
      <c r="K1188" s="153" t="s">
        <v>291</v>
      </c>
      <c r="L1188" s="153" t="s">
        <v>293</v>
      </c>
      <c r="M1188" s="153" t="s">
        <v>292</v>
      </c>
    </row>
    <row r="1189" spans="1:15" ht="15" customHeight="1" x14ac:dyDescent="0.2">
      <c r="A1189" s="249">
        <v>6</v>
      </c>
      <c r="B1189" s="147">
        <v>30</v>
      </c>
      <c r="C1189" s="61">
        <v>51101</v>
      </c>
      <c r="D1189" s="73" t="s">
        <v>15</v>
      </c>
      <c r="E1189" s="74"/>
      <c r="F1189" s="74"/>
      <c r="G1189" s="272">
        <v>23292</v>
      </c>
      <c r="H1189" s="76">
        <f>E1189+F1189+G1189</f>
        <v>23292</v>
      </c>
      <c r="I1189" s="73"/>
      <c r="J1189" s="73"/>
      <c r="K1189" s="73"/>
      <c r="L1189" s="73"/>
      <c r="M1189" s="73"/>
      <c r="N1189" s="269" t="s">
        <v>295</v>
      </c>
    </row>
    <row r="1190" spans="1:15" ht="15" customHeight="1" x14ac:dyDescent="0.2">
      <c r="A1190" s="249">
        <v>6</v>
      </c>
      <c r="B1190" s="147">
        <v>30</v>
      </c>
      <c r="C1190" s="61">
        <v>51103</v>
      </c>
      <c r="D1190" s="73" t="s">
        <v>16</v>
      </c>
      <c r="E1190" s="74"/>
      <c r="F1190" s="74"/>
      <c r="G1190" s="272">
        <v>1941</v>
      </c>
      <c r="H1190" s="76">
        <f>E1190+F1190+G1190</f>
        <v>1941</v>
      </c>
      <c r="I1190" s="73"/>
      <c r="J1190" s="73"/>
      <c r="K1190" s="73"/>
      <c r="L1190" s="73"/>
      <c r="M1190" s="73"/>
    </row>
    <row r="1191" spans="1:15" ht="15" customHeight="1" x14ac:dyDescent="0.2">
      <c r="A1191" s="249">
        <v>6</v>
      </c>
      <c r="B1191" s="147">
        <v>30</v>
      </c>
      <c r="C1191" s="61">
        <v>51107</v>
      </c>
      <c r="D1191" s="73" t="s">
        <v>34</v>
      </c>
      <c r="E1191" s="74"/>
      <c r="F1191" s="74"/>
      <c r="G1191" s="272">
        <v>800</v>
      </c>
      <c r="H1191" s="76">
        <f>E1191+F1191+G1191</f>
        <v>800</v>
      </c>
      <c r="I1191" s="73"/>
      <c r="J1191" s="73"/>
      <c r="K1191" s="73"/>
      <c r="L1191" s="73"/>
      <c r="M1191" s="73"/>
    </row>
    <row r="1192" spans="1:15" ht="15" customHeight="1" x14ac:dyDescent="0.2">
      <c r="A1192" s="249">
        <v>6</v>
      </c>
      <c r="B1192" s="147">
        <v>30</v>
      </c>
      <c r="C1192" s="61">
        <v>51401</v>
      </c>
      <c r="D1192" s="62" t="s">
        <v>47</v>
      </c>
      <c r="E1192" s="74"/>
      <c r="F1192" s="74"/>
      <c r="G1192" s="272">
        <v>1979.8200000000002</v>
      </c>
      <c r="H1192" s="76">
        <f>E1192+F1192+G1192</f>
        <v>1979.8200000000002</v>
      </c>
      <c r="I1192" s="73"/>
      <c r="J1192" s="73"/>
      <c r="K1192" s="73"/>
      <c r="L1192" s="73"/>
      <c r="M1192" s="73"/>
      <c r="O1192" s="257"/>
    </row>
    <row r="1193" spans="1:15" ht="15" customHeight="1" x14ac:dyDescent="0.2">
      <c r="A1193" s="249">
        <v>6</v>
      </c>
      <c r="B1193" s="147">
        <v>30</v>
      </c>
      <c r="C1193" s="61">
        <v>51501</v>
      </c>
      <c r="D1193" s="73" t="s">
        <v>29</v>
      </c>
      <c r="E1193" s="74"/>
      <c r="F1193" s="74"/>
      <c r="G1193" s="272">
        <v>2038.05</v>
      </c>
      <c r="H1193" s="76">
        <f>E1193+F1193+G1193</f>
        <v>2038.05</v>
      </c>
      <c r="I1193" s="73"/>
      <c r="J1193" s="73"/>
      <c r="K1193" s="73"/>
      <c r="L1193" s="73"/>
      <c r="M1193" s="73"/>
    </row>
    <row r="1194" spans="1:15" ht="15" customHeight="1" x14ac:dyDescent="0.2">
      <c r="A1194" s="249">
        <v>6</v>
      </c>
      <c r="B1194" s="147">
        <v>30</v>
      </c>
      <c r="C1194" s="61">
        <v>54101</v>
      </c>
      <c r="D1194" s="73" t="s">
        <v>38</v>
      </c>
      <c r="E1194" s="74"/>
      <c r="F1194" s="74"/>
      <c r="G1194" s="76">
        <v>350</v>
      </c>
      <c r="H1194" s="76">
        <f>G1194</f>
        <v>350</v>
      </c>
      <c r="I1194" s="73"/>
      <c r="J1194" s="73"/>
      <c r="K1194" s="73"/>
      <c r="L1194" s="73"/>
      <c r="M1194" s="73"/>
    </row>
    <row r="1195" spans="1:15" ht="15" customHeight="1" x14ac:dyDescent="0.2">
      <c r="A1195" s="249">
        <v>6</v>
      </c>
      <c r="B1195" s="147">
        <v>30</v>
      </c>
      <c r="C1195" s="61">
        <v>54103</v>
      </c>
      <c r="D1195" s="73" t="s">
        <v>41</v>
      </c>
      <c r="E1195" s="74"/>
      <c r="F1195" s="74"/>
      <c r="G1195" s="76">
        <v>3500</v>
      </c>
      <c r="H1195" s="76">
        <f>G1195</f>
        <v>3500</v>
      </c>
      <c r="I1195" s="73"/>
      <c r="J1195" s="73"/>
      <c r="K1195" s="73"/>
      <c r="L1195" s="73"/>
      <c r="M1195" s="73"/>
    </row>
    <row r="1196" spans="1:15" ht="15" customHeight="1" x14ac:dyDescent="0.2">
      <c r="A1196" s="249">
        <v>6</v>
      </c>
      <c r="B1196" s="147">
        <v>30</v>
      </c>
      <c r="C1196" s="61">
        <v>54104</v>
      </c>
      <c r="D1196" s="73" t="s">
        <v>17</v>
      </c>
      <c r="E1196" s="74"/>
      <c r="F1196" s="74"/>
      <c r="G1196" s="76">
        <v>300</v>
      </c>
      <c r="H1196" s="76">
        <f t="shared" ref="H1196:H1219" si="50">E1196+F1196+G1196</f>
        <v>300</v>
      </c>
      <c r="I1196" s="73"/>
      <c r="J1196" s="73"/>
      <c r="K1196" s="73"/>
      <c r="L1196" s="73"/>
      <c r="M1196" s="73"/>
    </row>
    <row r="1197" spans="1:15" ht="15" customHeight="1" x14ac:dyDescent="0.2">
      <c r="A1197" s="249">
        <v>6</v>
      </c>
      <c r="B1197" s="147">
        <v>30</v>
      </c>
      <c r="C1197" s="61">
        <v>54105</v>
      </c>
      <c r="D1197" s="73" t="s">
        <v>131</v>
      </c>
      <c r="E1197" s="74"/>
      <c r="F1197" s="74"/>
      <c r="G1197" s="76">
        <v>1000</v>
      </c>
      <c r="H1197" s="76">
        <f t="shared" si="50"/>
        <v>1000</v>
      </c>
      <c r="I1197" s="73"/>
      <c r="J1197" s="73"/>
      <c r="K1197" s="73"/>
      <c r="L1197" s="73"/>
      <c r="M1197" s="73"/>
    </row>
    <row r="1198" spans="1:15" ht="15" customHeight="1" x14ac:dyDescent="0.2">
      <c r="A1198" s="249">
        <v>6</v>
      </c>
      <c r="B1198" s="147">
        <v>30</v>
      </c>
      <c r="C1198" s="61">
        <v>54107</v>
      </c>
      <c r="D1198" s="73" t="s">
        <v>43</v>
      </c>
      <c r="E1198" s="74"/>
      <c r="F1198" s="74"/>
      <c r="G1198" s="76">
        <v>500</v>
      </c>
      <c r="H1198" s="76">
        <f t="shared" si="50"/>
        <v>500</v>
      </c>
      <c r="I1198" s="73"/>
      <c r="J1198" s="73"/>
      <c r="K1198" s="73"/>
      <c r="L1198" s="73"/>
      <c r="M1198" s="73"/>
    </row>
    <row r="1199" spans="1:15" ht="15" customHeight="1" x14ac:dyDescent="0.2">
      <c r="A1199" s="249">
        <v>6</v>
      </c>
      <c r="B1199" s="147">
        <v>30</v>
      </c>
      <c r="C1199" s="61">
        <v>54111</v>
      </c>
      <c r="D1199" s="73" t="s">
        <v>162</v>
      </c>
      <c r="E1199" s="74"/>
      <c r="F1199" s="74"/>
      <c r="G1199" s="76">
        <v>600</v>
      </c>
      <c r="H1199" s="76">
        <f t="shared" si="50"/>
        <v>600</v>
      </c>
      <c r="I1199" s="73"/>
      <c r="J1199" s="73"/>
      <c r="K1199" s="73"/>
      <c r="L1199" s="73"/>
      <c r="M1199" s="73"/>
    </row>
    <row r="1200" spans="1:15" ht="15" customHeight="1" x14ac:dyDescent="0.2">
      <c r="A1200" s="249">
        <v>6</v>
      </c>
      <c r="B1200" s="147">
        <v>30</v>
      </c>
      <c r="C1200" s="61">
        <v>54112</v>
      </c>
      <c r="D1200" s="73" t="s">
        <v>42</v>
      </c>
      <c r="E1200" s="74"/>
      <c r="F1200" s="74"/>
      <c r="G1200" s="76">
        <v>600</v>
      </c>
      <c r="H1200" s="76">
        <f t="shared" si="50"/>
        <v>600</v>
      </c>
      <c r="I1200" s="73"/>
      <c r="J1200" s="73"/>
      <c r="K1200" s="73"/>
      <c r="L1200" s="73"/>
      <c r="M1200" s="73"/>
    </row>
    <row r="1201" spans="1:13" ht="15" customHeight="1" x14ac:dyDescent="0.2">
      <c r="A1201" s="249">
        <v>6</v>
      </c>
      <c r="B1201" s="147">
        <v>30</v>
      </c>
      <c r="C1201" s="61">
        <v>54114</v>
      </c>
      <c r="D1201" s="73" t="s">
        <v>5</v>
      </c>
      <c r="E1201" s="74"/>
      <c r="F1201" s="74"/>
      <c r="G1201" s="76">
        <v>300</v>
      </c>
      <c r="H1201" s="76">
        <f t="shared" si="50"/>
        <v>300</v>
      </c>
      <c r="I1201" s="73"/>
      <c r="J1201" s="73"/>
      <c r="K1201" s="73"/>
      <c r="L1201" s="73"/>
      <c r="M1201" s="73"/>
    </row>
    <row r="1202" spans="1:13" ht="15" customHeight="1" x14ac:dyDescent="0.2">
      <c r="A1202" s="249">
        <v>6</v>
      </c>
      <c r="B1202" s="147">
        <v>30</v>
      </c>
      <c r="C1202" s="61">
        <v>54115</v>
      </c>
      <c r="D1202" s="73" t="s">
        <v>49</v>
      </c>
      <c r="E1202" s="74"/>
      <c r="F1202" s="74"/>
      <c r="G1202" s="76">
        <v>400</v>
      </c>
      <c r="H1202" s="76">
        <f t="shared" si="50"/>
        <v>400</v>
      </c>
      <c r="I1202" s="73"/>
      <c r="J1202" s="73"/>
      <c r="K1202" s="73"/>
      <c r="L1202" s="73"/>
      <c r="M1202" s="73"/>
    </row>
    <row r="1203" spans="1:13" ht="15" customHeight="1" x14ac:dyDescent="0.2">
      <c r="A1203" s="249">
        <v>6</v>
      </c>
      <c r="B1203" s="147">
        <v>30</v>
      </c>
      <c r="C1203" s="61">
        <v>54116</v>
      </c>
      <c r="D1203" s="62" t="s">
        <v>167</v>
      </c>
      <c r="E1203" s="74"/>
      <c r="F1203" s="74"/>
      <c r="G1203" s="76">
        <v>200</v>
      </c>
      <c r="H1203" s="76">
        <f t="shared" si="50"/>
        <v>200</v>
      </c>
      <c r="I1203" s="73"/>
      <c r="J1203" s="73"/>
      <c r="K1203" s="73"/>
      <c r="L1203" s="73"/>
      <c r="M1203" s="73"/>
    </row>
    <row r="1204" spans="1:13" ht="15" customHeight="1" x14ac:dyDescent="0.2">
      <c r="A1204" s="249">
        <v>6</v>
      </c>
      <c r="B1204" s="147">
        <v>30</v>
      </c>
      <c r="C1204" s="61">
        <v>54118</v>
      </c>
      <c r="D1204" s="62" t="s">
        <v>454</v>
      </c>
      <c r="E1204" s="74"/>
      <c r="F1204" s="74"/>
      <c r="G1204" s="76">
        <v>800</v>
      </c>
      <c r="H1204" s="76">
        <f t="shared" si="50"/>
        <v>800</v>
      </c>
      <c r="I1204" s="73"/>
      <c r="J1204" s="73"/>
      <c r="K1204" s="73"/>
      <c r="L1204" s="73"/>
      <c r="M1204" s="73"/>
    </row>
    <row r="1205" spans="1:13" ht="15" customHeight="1" x14ac:dyDescent="0.2">
      <c r="A1205" s="249">
        <v>6</v>
      </c>
      <c r="B1205" s="147">
        <v>30</v>
      </c>
      <c r="C1205" s="61">
        <v>54119</v>
      </c>
      <c r="D1205" s="62" t="s">
        <v>44</v>
      </c>
      <c r="E1205" s="74"/>
      <c r="F1205" s="74"/>
      <c r="G1205" s="76">
        <v>100</v>
      </c>
      <c r="H1205" s="76">
        <f t="shared" si="50"/>
        <v>100</v>
      </c>
      <c r="I1205" s="73"/>
      <c r="J1205" s="73"/>
      <c r="K1205" s="73"/>
      <c r="L1205" s="73"/>
      <c r="M1205" s="73"/>
    </row>
    <row r="1206" spans="1:13" ht="15" customHeight="1" x14ac:dyDescent="0.2">
      <c r="A1206" s="249">
        <v>6</v>
      </c>
      <c r="B1206" s="147">
        <v>30</v>
      </c>
      <c r="C1206" s="61">
        <v>54121</v>
      </c>
      <c r="D1206" s="62" t="s">
        <v>521</v>
      </c>
      <c r="E1206" s="74">
        <v>10000</v>
      </c>
      <c r="F1206" s="74"/>
      <c r="G1206" s="76">
        <v>300</v>
      </c>
      <c r="H1206" s="76">
        <f t="shared" si="50"/>
        <v>10300</v>
      </c>
      <c r="I1206" s="73"/>
      <c r="J1206" s="73"/>
      <c r="K1206" s="73"/>
      <c r="L1206" s="73"/>
      <c r="M1206" s="73"/>
    </row>
    <row r="1207" spans="1:13" ht="15" customHeight="1" x14ac:dyDescent="0.2">
      <c r="A1207" s="249">
        <v>6</v>
      </c>
      <c r="B1207" s="147">
        <v>30</v>
      </c>
      <c r="C1207" s="61">
        <v>54401</v>
      </c>
      <c r="D1207" s="62" t="s">
        <v>143</v>
      </c>
      <c r="E1207" s="74"/>
      <c r="F1207" s="74"/>
      <c r="G1207" s="76">
        <v>100</v>
      </c>
      <c r="H1207" s="76">
        <f t="shared" si="50"/>
        <v>100</v>
      </c>
      <c r="I1207" s="73"/>
      <c r="J1207" s="73"/>
      <c r="K1207" s="73"/>
      <c r="L1207" s="73"/>
      <c r="M1207" s="73"/>
    </row>
    <row r="1208" spans="1:13" ht="15" customHeight="1" x14ac:dyDescent="0.2">
      <c r="A1208" s="249">
        <v>6</v>
      </c>
      <c r="B1208" s="147">
        <v>30</v>
      </c>
      <c r="C1208" s="61">
        <v>54204</v>
      </c>
      <c r="D1208" s="73" t="s">
        <v>32</v>
      </c>
      <c r="E1208" s="76"/>
      <c r="F1208" s="76"/>
      <c r="G1208" s="76">
        <v>700</v>
      </c>
      <c r="H1208" s="76">
        <f t="shared" si="50"/>
        <v>700</v>
      </c>
      <c r="I1208" s="73"/>
      <c r="J1208" s="73"/>
      <c r="K1208" s="73"/>
      <c r="L1208" s="73"/>
      <c r="M1208" s="73"/>
    </row>
    <row r="1209" spans="1:13" ht="15" customHeight="1" x14ac:dyDescent="0.2">
      <c r="A1209" s="249">
        <v>6</v>
      </c>
      <c r="B1209" s="147">
        <v>30</v>
      </c>
      <c r="C1209" s="61">
        <v>54301</v>
      </c>
      <c r="D1209" s="62" t="s">
        <v>158</v>
      </c>
      <c r="E1209" s="74"/>
      <c r="F1209" s="74"/>
      <c r="G1209" s="76">
        <v>100</v>
      </c>
      <c r="H1209" s="76">
        <f t="shared" si="50"/>
        <v>100</v>
      </c>
      <c r="I1209" s="73"/>
      <c r="J1209" s="73"/>
      <c r="K1209" s="73"/>
      <c r="L1209" s="73"/>
      <c r="M1209" s="73"/>
    </row>
    <row r="1210" spans="1:13" ht="15" customHeight="1" x14ac:dyDescent="0.2">
      <c r="A1210" s="249">
        <v>6</v>
      </c>
      <c r="B1210" s="147">
        <v>30</v>
      </c>
      <c r="C1210" s="61">
        <v>54305</v>
      </c>
      <c r="D1210" s="62" t="s">
        <v>33</v>
      </c>
      <c r="E1210" s="74"/>
      <c r="F1210" s="74"/>
      <c r="G1210" s="76">
        <v>300</v>
      </c>
      <c r="H1210" s="76">
        <f t="shared" si="50"/>
        <v>300</v>
      </c>
      <c r="I1210" s="73"/>
      <c r="J1210" s="73"/>
      <c r="K1210" s="73"/>
      <c r="L1210" s="73"/>
      <c r="M1210" s="73"/>
    </row>
    <row r="1211" spans="1:13" ht="15" customHeight="1" x14ac:dyDescent="0.2">
      <c r="A1211" s="249">
        <v>6</v>
      </c>
      <c r="B1211" s="147">
        <v>30</v>
      </c>
      <c r="C1211" s="61">
        <v>54307</v>
      </c>
      <c r="D1211" s="62" t="s">
        <v>10</v>
      </c>
      <c r="E1211" s="74"/>
      <c r="F1211" s="74"/>
      <c r="G1211" s="76">
        <v>200</v>
      </c>
      <c r="H1211" s="76">
        <f t="shared" si="50"/>
        <v>200</v>
      </c>
      <c r="I1211" s="73"/>
      <c r="J1211" s="73"/>
      <c r="K1211" s="73"/>
      <c r="L1211" s="73"/>
      <c r="M1211" s="73"/>
    </row>
    <row r="1212" spans="1:13" ht="15" customHeight="1" x14ac:dyDescent="0.2">
      <c r="A1212" s="249">
        <v>6</v>
      </c>
      <c r="B1212" s="147">
        <v>30</v>
      </c>
      <c r="C1212" s="61">
        <v>54313</v>
      </c>
      <c r="D1212" s="62" t="s">
        <v>11</v>
      </c>
      <c r="E1212" s="74"/>
      <c r="F1212" s="74"/>
      <c r="G1212" s="76">
        <v>500</v>
      </c>
      <c r="H1212" s="76">
        <f t="shared" si="50"/>
        <v>500</v>
      </c>
      <c r="I1212" s="73"/>
      <c r="J1212" s="73"/>
      <c r="K1212" s="73"/>
      <c r="L1212" s="73"/>
      <c r="M1212" s="73"/>
    </row>
    <row r="1213" spans="1:13" ht="15" customHeight="1" x14ac:dyDescent="0.2">
      <c r="A1213" s="249">
        <v>6</v>
      </c>
      <c r="B1213" s="147">
        <v>30</v>
      </c>
      <c r="C1213" s="61">
        <v>54399</v>
      </c>
      <c r="D1213" s="62" t="s">
        <v>153</v>
      </c>
      <c r="E1213" s="74"/>
      <c r="F1213" s="74"/>
      <c r="G1213" s="76">
        <v>100</v>
      </c>
      <c r="H1213" s="76">
        <f t="shared" si="50"/>
        <v>100</v>
      </c>
      <c r="I1213" s="73"/>
      <c r="J1213" s="73"/>
      <c r="K1213" s="73"/>
      <c r="L1213" s="73"/>
      <c r="M1213" s="73"/>
    </row>
    <row r="1214" spans="1:13" ht="15" customHeight="1" x14ac:dyDescent="0.2">
      <c r="A1214" s="249">
        <v>6</v>
      </c>
      <c r="B1214" s="147">
        <v>30</v>
      </c>
      <c r="C1214" s="61">
        <v>54503</v>
      </c>
      <c r="D1214" s="62" t="s">
        <v>437</v>
      </c>
      <c r="E1214" s="74"/>
      <c r="F1214" s="74"/>
      <c r="G1214" s="76">
        <v>1200</v>
      </c>
      <c r="H1214" s="76">
        <f t="shared" si="50"/>
        <v>1200</v>
      </c>
      <c r="I1214" s="73"/>
      <c r="J1214" s="73"/>
      <c r="K1214" s="73"/>
      <c r="L1214" s="73"/>
      <c r="M1214" s="73"/>
    </row>
    <row r="1215" spans="1:13" ht="15" customHeight="1" x14ac:dyDescent="0.2">
      <c r="A1215" s="249">
        <v>6</v>
      </c>
      <c r="B1215" s="147">
        <v>30</v>
      </c>
      <c r="C1215" s="61" t="s">
        <v>551</v>
      </c>
      <c r="D1215" s="62" t="s">
        <v>294</v>
      </c>
      <c r="E1215" s="74"/>
      <c r="F1215" s="74"/>
      <c r="G1215" s="76">
        <v>1300</v>
      </c>
      <c r="H1215" s="76">
        <f t="shared" si="50"/>
        <v>1300</v>
      </c>
      <c r="I1215" s="73"/>
      <c r="J1215" s="73"/>
      <c r="K1215" s="73"/>
      <c r="L1215" s="73"/>
      <c r="M1215" s="73"/>
    </row>
    <row r="1216" spans="1:13" ht="15" customHeight="1" x14ac:dyDescent="0.2">
      <c r="A1216" s="249">
        <v>6</v>
      </c>
      <c r="B1216" s="147">
        <v>30</v>
      </c>
      <c r="C1216" s="61">
        <v>61101</v>
      </c>
      <c r="D1216" s="62" t="s">
        <v>144</v>
      </c>
      <c r="E1216" s="74"/>
      <c r="F1216" s="74"/>
      <c r="G1216" s="76">
        <v>700</v>
      </c>
      <c r="H1216" s="76">
        <f t="shared" si="50"/>
        <v>700</v>
      </c>
      <c r="I1216" s="73"/>
      <c r="J1216" s="73"/>
      <c r="K1216" s="73"/>
      <c r="L1216" s="73"/>
      <c r="M1216" s="73"/>
    </row>
    <row r="1217" spans="1:18" ht="15" customHeight="1" x14ac:dyDescent="0.2">
      <c r="A1217" s="249">
        <v>6</v>
      </c>
      <c r="B1217" s="147">
        <v>30</v>
      </c>
      <c r="C1217" s="134">
        <v>61102</v>
      </c>
      <c r="D1217" s="135" t="s">
        <v>28</v>
      </c>
      <c r="E1217" s="136"/>
      <c r="F1217" s="136"/>
      <c r="G1217" s="262">
        <v>2500</v>
      </c>
      <c r="H1217" s="262">
        <f t="shared" si="50"/>
        <v>2500</v>
      </c>
      <c r="I1217" s="73"/>
      <c r="J1217" s="73"/>
      <c r="K1217" s="73"/>
      <c r="L1217" s="73"/>
      <c r="M1217" s="73"/>
    </row>
    <row r="1218" spans="1:18" ht="15" customHeight="1" x14ac:dyDescent="0.2">
      <c r="A1218" s="249">
        <v>6</v>
      </c>
      <c r="B1218" s="147">
        <v>30</v>
      </c>
      <c r="C1218" s="61">
        <v>61104</v>
      </c>
      <c r="D1218" s="62" t="s">
        <v>46</v>
      </c>
      <c r="E1218" s="74"/>
      <c r="F1218" s="74"/>
      <c r="G1218" s="76">
        <v>600</v>
      </c>
      <c r="H1218" s="76">
        <f t="shared" si="50"/>
        <v>600</v>
      </c>
      <c r="I1218" s="73"/>
      <c r="J1218" s="73"/>
      <c r="K1218" s="73"/>
      <c r="L1218" s="73"/>
      <c r="M1218" s="73"/>
    </row>
    <row r="1219" spans="1:18" ht="15" customHeight="1" x14ac:dyDescent="0.2">
      <c r="A1219" s="249">
        <v>6</v>
      </c>
      <c r="B1219" s="147">
        <v>30</v>
      </c>
      <c r="C1219" s="61">
        <v>61199</v>
      </c>
      <c r="D1219" s="62" t="s">
        <v>512</v>
      </c>
      <c r="E1219" s="74"/>
      <c r="F1219" s="74"/>
      <c r="G1219" s="76">
        <v>2000</v>
      </c>
      <c r="H1219" s="76">
        <f t="shared" si="50"/>
        <v>2000</v>
      </c>
      <c r="I1219" s="73"/>
      <c r="J1219" s="73"/>
      <c r="K1219" s="73"/>
      <c r="L1219" s="73"/>
      <c r="M1219" s="73"/>
    </row>
    <row r="1220" spans="1:18" ht="15" customHeight="1" x14ac:dyDescent="0.2">
      <c r="A1220" s="249">
        <v>6</v>
      </c>
      <c r="B1220" s="147" t="s">
        <v>571</v>
      </c>
      <c r="C1220" s="61"/>
      <c r="D1220" s="61" t="s">
        <v>14</v>
      </c>
      <c r="E1220" s="83">
        <f>SUM(E1189:E1219)</f>
        <v>10000</v>
      </c>
      <c r="F1220" s="83">
        <f>SUM(F1189:F1218)</f>
        <v>0</v>
      </c>
      <c r="G1220" s="83">
        <f>SUM(G1189:G1219)</f>
        <v>49300.869999999995</v>
      </c>
      <c r="H1220" s="83">
        <f>E1220+F1220+G1220</f>
        <v>59300.869999999995</v>
      </c>
      <c r="I1220" s="73"/>
      <c r="J1220" s="73"/>
      <c r="K1220" s="73"/>
      <c r="L1220" s="73"/>
      <c r="M1220" s="73"/>
      <c r="O1220" s="258"/>
      <c r="P1220" s="259"/>
    </row>
    <row r="1221" spans="1:18" ht="15" customHeight="1" x14ac:dyDescent="0.2">
      <c r="A1221" s="249" t="s">
        <v>387</v>
      </c>
      <c r="B1221" s="147" t="s">
        <v>387</v>
      </c>
      <c r="C1221" s="148"/>
      <c r="D1221" s="148"/>
      <c r="E1221" s="260"/>
      <c r="F1221" s="260"/>
      <c r="G1221" s="261"/>
      <c r="H1221" s="261"/>
      <c r="O1221" s="258"/>
      <c r="P1221" s="259"/>
      <c r="Q1221" s="147" t="s">
        <v>590</v>
      </c>
      <c r="R1221" s="259">
        <f>+H1220-P1221</f>
        <v>59300.869999999995</v>
      </c>
    </row>
    <row r="1222" spans="1:18" ht="15" customHeight="1" x14ac:dyDescent="0.2">
      <c r="A1222" s="249" t="s">
        <v>387</v>
      </c>
      <c r="B1222" s="147" t="s">
        <v>387</v>
      </c>
      <c r="C1222" s="148"/>
      <c r="D1222" s="148"/>
      <c r="E1222" s="260"/>
      <c r="F1222" s="260"/>
      <c r="G1222" s="261"/>
      <c r="H1222" s="261"/>
      <c r="O1222" s="258"/>
    </row>
    <row r="1223" spans="1:18" ht="15" customHeight="1" x14ac:dyDescent="0.2">
      <c r="A1223" s="249" t="s">
        <v>387</v>
      </c>
      <c r="B1223" s="147" t="s">
        <v>387</v>
      </c>
      <c r="C1223" s="369"/>
      <c r="D1223" s="369"/>
      <c r="E1223" s="369"/>
      <c r="F1223" s="369"/>
      <c r="G1223" s="369"/>
      <c r="H1223" s="369"/>
    </row>
    <row r="1224" spans="1:18" ht="15" customHeight="1" x14ac:dyDescent="0.2">
      <c r="A1224" s="249" t="s">
        <v>387</v>
      </c>
      <c r="B1224" s="147" t="s">
        <v>387</v>
      </c>
      <c r="C1224" s="427" t="s">
        <v>119</v>
      </c>
      <c r="D1224" s="427"/>
      <c r="E1224" s="427"/>
      <c r="F1224" s="427"/>
      <c r="G1224" s="427"/>
      <c r="H1224" s="427"/>
    </row>
    <row r="1225" spans="1:18" ht="15" customHeight="1" x14ac:dyDescent="0.2">
      <c r="A1225" s="249" t="s">
        <v>387</v>
      </c>
      <c r="B1225" s="147" t="s">
        <v>387</v>
      </c>
      <c r="C1225" s="428" t="str">
        <f>C3</f>
        <v xml:space="preserve"> PRESUPUESTO AÑO 2024</v>
      </c>
      <c r="D1225" s="428"/>
      <c r="E1225" s="428"/>
      <c r="F1225" s="428"/>
      <c r="G1225" s="428"/>
      <c r="H1225" s="428"/>
    </row>
    <row r="1226" spans="1:18" ht="15" customHeight="1" x14ac:dyDescent="0.2">
      <c r="A1226" s="249" t="s">
        <v>387</v>
      </c>
      <c r="B1226" s="147" t="s">
        <v>387</v>
      </c>
      <c r="C1226" s="428" t="str">
        <f>C4</f>
        <v>PRESUPUESTO EXTRA CONTABLE</v>
      </c>
      <c r="D1226" s="428"/>
      <c r="E1226" s="428"/>
      <c r="F1226" s="428"/>
      <c r="G1226" s="428"/>
      <c r="H1226" s="428"/>
    </row>
    <row r="1227" spans="1:18" ht="15" customHeight="1" x14ac:dyDescent="0.2">
      <c r="A1227" s="249" t="s">
        <v>387</v>
      </c>
      <c r="B1227" s="147" t="s">
        <v>387</v>
      </c>
      <c r="C1227" s="427" t="s">
        <v>117</v>
      </c>
      <c r="D1227" s="427"/>
      <c r="E1227" s="427"/>
      <c r="F1227" s="427"/>
      <c r="G1227" s="427"/>
      <c r="H1227" s="427"/>
    </row>
    <row r="1228" spans="1:18" ht="15" customHeight="1" x14ac:dyDescent="0.2">
      <c r="A1228" s="249" t="s">
        <v>387</v>
      </c>
      <c r="B1228" s="147" t="s">
        <v>387</v>
      </c>
      <c r="C1228" s="427" t="s">
        <v>371</v>
      </c>
      <c r="D1228" s="427"/>
      <c r="E1228" s="427"/>
      <c r="F1228" s="427"/>
      <c r="G1228" s="427"/>
      <c r="H1228" s="427"/>
    </row>
    <row r="1229" spans="1:18" ht="15" customHeight="1" x14ac:dyDescent="0.2">
      <c r="A1229" s="249" t="s">
        <v>387</v>
      </c>
      <c r="B1229" s="147" t="s">
        <v>387</v>
      </c>
      <c r="C1229" s="430" t="s">
        <v>1</v>
      </c>
      <c r="D1229" s="430" t="s">
        <v>0</v>
      </c>
      <c r="E1229" s="255" t="s">
        <v>56</v>
      </c>
      <c r="F1229" s="255" t="str">
        <f>F7</f>
        <v>REFORMA</v>
      </c>
      <c r="G1229" s="255" t="s">
        <v>56</v>
      </c>
      <c r="H1229" s="432" t="str">
        <f>$H$7</f>
        <v>TOTAL 2024</v>
      </c>
      <c r="I1229" s="153" t="s">
        <v>285</v>
      </c>
      <c r="J1229" s="153"/>
      <c r="K1229" s="153"/>
      <c r="L1229" s="153"/>
      <c r="M1229" s="153"/>
    </row>
    <row r="1230" spans="1:18" ht="15" customHeight="1" x14ac:dyDescent="0.2">
      <c r="A1230" s="249" t="s">
        <v>387</v>
      </c>
      <c r="B1230" s="147" t="s">
        <v>387</v>
      </c>
      <c r="C1230" s="431"/>
      <c r="D1230" s="431"/>
      <c r="E1230" s="255" t="s">
        <v>139</v>
      </c>
      <c r="F1230" s="255"/>
      <c r="G1230" s="255" t="s">
        <v>140</v>
      </c>
      <c r="H1230" s="433"/>
      <c r="I1230" s="153" t="s">
        <v>286</v>
      </c>
      <c r="J1230" s="153" t="s">
        <v>290</v>
      </c>
      <c r="K1230" s="153" t="s">
        <v>291</v>
      </c>
      <c r="L1230" s="153" t="s">
        <v>293</v>
      </c>
      <c r="M1230" s="153" t="s">
        <v>292</v>
      </c>
    </row>
    <row r="1231" spans="1:18" ht="15" customHeight="1" x14ac:dyDescent="0.2">
      <c r="A1231" s="249">
        <v>6</v>
      </c>
      <c r="B1231" s="147">
        <v>32</v>
      </c>
      <c r="C1231" s="61">
        <v>51101</v>
      </c>
      <c r="D1231" s="73" t="s">
        <v>15</v>
      </c>
      <c r="E1231" s="74"/>
      <c r="F1231" s="74"/>
      <c r="G1231" s="272">
        <v>58560</v>
      </c>
      <c r="H1231" s="76">
        <f t="shared" ref="H1231:H1251" si="51">E1231+F1231+G1231</f>
        <v>58560</v>
      </c>
      <c r="I1231" s="73"/>
      <c r="J1231" s="73"/>
      <c r="K1231" s="73"/>
      <c r="L1231" s="73"/>
      <c r="M1231" s="73"/>
    </row>
    <row r="1232" spans="1:18" ht="15" customHeight="1" x14ac:dyDescent="0.2">
      <c r="A1232" s="249">
        <v>6</v>
      </c>
      <c r="B1232" s="147">
        <v>32</v>
      </c>
      <c r="C1232" s="61">
        <v>51103</v>
      </c>
      <c r="D1232" s="73" t="s">
        <v>16</v>
      </c>
      <c r="E1232" s="76"/>
      <c r="F1232" s="76"/>
      <c r="G1232" s="272">
        <v>4880</v>
      </c>
      <c r="H1232" s="76">
        <f t="shared" si="51"/>
        <v>4880</v>
      </c>
      <c r="I1232" s="73"/>
      <c r="J1232" s="73"/>
      <c r="K1232" s="73"/>
      <c r="L1232" s="73"/>
      <c r="M1232" s="73"/>
    </row>
    <row r="1233" spans="1:15" ht="15" customHeight="1" x14ac:dyDescent="0.2">
      <c r="A1233" s="249">
        <v>6</v>
      </c>
      <c r="B1233" s="147">
        <v>32</v>
      </c>
      <c r="C1233" s="61">
        <v>51107</v>
      </c>
      <c r="D1233" s="73" t="s">
        <v>34</v>
      </c>
      <c r="E1233" s="76"/>
      <c r="F1233" s="76"/>
      <c r="G1233" s="272">
        <v>2200</v>
      </c>
      <c r="H1233" s="76">
        <f t="shared" si="51"/>
        <v>2200</v>
      </c>
      <c r="I1233" s="73"/>
      <c r="J1233" s="73"/>
      <c r="K1233" s="73"/>
      <c r="L1233" s="73"/>
      <c r="M1233" s="73"/>
    </row>
    <row r="1234" spans="1:15" ht="15" customHeight="1" x14ac:dyDescent="0.2">
      <c r="A1234" s="249">
        <v>6</v>
      </c>
      <c r="B1234" s="147">
        <v>32</v>
      </c>
      <c r="C1234" s="61">
        <v>51401</v>
      </c>
      <c r="D1234" s="62" t="s">
        <v>47</v>
      </c>
      <c r="E1234" s="74"/>
      <c r="F1234" s="74"/>
      <c r="G1234" s="272">
        <v>4977.6000000000004</v>
      </c>
      <c r="H1234" s="76">
        <f t="shared" si="51"/>
        <v>4977.6000000000004</v>
      </c>
      <c r="I1234" s="73"/>
      <c r="J1234" s="73"/>
      <c r="K1234" s="73"/>
      <c r="L1234" s="73"/>
      <c r="M1234" s="73"/>
      <c r="O1234" s="257"/>
    </row>
    <row r="1235" spans="1:15" ht="15" customHeight="1" x14ac:dyDescent="0.2">
      <c r="A1235" s="249">
        <v>6</v>
      </c>
      <c r="B1235" s="147">
        <v>32</v>
      </c>
      <c r="C1235" s="61">
        <v>51501</v>
      </c>
      <c r="D1235" s="73" t="s">
        <v>29</v>
      </c>
      <c r="E1235" s="74"/>
      <c r="F1235" s="74"/>
      <c r="G1235" s="272">
        <v>5124</v>
      </c>
      <c r="H1235" s="76">
        <f t="shared" si="51"/>
        <v>5124</v>
      </c>
      <c r="I1235" s="73"/>
      <c r="J1235" s="73"/>
      <c r="K1235" s="73"/>
      <c r="L1235" s="73"/>
      <c r="M1235" s="73"/>
    </row>
    <row r="1236" spans="1:15" ht="15" customHeight="1" x14ac:dyDescent="0.2">
      <c r="A1236" s="249">
        <v>6</v>
      </c>
      <c r="B1236" s="147">
        <v>32</v>
      </c>
      <c r="C1236" s="61">
        <v>54104</v>
      </c>
      <c r="D1236" s="73" t="s">
        <v>17</v>
      </c>
      <c r="E1236" s="74"/>
      <c r="F1236" s="74"/>
      <c r="G1236" s="76">
        <v>400</v>
      </c>
      <c r="H1236" s="76">
        <f t="shared" si="51"/>
        <v>400</v>
      </c>
      <c r="I1236" s="73"/>
      <c r="J1236" s="73"/>
      <c r="K1236" s="73"/>
      <c r="L1236" s="73"/>
      <c r="M1236" s="73"/>
    </row>
    <row r="1237" spans="1:15" ht="15" customHeight="1" x14ac:dyDescent="0.2">
      <c r="A1237" s="249">
        <v>6</v>
      </c>
      <c r="B1237" s="147">
        <v>32</v>
      </c>
      <c r="C1237" s="61">
        <v>54105</v>
      </c>
      <c r="D1237" s="73" t="s">
        <v>3</v>
      </c>
      <c r="E1237" s="74"/>
      <c r="F1237" s="74"/>
      <c r="G1237" s="76">
        <v>1000</v>
      </c>
      <c r="H1237" s="76">
        <f t="shared" si="51"/>
        <v>1000</v>
      </c>
      <c r="I1237" s="73"/>
      <c r="J1237" s="73"/>
      <c r="K1237" s="73"/>
      <c r="L1237" s="73"/>
      <c r="M1237" s="73"/>
    </row>
    <row r="1238" spans="1:15" ht="15" customHeight="1" x14ac:dyDescent="0.2">
      <c r="A1238" s="249">
        <v>6</v>
      </c>
      <c r="B1238" s="147">
        <v>32</v>
      </c>
      <c r="C1238" s="61">
        <v>54111</v>
      </c>
      <c r="D1238" s="73" t="s">
        <v>162</v>
      </c>
      <c r="E1238" s="74"/>
      <c r="F1238" s="74"/>
      <c r="G1238" s="76">
        <v>100</v>
      </c>
      <c r="H1238" s="76">
        <f t="shared" si="51"/>
        <v>100</v>
      </c>
      <c r="I1238" s="73"/>
      <c r="J1238" s="73"/>
      <c r="K1238" s="73"/>
      <c r="L1238" s="73"/>
      <c r="M1238" s="73"/>
    </row>
    <row r="1239" spans="1:15" ht="15" customHeight="1" x14ac:dyDescent="0.2">
      <c r="A1239" s="249">
        <v>6</v>
      </c>
      <c r="B1239" s="147">
        <v>32</v>
      </c>
      <c r="C1239" s="61">
        <v>54112</v>
      </c>
      <c r="D1239" s="73" t="s">
        <v>42</v>
      </c>
      <c r="E1239" s="74"/>
      <c r="F1239" s="74"/>
      <c r="G1239" s="76">
        <v>100</v>
      </c>
      <c r="H1239" s="76">
        <f t="shared" si="51"/>
        <v>100</v>
      </c>
      <c r="I1239" s="73"/>
      <c r="J1239" s="73"/>
      <c r="K1239" s="73"/>
      <c r="L1239" s="73"/>
      <c r="M1239" s="73"/>
    </row>
    <row r="1240" spans="1:15" ht="15" customHeight="1" x14ac:dyDescent="0.2">
      <c r="A1240" s="249">
        <v>6</v>
      </c>
      <c r="B1240" s="147">
        <v>32</v>
      </c>
      <c r="C1240" s="61">
        <v>54114</v>
      </c>
      <c r="D1240" s="73" t="s">
        <v>5</v>
      </c>
      <c r="E1240" s="74"/>
      <c r="F1240" s="74"/>
      <c r="G1240" s="76">
        <v>900</v>
      </c>
      <c r="H1240" s="76">
        <f t="shared" si="51"/>
        <v>900</v>
      </c>
      <c r="I1240" s="73"/>
      <c r="J1240" s="73"/>
      <c r="K1240" s="73"/>
      <c r="L1240" s="73"/>
      <c r="M1240" s="73"/>
    </row>
    <row r="1241" spans="1:15" ht="15" customHeight="1" x14ac:dyDescent="0.2">
      <c r="A1241" s="249">
        <v>6</v>
      </c>
      <c r="B1241" s="147">
        <v>32</v>
      </c>
      <c r="C1241" s="61">
        <v>54115</v>
      </c>
      <c r="D1241" s="73" t="s">
        <v>49</v>
      </c>
      <c r="E1241" s="74"/>
      <c r="F1241" s="74"/>
      <c r="G1241" s="76">
        <v>1600</v>
      </c>
      <c r="H1241" s="76">
        <f t="shared" si="51"/>
        <v>1600</v>
      </c>
      <c r="I1241" s="73"/>
      <c r="J1241" s="73"/>
      <c r="K1241" s="73"/>
      <c r="L1241" s="73"/>
      <c r="M1241" s="73"/>
    </row>
    <row r="1242" spans="1:15" ht="15" customHeight="1" x14ac:dyDescent="0.2">
      <c r="A1242" s="249">
        <v>6</v>
      </c>
      <c r="B1242" s="147">
        <v>32</v>
      </c>
      <c r="C1242" s="61">
        <v>54116</v>
      </c>
      <c r="D1242" s="62" t="s">
        <v>167</v>
      </c>
      <c r="E1242" s="74"/>
      <c r="F1242" s="74"/>
      <c r="G1242" s="76">
        <v>150</v>
      </c>
      <c r="H1242" s="76">
        <f t="shared" si="51"/>
        <v>150</v>
      </c>
      <c r="I1242" s="73"/>
      <c r="J1242" s="73"/>
      <c r="K1242" s="73"/>
      <c r="L1242" s="73"/>
      <c r="M1242" s="73"/>
    </row>
    <row r="1243" spans="1:15" ht="15" customHeight="1" x14ac:dyDescent="0.2">
      <c r="A1243" s="249">
        <v>6</v>
      </c>
      <c r="B1243" s="147">
        <v>32</v>
      </c>
      <c r="C1243" s="61">
        <v>54119</v>
      </c>
      <c r="D1243" s="62" t="s">
        <v>44</v>
      </c>
      <c r="E1243" s="76"/>
      <c r="F1243" s="76"/>
      <c r="G1243" s="76">
        <v>100</v>
      </c>
      <c r="H1243" s="76">
        <f t="shared" si="51"/>
        <v>100</v>
      </c>
      <c r="I1243" s="73"/>
      <c r="J1243" s="73"/>
      <c r="K1243" s="73"/>
      <c r="L1243" s="73"/>
      <c r="M1243" s="73"/>
    </row>
    <row r="1244" spans="1:15" ht="15" customHeight="1" x14ac:dyDescent="0.2">
      <c r="A1244" s="249">
        <v>6</v>
      </c>
      <c r="B1244" s="147">
        <v>32</v>
      </c>
      <c r="C1244" s="61" t="s">
        <v>552</v>
      </c>
      <c r="D1244" s="62" t="s">
        <v>8</v>
      </c>
      <c r="E1244" s="76"/>
      <c r="F1244" s="76"/>
      <c r="G1244" s="76">
        <v>300</v>
      </c>
      <c r="H1244" s="76">
        <f t="shared" si="51"/>
        <v>300</v>
      </c>
      <c r="I1244" s="73"/>
      <c r="J1244" s="73"/>
      <c r="K1244" s="73"/>
      <c r="L1244" s="73"/>
      <c r="M1244" s="73"/>
    </row>
    <row r="1245" spans="1:15" ht="15" customHeight="1" x14ac:dyDescent="0.2">
      <c r="A1245" s="249">
        <v>6</v>
      </c>
      <c r="B1245" s="147">
        <v>32</v>
      </c>
      <c r="C1245" s="61">
        <v>54313</v>
      </c>
      <c r="D1245" s="62" t="s">
        <v>11</v>
      </c>
      <c r="E1245" s="76"/>
      <c r="F1245" s="76"/>
      <c r="G1245" s="76">
        <v>500</v>
      </c>
      <c r="H1245" s="76">
        <f t="shared" si="51"/>
        <v>500</v>
      </c>
      <c r="I1245" s="73"/>
      <c r="J1245" s="73"/>
      <c r="K1245" s="73"/>
      <c r="L1245" s="73"/>
      <c r="M1245" s="73"/>
    </row>
    <row r="1246" spans="1:15" ht="15" customHeight="1" x14ac:dyDescent="0.2">
      <c r="A1246" s="249">
        <v>6</v>
      </c>
      <c r="B1246" s="147">
        <v>32</v>
      </c>
      <c r="C1246" s="61">
        <v>54401</v>
      </c>
      <c r="D1246" s="73" t="s">
        <v>30</v>
      </c>
      <c r="E1246" s="74"/>
      <c r="F1246" s="74"/>
      <c r="G1246" s="76">
        <v>800</v>
      </c>
      <c r="H1246" s="76">
        <f t="shared" si="51"/>
        <v>800</v>
      </c>
      <c r="I1246" s="73"/>
      <c r="J1246" s="73"/>
      <c r="K1246" s="73"/>
      <c r="L1246" s="73"/>
      <c r="M1246" s="73"/>
    </row>
    <row r="1247" spans="1:15" ht="15" customHeight="1" x14ac:dyDescent="0.2">
      <c r="A1247" s="249">
        <v>6</v>
      </c>
      <c r="B1247" s="147">
        <v>32</v>
      </c>
      <c r="C1247" s="61">
        <v>54505</v>
      </c>
      <c r="D1247" s="73" t="s">
        <v>40</v>
      </c>
      <c r="E1247" s="74"/>
      <c r="F1247" s="74"/>
      <c r="G1247" s="76">
        <v>600</v>
      </c>
      <c r="H1247" s="76">
        <f t="shared" si="51"/>
        <v>600</v>
      </c>
      <c r="I1247" s="73"/>
      <c r="J1247" s="73"/>
      <c r="K1247" s="73"/>
      <c r="L1247" s="73"/>
      <c r="M1247" s="73"/>
    </row>
    <row r="1248" spans="1:15" ht="15" customHeight="1" x14ac:dyDescent="0.2">
      <c r="A1248" s="249">
        <v>6</v>
      </c>
      <c r="B1248" s="147">
        <v>32</v>
      </c>
      <c r="C1248" s="61">
        <v>61101</v>
      </c>
      <c r="D1248" s="62" t="s">
        <v>144</v>
      </c>
      <c r="E1248" s="74"/>
      <c r="F1248" s="74"/>
      <c r="G1248" s="74">
        <v>3000</v>
      </c>
      <c r="H1248" s="76">
        <f t="shared" si="51"/>
        <v>3000</v>
      </c>
      <c r="I1248" s="73"/>
      <c r="J1248" s="73"/>
      <c r="K1248" s="73"/>
      <c r="L1248" s="73"/>
      <c r="M1248" s="73"/>
    </row>
    <row r="1249" spans="1:18" ht="15" customHeight="1" x14ac:dyDescent="0.2">
      <c r="A1249" s="249">
        <v>6</v>
      </c>
      <c r="B1249" s="147">
        <v>32</v>
      </c>
      <c r="C1249" s="61">
        <v>61102</v>
      </c>
      <c r="D1249" s="62" t="s">
        <v>28</v>
      </c>
      <c r="E1249" s="74"/>
      <c r="F1249" s="74"/>
      <c r="G1249" s="74">
        <v>100</v>
      </c>
      <c r="H1249" s="76">
        <f t="shared" si="51"/>
        <v>100</v>
      </c>
      <c r="I1249" s="73"/>
      <c r="J1249" s="73"/>
      <c r="K1249" s="73"/>
      <c r="L1249" s="73"/>
      <c r="M1249" s="73"/>
    </row>
    <row r="1250" spans="1:18" ht="15" customHeight="1" x14ac:dyDescent="0.2">
      <c r="A1250" s="249">
        <v>6</v>
      </c>
      <c r="B1250" s="147">
        <v>32</v>
      </c>
      <c r="C1250" s="61">
        <v>61104</v>
      </c>
      <c r="D1250" s="73" t="s">
        <v>46</v>
      </c>
      <c r="E1250" s="74"/>
      <c r="F1250" s="74"/>
      <c r="G1250" s="76">
        <v>1000</v>
      </c>
      <c r="H1250" s="76">
        <f t="shared" si="51"/>
        <v>1000</v>
      </c>
      <c r="I1250" s="73"/>
      <c r="J1250" s="73"/>
      <c r="K1250" s="73"/>
      <c r="L1250" s="73"/>
      <c r="M1250" s="73"/>
    </row>
    <row r="1251" spans="1:18" ht="15" customHeight="1" x14ac:dyDescent="0.2">
      <c r="A1251" s="249">
        <v>6</v>
      </c>
      <c r="B1251" s="147" t="s">
        <v>573</v>
      </c>
      <c r="C1251" s="61"/>
      <c r="D1251" s="61" t="s">
        <v>14</v>
      </c>
      <c r="E1251" s="83">
        <f>SUM(E1231:E1250)</f>
        <v>0</v>
      </c>
      <c r="F1251" s="83">
        <f>SUM(F1231:F1250)</f>
        <v>0</v>
      </c>
      <c r="G1251" s="83">
        <f>SUM(G1231:G1250)</f>
        <v>86391.6</v>
      </c>
      <c r="H1251" s="83">
        <f t="shared" si="51"/>
        <v>86391.6</v>
      </c>
      <c r="I1251" s="73"/>
      <c r="J1251" s="73"/>
      <c r="K1251" s="73"/>
      <c r="L1251" s="73"/>
      <c r="M1251" s="73"/>
      <c r="O1251" s="258"/>
      <c r="P1251" s="259"/>
    </row>
    <row r="1252" spans="1:18" ht="15" customHeight="1" x14ac:dyDescent="0.2">
      <c r="A1252" s="249" t="s">
        <v>387</v>
      </c>
      <c r="B1252" s="147" t="s">
        <v>387</v>
      </c>
      <c r="C1252" s="148"/>
      <c r="D1252" s="148"/>
      <c r="E1252" s="260"/>
      <c r="F1252" s="260"/>
      <c r="G1252" s="261"/>
      <c r="H1252" s="261"/>
      <c r="O1252" s="258"/>
      <c r="P1252" s="259"/>
      <c r="R1252" s="259"/>
    </row>
    <row r="1253" spans="1:18" ht="15" customHeight="1" x14ac:dyDescent="0.2">
      <c r="A1253" s="249" t="s">
        <v>387</v>
      </c>
      <c r="B1253" s="147" t="s">
        <v>387</v>
      </c>
      <c r="C1253" s="148"/>
      <c r="D1253" s="148"/>
      <c r="E1253" s="260"/>
      <c r="F1253" s="260"/>
      <c r="G1253" s="261"/>
      <c r="H1253" s="261"/>
      <c r="O1253" s="258"/>
    </row>
    <row r="1254" spans="1:18" ht="15" customHeight="1" x14ac:dyDescent="0.2">
      <c r="A1254" s="249" t="s">
        <v>387</v>
      </c>
      <c r="B1254" s="147" t="s">
        <v>387</v>
      </c>
      <c r="C1254" s="427"/>
      <c r="D1254" s="427"/>
      <c r="E1254" s="427"/>
      <c r="F1254" s="427"/>
      <c r="G1254" s="427"/>
      <c r="H1254" s="427"/>
    </row>
    <row r="1255" spans="1:18" ht="15" customHeight="1" x14ac:dyDescent="0.2">
      <c r="A1255" s="249" t="s">
        <v>387</v>
      </c>
      <c r="B1255" s="147" t="s">
        <v>387</v>
      </c>
      <c r="C1255" s="427" t="s">
        <v>119</v>
      </c>
      <c r="D1255" s="427"/>
      <c r="E1255" s="427"/>
      <c r="F1255" s="427"/>
      <c r="G1255" s="427"/>
      <c r="H1255" s="427"/>
    </row>
    <row r="1256" spans="1:18" ht="15" customHeight="1" x14ac:dyDescent="0.2">
      <c r="A1256" s="249" t="s">
        <v>387</v>
      </c>
      <c r="B1256" s="147" t="s">
        <v>387</v>
      </c>
      <c r="C1256" s="428" t="str">
        <f>C3</f>
        <v xml:space="preserve"> PRESUPUESTO AÑO 2024</v>
      </c>
      <c r="D1256" s="428"/>
      <c r="E1256" s="428"/>
      <c r="F1256" s="428"/>
      <c r="G1256" s="428"/>
      <c r="H1256" s="428"/>
    </row>
    <row r="1257" spans="1:18" ht="15" customHeight="1" x14ac:dyDescent="0.2">
      <c r="A1257" s="249" t="s">
        <v>387</v>
      </c>
      <c r="B1257" s="147" t="s">
        <v>387</v>
      </c>
      <c r="C1257" s="428" t="str">
        <f>C4</f>
        <v>PRESUPUESTO EXTRA CONTABLE</v>
      </c>
      <c r="D1257" s="428"/>
      <c r="E1257" s="428"/>
      <c r="F1257" s="428"/>
      <c r="G1257" s="428"/>
      <c r="H1257" s="428"/>
    </row>
    <row r="1258" spans="1:18" ht="15" customHeight="1" x14ac:dyDescent="0.2">
      <c r="A1258" s="249" t="s">
        <v>387</v>
      </c>
      <c r="B1258" s="147" t="s">
        <v>387</v>
      </c>
      <c r="C1258" s="427" t="s">
        <v>117</v>
      </c>
      <c r="D1258" s="427"/>
      <c r="E1258" s="427"/>
      <c r="F1258" s="427"/>
      <c r="G1258" s="427"/>
      <c r="H1258" s="427"/>
    </row>
    <row r="1259" spans="1:18" ht="15" customHeight="1" x14ac:dyDescent="0.2">
      <c r="A1259" s="249" t="s">
        <v>387</v>
      </c>
      <c r="B1259" s="147" t="s">
        <v>387</v>
      </c>
      <c r="C1259" s="427" t="s">
        <v>584</v>
      </c>
      <c r="D1259" s="427"/>
      <c r="E1259" s="427"/>
      <c r="F1259" s="427"/>
      <c r="G1259" s="427"/>
      <c r="H1259" s="427"/>
    </row>
    <row r="1260" spans="1:18" ht="15" customHeight="1" x14ac:dyDescent="0.2">
      <c r="A1260" s="249" t="s">
        <v>387</v>
      </c>
      <c r="B1260" s="147" t="s">
        <v>387</v>
      </c>
      <c r="C1260" s="430" t="s">
        <v>1</v>
      </c>
      <c r="D1260" s="430" t="s">
        <v>0</v>
      </c>
      <c r="E1260" s="255" t="s">
        <v>56</v>
      </c>
      <c r="F1260" s="255" t="str">
        <f>F7</f>
        <v>REFORMA</v>
      </c>
      <c r="G1260" s="255" t="s">
        <v>56</v>
      </c>
      <c r="H1260" s="432" t="str">
        <f>$H$7</f>
        <v>TOTAL 2024</v>
      </c>
      <c r="I1260" s="153" t="s">
        <v>285</v>
      </c>
      <c r="J1260" s="153"/>
      <c r="K1260" s="153"/>
      <c r="L1260" s="153"/>
      <c r="M1260" s="153"/>
    </row>
    <row r="1261" spans="1:18" ht="15" customHeight="1" x14ac:dyDescent="0.2">
      <c r="A1261" s="249" t="s">
        <v>387</v>
      </c>
      <c r="B1261" s="147" t="s">
        <v>387</v>
      </c>
      <c r="C1261" s="431"/>
      <c r="D1261" s="431"/>
      <c r="E1261" s="255" t="s">
        <v>139</v>
      </c>
      <c r="F1261" s="255"/>
      <c r="G1261" s="255" t="s">
        <v>140</v>
      </c>
      <c r="H1261" s="433"/>
      <c r="I1261" s="153" t="s">
        <v>286</v>
      </c>
      <c r="J1261" s="153" t="s">
        <v>290</v>
      </c>
      <c r="K1261" s="153" t="s">
        <v>291</v>
      </c>
      <c r="L1261" s="153" t="s">
        <v>293</v>
      </c>
      <c r="M1261" s="153" t="s">
        <v>292</v>
      </c>
    </row>
    <row r="1262" spans="1:18" ht="15" customHeight="1" x14ac:dyDescent="0.2">
      <c r="A1262" s="249">
        <v>10</v>
      </c>
      <c r="B1262" s="147">
        <v>34</v>
      </c>
      <c r="C1262" s="61">
        <v>51101</v>
      </c>
      <c r="D1262" s="73" t="s">
        <v>15</v>
      </c>
      <c r="E1262" s="74"/>
      <c r="F1262" s="74"/>
      <c r="G1262" s="272">
        <f>+'[1]Presupuesto 2023 V9 01-09-2023'!$I$424</f>
        <v>45180</v>
      </c>
      <c r="H1262" s="76">
        <f t="shared" ref="H1262:H1295" si="52">E1262+F1262+G1262</f>
        <v>45180</v>
      </c>
      <c r="I1262" s="256"/>
      <c r="J1262" s="256"/>
      <c r="K1262" s="256"/>
      <c r="L1262" s="256"/>
      <c r="M1262" s="256"/>
    </row>
    <row r="1263" spans="1:18" ht="15" customHeight="1" x14ac:dyDescent="0.2">
      <c r="A1263" s="249">
        <v>10</v>
      </c>
      <c r="B1263" s="147">
        <v>34</v>
      </c>
      <c r="C1263" s="61">
        <v>51103</v>
      </c>
      <c r="D1263" s="73" t="s">
        <v>16</v>
      </c>
      <c r="E1263" s="76"/>
      <c r="F1263" s="76"/>
      <c r="G1263" s="272">
        <f>+'[1]Presupuesto 2023 V9 01-09-2023'!$G$433</f>
        <v>3765</v>
      </c>
      <c r="H1263" s="76">
        <f t="shared" si="52"/>
        <v>3765</v>
      </c>
      <c r="I1263" s="256"/>
      <c r="J1263" s="256"/>
      <c r="K1263" s="256"/>
      <c r="L1263" s="256"/>
      <c r="M1263" s="256"/>
    </row>
    <row r="1264" spans="1:18" ht="15" customHeight="1" x14ac:dyDescent="0.2">
      <c r="A1264" s="249">
        <v>10</v>
      </c>
      <c r="B1264" s="147">
        <v>34</v>
      </c>
      <c r="C1264" s="61">
        <v>51107</v>
      </c>
      <c r="D1264" s="73" t="s">
        <v>34</v>
      </c>
      <c r="E1264" s="76"/>
      <c r="F1264" s="76"/>
      <c r="G1264" s="272">
        <v>1800</v>
      </c>
      <c r="H1264" s="76">
        <f t="shared" si="52"/>
        <v>1800</v>
      </c>
      <c r="I1264" s="256"/>
      <c r="J1264" s="256"/>
      <c r="K1264" s="256"/>
      <c r="L1264" s="256"/>
      <c r="M1264" s="256"/>
    </row>
    <row r="1265" spans="1:15" ht="15" customHeight="1" x14ac:dyDescent="0.2">
      <c r="A1265" s="249">
        <v>10</v>
      </c>
      <c r="B1265" s="147">
        <v>34</v>
      </c>
      <c r="C1265" s="61">
        <v>51401</v>
      </c>
      <c r="D1265" s="62" t="s">
        <v>47</v>
      </c>
      <c r="E1265" s="74"/>
      <c r="F1265" s="74"/>
      <c r="G1265" s="272">
        <f>+'[1]Presupuesto 2023 V9 01-09-2023'!$I$427</f>
        <v>3840.3</v>
      </c>
      <c r="H1265" s="76">
        <f t="shared" si="52"/>
        <v>3840.3</v>
      </c>
      <c r="I1265" s="256"/>
      <c r="J1265" s="256"/>
      <c r="K1265" s="256"/>
      <c r="L1265" s="256"/>
      <c r="M1265" s="256"/>
      <c r="O1265" s="257"/>
    </row>
    <row r="1266" spans="1:15" ht="15" customHeight="1" x14ac:dyDescent="0.2">
      <c r="A1266" s="249">
        <v>10</v>
      </c>
      <c r="B1266" s="147">
        <v>34</v>
      </c>
      <c r="C1266" s="61">
        <v>51501</v>
      </c>
      <c r="D1266" s="73" t="s">
        <v>29</v>
      </c>
      <c r="E1266" s="74"/>
      <c r="F1266" s="74"/>
      <c r="G1266" s="272">
        <f>+'[1]Presupuesto 2023 V9 01-09-2023'!$I$426</f>
        <v>3559.5</v>
      </c>
      <c r="H1266" s="76">
        <f t="shared" si="52"/>
        <v>3559.5</v>
      </c>
      <c r="I1266" s="256"/>
      <c r="J1266" s="256"/>
      <c r="K1266" s="256"/>
      <c r="L1266" s="256"/>
      <c r="M1266" s="256"/>
    </row>
    <row r="1267" spans="1:15" ht="15" customHeight="1" x14ac:dyDescent="0.2">
      <c r="A1267" s="249">
        <v>10</v>
      </c>
      <c r="B1267" s="147">
        <v>34</v>
      </c>
      <c r="C1267" s="61">
        <v>54101</v>
      </c>
      <c r="D1267" s="73" t="s">
        <v>38</v>
      </c>
      <c r="E1267" s="74"/>
      <c r="F1267" s="74"/>
      <c r="G1267" s="76">
        <v>500</v>
      </c>
      <c r="H1267" s="76">
        <f t="shared" si="52"/>
        <v>500</v>
      </c>
      <c r="I1267" s="256"/>
      <c r="J1267" s="256"/>
      <c r="K1267" s="256"/>
      <c r="L1267" s="256"/>
      <c r="M1267" s="256"/>
    </row>
    <row r="1268" spans="1:15" ht="15" customHeight="1" x14ac:dyDescent="0.2">
      <c r="A1268" s="249">
        <v>10</v>
      </c>
      <c r="B1268" s="147">
        <v>34</v>
      </c>
      <c r="C1268" s="61">
        <v>54102</v>
      </c>
      <c r="D1268" s="73" t="s">
        <v>37</v>
      </c>
      <c r="E1268" s="74"/>
      <c r="F1268" s="74"/>
      <c r="G1268" s="76">
        <v>0</v>
      </c>
      <c r="H1268" s="76">
        <f t="shared" si="52"/>
        <v>0</v>
      </c>
      <c r="I1268" s="256"/>
      <c r="J1268" s="256"/>
      <c r="K1268" s="256"/>
      <c r="L1268" s="256"/>
      <c r="M1268" s="256"/>
    </row>
    <row r="1269" spans="1:15" ht="15" customHeight="1" x14ac:dyDescent="0.2">
      <c r="A1269" s="249">
        <v>10</v>
      </c>
      <c r="B1269" s="147">
        <v>34</v>
      </c>
      <c r="C1269" s="61">
        <v>54103</v>
      </c>
      <c r="D1269" s="73" t="s">
        <v>41</v>
      </c>
      <c r="E1269" s="74"/>
      <c r="F1269" s="74"/>
      <c r="G1269" s="76">
        <v>1500</v>
      </c>
      <c r="H1269" s="76">
        <f t="shared" si="52"/>
        <v>1500</v>
      </c>
      <c r="I1269" s="256"/>
      <c r="J1269" s="256"/>
      <c r="K1269" s="256"/>
      <c r="L1269" s="256"/>
      <c r="M1269" s="256"/>
    </row>
    <row r="1270" spans="1:15" ht="15" customHeight="1" x14ac:dyDescent="0.2">
      <c r="A1270" s="249">
        <v>10</v>
      </c>
      <c r="B1270" s="147">
        <v>34</v>
      </c>
      <c r="C1270" s="61">
        <v>54104</v>
      </c>
      <c r="D1270" s="73" t="s">
        <v>17</v>
      </c>
      <c r="E1270" s="74"/>
      <c r="F1270" s="74"/>
      <c r="G1270" s="74">
        <v>2500</v>
      </c>
      <c r="H1270" s="76">
        <f t="shared" si="52"/>
        <v>2500</v>
      </c>
      <c r="I1270" s="256"/>
      <c r="J1270" s="256"/>
      <c r="K1270" s="256"/>
      <c r="L1270" s="256"/>
      <c r="M1270" s="256"/>
    </row>
    <row r="1271" spans="1:15" ht="15" customHeight="1" x14ac:dyDescent="0.2">
      <c r="A1271" s="249">
        <v>10</v>
      </c>
      <c r="B1271" s="147">
        <v>34</v>
      </c>
      <c r="C1271" s="61">
        <v>54105</v>
      </c>
      <c r="D1271" s="62" t="s">
        <v>131</v>
      </c>
      <c r="E1271" s="74"/>
      <c r="F1271" s="74"/>
      <c r="G1271" s="76">
        <v>0</v>
      </c>
      <c r="H1271" s="76">
        <f t="shared" si="52"/>
        <v>0</v>
      </c>
      <c r="I1271" s="256"/>
      <c r="J1271" s="256"/>
      <c r="K1271" s="256"/>
      <c r="L1271" s="256"/>
      <c r="M1271" s="256"/>
    </row>
    <row r="1272" spans="1:15" ht="15" customHeight="1" x14ac:dyDescent="0.2">
      <c r="A1272" s="249">
        <v>10</v>
      </c>
      <c r="B1272" s="147">
        <v>34</v>
      </c>
      <c r="C1272" s="61">
        <v>54106</v>
      </c>
      <c r="D1272" s="73" t="s">
        <v>18</v>
      </c>
      <c r="E1272" s="74"/>
      <c r="F1272" s="74"/>
      <c r="G1272" s="76">
        <v>1000</v>
      </c>
      <c r="H1272" s="76">
        <f t="shared" si="52"/>
        <v>1000</v>
      </c>
      <c r="I1272" s="256"/>
      <c r="J1272" s="256"/>
      <c r="K1272" s="256"/>
      <c r="L1272" s="256"/>
      <c r="M1272" s="256"/>
    </row>
    <row r="1273" spans="1:15" ht="15" customHeight="1" x14ac:dyDescent="0.2">
      <c r="A1273" s="249">
        <v>10</v>
      </c>
      <c r="B1273" s="147">
        <v>34</v>
      </c>
      <c r="C1273" s="61">
        <v>54107</v>
      </c>
      <c r="D1273" s="62" t="s">
        <v>43</v>
      </c>
      <c r="E1273" s="74"/>
      <c r="F1273" s="74"/>
      <c r="G1273" s="76">
        <v>20000</v>
      </c>
      <c r="H1273" s="76">
        <f t="shared" si="52"/>
        <v>20000</v>
      </c>
      <c r="I1273" s="256"/>
      <c r="J1273" s="256"/>
      <c r="K1273" s="256"/>
      <c r="L1273" s="256"/>
      <c r="M1273" s="256"/>
    </row>
    <row r="1274" spans="1:15" ht="15" customHeight="1" x14ac:dyDescent="0.2">
      <c r="A1274" s="249">
        <v>10</v>
      </c>
      <c r="B1274" s="147">
        <v>34</v>
      </c>
      <c r="C1274" s="61">
        <v>54108</v>
      </c>
      <c r="D1274" s="62" t="s">
        <v>169</v>
      </c>
      <c r="E1274" s="74"/>
      <c r="F1274" s="74"/>
      <c r="G1274" s="76">
        <v>500</v>
      </c>
      <c r="H1274" s="76">
        <f t="shared" si="52"/>
        <v>500</v>
      </c>
      <c r="I1274" s="256"/>
      <c r="J1274" s="256"/>
      <c r="K1274" s="256"/>
      <c r="L1274" s="256"/>
      <c r="M1274" s="256"/>
    </row>
    <row r="1275" spans="1:15" ht="15" customHeight="1" x14ac:dyDescent="0.2">
      <c r="A1275" s="249">
        <v>10</v>
      </c>
      <c r="B1275" s="147">
        <v>34</v>
      </c>
      <c r="C1275" s="61">
        <v>54110</v>
      </c>
      <c r="D1275" s="62" t="s">
        <v>20</v>
      </c>
      <c r="E1275" s="74"/>
      <c r="F1275" s="74"/>
      <c r="G1275" s="76">
        <v>500</v>
      </c>
      <c r="H1275" s="76">
        <f t="shared" si="52"/>
        <v>500</v>
      </c>
      <c r="I1275" s="256"/>
      <c r="J1275" s="256"/>
      <c r="K1275" s="256"/>
      <c r="L1275" s="256"/>
      <c r="M1275" s="256"/>
    </row>
    <row r="1276" spans="1:15" ht="15" customHeight="1" x14ac:dyDescent="0.2">
      <c r="A1276" s="249">
        <v>10</v>
      </c>
      <c r="B1276" s="147">
        <v>34</v>
      </c>
      <c r="C1276" s="61">
        <v>54111</v>
      </c>
      <c r="D1276" s="62" t="s">
        <v>162</v>
      </c>
      <c r="E1276" s="74"/>
      <c r="F1276" s="74"/>
      <c r="G1276" s="76">
        <v>2000</v>
      </c>
      <c r="H1276" s="76">
        <f t="shared" si="52"/>
        <v>2000</v>
      </c>
      <c r="I1276" s="256"/>
      <c r="J1276" s="256"/>
      <c r="K1276" s="256"/>
      <c r="L1276" s="256"/>
      <c r="M1276" s="256"/>
    </row>
    <row r="1277" spans="1:15" ht="15" customHeight="1" x14ac:dyDescent="0.2">
      <c r="A1277" s="249">
        <v>10</v>
      </c>
      <c r="B1277" s="147">
        <v>34</v>
      </c>
      <c r="C1277" s="61">
        <v>54112</v>
      </c>
      <c r="D1277" s="62" t="s">
        <v>42</v>
      </c>
      <c r="E1277" s="74"/>
      <c r="F1277" s="74"/>
      <c r="G1277" s="76">
        <v>5000</v>
      </c>
      <c r="H1277" s="76">
        <f t="shared" si="52"/>
        <v>5000</v>
      </c>
      <c r="I1277" s="256"/>
      <c r="J1277" s="256"/>
      <c r="K1277" s="256"/>
      <c r="L1277" s="256"/>
      <c r="M1277" s="256"/>
    </row>
    <row r="1278" spans="1:15" ht="15" customHeight="1" x14ac:dyDescent="0.2">
      <c r="A1278" s="249">
        <v>10</v>
      </c>
      <c r="B1278" s="147">
        <v>34</v>
      </c>
      <c r="C1278" s="61">
        <v>54114</v>
      </c>
      <c r="D1278" s="73" t="s">
        <v>5</v>
      </c>
      <c r="E1278" s="74"/>
      <c r="F1278" s="74"/>
      <c r="G1278" s="76">
        <v>2000</v>
      </c>
      <c r="H1278" s="76">
        <f t="shared" si="52"/>
        <v>2000</v>
      </c>
      <c r="I1278" s="256"/>
      <c r="J1278" s="256"/>
      <c r="K1278" s="256"/>
      <c r="L1278" s="256"/>
      <c r="M1278" s="256"/>
    </row>
    <row r="1279" spans="1:15" ht="15" customHeight="1" x14ac:dyDescent="0.2">
      <c r="A1279" s="249">
        <v>10</v>
      </c>
      <c r="B1279" s="147">
        <v>34</v>
      </c>
      <c r="C1279" s="61">
        <v>54115</v>
      </c>
      <c r="D1279" s="73" t="s">
        <v>49</v>
      </c>
      <c r="E1279" s="74"/>
      <c r="F1279" s="74"/>
      <c r="G1279" s="76">
        <v>1500</v>
      </c>
      <c r="H1279" s="76">
        <f t="shared" si="52"/>
        <v>1500</v>
      </c>
      <c r="I1279" s="256"/>
      <c r="J1279" s="256"/>
      <c r="K1279" s="256"/>
      <c r="L1279" s="256"/>
      <c r="M1279" s="256"/>
    </row>
    <row r="1280" spans="1:15" ht="15" customHeight="1" x14ac:dyDescent="0.2">
      <c r="A1280" s="249">
        <v>10</v>
      </c>
      <c r="B1280" s="147">
        <v>34</v>
      </c>
      <c r="C1280" s="61">
        <v>54116</v>
      </c>
      <c r="D1280" s="62" t="s">
        <v>167</v>
      </c>
      <c r="E1280" s="74"/>
      <c r="F1280" s="74"/>
      <c r="G1280" s="76">
        <v>500</v>
      </c>
      <c r="H1280" s="76">
        <f t="shared" si="52"/>
        <v>500</v>
      </c>
      <c r="I1280" s="256"/>
      <c r="J1280" s="256"/>
      <c r="K1280" s="256"/>
      <c r="L1280" s="256"/>
      <c r="M1280" s="256"/>
    </row>
    <row r="1281" spans="1:18" ht="15" customHeight="1" x14ac:dyDescent="0.2">
      <c r="A1281" s="249">
        <v>10</v>
      </c>
      <c r="B1281" s="147">
        <v>34</v>
      </c>
      <c r="C1281" s="61">
        <v>54118</v>
      </c>
      <c r="D1281" s="73" t="s">
        <v>35</v>
      </c>
      <c r="E1281" s="74"/>
      <c r="F1281" s="74"/>
      <c r="G1281" s="76">
        <v>100</v>
      </c>
      <c r="H1281" s="76">
        <f t="shared" si="52"/>
        <v>100</v>
      </c>
      <c r="I1281" s="256"/>
      <c r="J1281" s="256"/>
      <c r="K1281" s="256"/>
      <c r="L1281" s="256"/>
      <c r="M1281" s="256"/>
    </row>
    <row r="1282" spans="1:18" ht="15" customHeight="1" x14ac:dyDescent="0.2">
      <c r="A1282" s="249">
        <v>10</v>
      </c>
      <c r="B1282" s="147">
        <v>34</v>
      </c>
      <c r="C1282" s="61">
        <v>54119</v>
      </c>
      <c r="D1282" s="73" t="s">
        <v>44</v>
      </c>
      <c r="E1282" s="74"/>
      <c r="F1282" s="74"/>
      <c r="G1282" s="76">
        <v>1800</v>
      </c>
      <c r="H1282" s="76">
        <f t="shared" si="52"/>
        <v>1800</v>
      </c>
      <c r="I1282" s="256"/>
      <c r="J1282" s="256"/>
      <c r="K1282" s="256"/>
      <c r="L1282" s="256"/>
      <c r="M1282" s="256"/>
    </row>
    <row r="1283" spans="1:18" ht="15" customHeight="1" x14ac:dyDescent="0.2">
      <c r="A1283" s="249">
        <v>10</v>
      </c>
      <c r="B1283" s="147">
        <v>34</v>
      </c>
      <c r="C1283" s="61">
        <v>54199</v>
      </c>
      <c r="D1283" s="73" t="s">
        <v>26</v>
      </c>
      <c r="E1283" s="74"/>
      <c r="F1283" s="74"/>
      <c r="G1283" s="76">
        <v>600</v>
      </c>
      <c r="H1283" s="76">
        <f t="shared" si="52"/>
        <v>600</v>
      </c>
      <c r="I1283" s="256"/>
      <c r="J1283" s="256"/>
      <c r="K1283" s="256"/>
      <c r="L1283" s="256"/>
      <c r="M1283" s="256"/>
    </row>
    <row r="1284" spans="1:18" ht="15" customHeight="1" x14ac:dyDescent="0.2">
      <c r="A1284" s="249">
        <v>10</v>
      </c>
      <c r="B1284" s="147">
        <v>34</v>
      </c>
      <c r="C1284" s="61">
        <v>54201</v>
      </c>
      <c r="D1284" s="62" t="s">
        <v>187</v>
      </c>
      <c r="E1284" s="74"/>
      <c r="F1284" s="74"/>
      <c r="G1284" s="76">
        <v>0</v>
      </c>
      <c r="H1284" s="76">
        <f t="shared" si="52"/>
        <v>0</v>
      </c>
      <c r="I1284" s="256"/>
      <c r="J1284" s="256"/>
      <c r="K1284" s="256"/>
      <c r="L1284" s="256"/>
      <c r="M1284" s="256"/>
    </row>
    <row r="1285" spans="1:18" ht="15" customHeight="1" x14ac:dyDescent="0.2">
      <c r="A1285" s="249">
        <v>10</v>
      </c>
      <c r="B1285" s="147">
        <v>34</v>
      </c>
      <c r="C1285" s="61">
        <v>54202</v>
      </c>
      <c r="D1285" s="73" t="s">
        <v>27</v>
      </c>
      <c r="E1285" s="74"/>
      <c r="F1285" s="74"/>
      <c r="G1285" s="76">
        <v>3000</v>
      </c>
      <c r="H1285" s="76">
        <f t="shared" si="52"/>
        <v>3000</v>
      </c>
      <c r="I1285" s="256"/>
      <c r="J1285" s="256"/>
      <c r="K1285" s="256"/>
      <c r="L1285" s="256"/>
      <c r="M1285" s="256"/>
    </row>
    <row r="1286" spans="1:18" ht="15" customHeight="1" x14ac:dyDescent="0.2">
      <c r="A1286" s="249">
        <v>10</v>
      </c>
      <c r="B1286" s="147">
        <v>34</v>
      </c>
      <c r="C1286" s="61">
        <v>54203</v>
      </c>
      <c r="D1286" s="62" t="s">
        <v>522</v>
      </c>
      <c r="E1286" s="74"/>
      <c r="F1286" s="74"/>
      <c r="G1286" s="76">
        <v>3000</v>
      </c>
      <c r="H1286" s="76">
        <f t="shared" si="52"/>
        <v>3000</v>
      </c>
      <c r="I1286" s="256"/>
      <c r="J1286" s="256"/>
      <c r="K1286" s="256"/>
      <c r="L1286" s="256"/>
      <c r="M1286" s="256"/>
    </row>
    <row r="1287" spans="1:18" ht="15" customHeight="1" x14ac:dyDescent="0.2">
      <c r="A1287" s="249">
        <v>10</v>
      </c>
      <c r="B1287" s="147">
        <v>34</v>
      </c>
      <c r="C1287" s="61">
        <v>54303</v>
      </c>
      <c r="D1287" s="62" t="s">
        <v>183</v>
      </c>
      <c r="E1287" s="74"/>
      <c r="F1287" s="74"/>
      <c r="G1287" s="76">
        <v>5000</v>
      </c>
      <c r="H1287" s="76">
        <f t="shared" si="52"/>
        <v>5000</v>
      </c>
      <c r="I1287" s="256"/>
      <c r="J1287" s="256"/>
      <c r="K1287" s="256"/>
      <c r="L1287" s="256"/>
      <c r="M1287" s="256"/>
    </row>
    <row r="1288" spans="1:18" ht="15" customHeight="1" x14ac:dyDescent="0.2">
      <c r="A1288" s="249">
        <v>10</v>
      </c>
      <c r="B1288" s="147">
        <v>34</v>
      </c>
      <c r="C1288" s="61">
        <v>54305</v>
      </c>
      <c r="D1288" s="62" t="s">
        <v>33</v>
      </c>
      <c r="E1288" s="74"/>
      <c r="F1288" s="74"/>
      <c r="G1288" s="76">
        <v>5000</v>
      </c>
      <c r="H1288" s="76">
        <f t="shared" si="52"/>
        <v>5000</v>
      </c>
      <c r="I1288" s="256"/>
      <c r="J1288" s="256"/>
      <c r="K1288" s="256"/>
      <c r="L1288" s="256"/>
      <c r="M1288" s="256"/>
    </row>
    <row r="1289" spans="1:18" ht="15" customHeight="1" x14ac:dyDescent="0.2">
      <c r="A1289" s="249">
        <v>10</v>
      </c>
      <c r="B1289" s="147">
        <v>34</v>
      </c>
      <c r="C1289" s="61">
        <v>54307</v>
      </c>
      <c r="D1289" s="62" t="s">
        <v>10</v>
      </c>
      <c r="E1289" s="74"/>
      <c r="F1289" s="74"/>
      <c r="G1289" s="76">
        <v>500</v>
      </c>
      <c r="H1289" s="76">
        <f t="shared" si="52"/>
        <v>500</v>
      </c>
      <c r="I1289" s="256"/>
      <c r="J1289" s="256"/>
      <c r="K1289" s="256"/>
      <c r="L1289" s="256"/>
      <c r="M1289" s="256"/>
    </row>
    <row r="1290" spans="1:18" ht="15" customHeight="1" x14ac:dyDescent="0.2">
      <c r="A1290" s="249">
        <v>10</v>
      </c>
      <c r="B1290" s="147">
        <v>34</v>
      </c>
      <c r="C1290" s="61">
        <v>54313</v>
      </c>
      <c r="D1290" s="62" t="s">
        <v>11</v>
      </c>
      <c r="E1290" s="74"/>
      <c r="F1290" s="74"/>
      <c r="G1290" s="76">
        <v>3000</v>
      </c>
      <c r="H1290" s="76">
        <f t="shared" si="52"/>
        <v>3000</v>
      </c>
      <c r="I1290" s="256"/>
      <c r="J1290" s="256"/>
      <c r="K1290" s="256"/>
      <c r="L1290" s="256"/>
      <c r="M1290" s="256"/>
    </row>
    <row r="1291" spans="1:18" ht="15" customHeight="1" x14ac:dyDescent="0.2">
      <c r="A1291" s="249">
        <v>10</v>
      </c>
      <c r="B1291" s="147">
        <v>34</v>
      </c>
      <c r="C1291" s="61">
        <v>54314</v>
      </c>
      <c r="D1291" s="62" t="s">
        <v>12</v>
      </c>
      <c r="E1291" s="74"/>
      <c r="F1291" s="74"/>
      <c r="G1291" s="76">
        <v>1000</v>
      </c>
      <c r="H1291" s="76">
        <f t="shared" si="52"/>
        <v>1000</v>
      </c>
      <c r="I1291" s="256"/>
      <c r="J1291" s="256"/>
      <c r="K1291" s="256"/>
      <c r="L1291" s="256"/>
      <c r="M1291" s="256"/>
    </row>
    <row r="1292" spans="1:18" ht="15" customHeight="1" x14ac:dyDescent="0.2">
      <c r="A1292" s="249">
        <v>10</v>
      </c>
      <c r="B1292" s="147">
        <v>34</v>
      </c>
      <c r="C1292" s="61">
        <v>61101</v>
      </c>
      <c r="D1292" s="62" t="s">
        <v>144</v>
      </c>
      <c r="E1292" s="74"/>
      <c r="F1292" s="74"/>
      <c r="G1292" s="76">
        <v>2500</v>
      </c>
      <c r="H1292" s="76">
        <f t="shared" si="52"/>
        <v>2500</v>
      </c>
      <c r="I1292" s="256"/>
      <c r="J1292" s="256"/>
      <c r="K1292" s="256"/>
      <c r="L1292" s="256"/>
      <c r="M1292" s="256"/>
    </row>
    <row r="1293" spans="1:18" ht="15" customHeight="1" x14ac:dyDescent="0.2">
      <c r="A1293" s="249">
        <v>10</v>
      </c>
      <c r="B1293" s="147">
        <v>34</v>
      </c>
      <c r="C1293" s="61">
        <v>61102</v>
      </c>
      <c r="D1293" s="62" t="s">
        <v>28</v>
      </c>
      <c r="E1293" s="74"/>
      <c r="F1293" s="74"/>
      <c r="G1293" s="76">
        <v>2000</v>
      </c>
      <c r="H1293" s="76">
        <f t="shared" si="52"/>
        <v>2000</v>
      </c>
      <c r="I1293" s="256"/>
      <c r="J1293" s="256"/>
      <c r="K1293" s="256"/>
      <c r="L1293" s="256"/>
      <c r="M1293" s="256"/>
    </row>
    <row r="1294" spans="1:18" ht="15" customHeight="1" x14ac:dyDescent="0.2">
      <c r="A1294" s="249">
        <v>10</v>
      </c>
      <c r="B1294" s="147">
        <v>34</v>
      </c>
      <c r="C1294" s="61">
        <v>61104</v>
      </c>
      <c r="D1294" s="62" t="s">
        <v>46</v>
      </c>
      <c r="E1294" s="74"/>
      <c r="F1294" s="74"/>
      <c r="G1294" s="76">
        <v>700</v>
      </c>
      <c r="H1294" s="76">
        <f t="shared" si="52"/>
        <v>700</v>
      </c>
      <c r="I1294" s="256"/>
      <c r="J1294" s="256"/>
      <c r="K1294" s="256"/>
      <c r="L1294" s="256"/>
      <c r="M1294" s="256"/>
    </row>
    <row r="1295" spans="1:18" ht="15" customHeight="1" x14ac:dyDescent="0.2">
      <c r="A1295" s="249">
        <v>10</v>
      </c>
      <c r="B1295" s="147" t="s">
        <v>402</v>
      </c>
      <c r="C1295" s="61"/>
      <c r="D1295" s="61" t="s">
        <v>14</v>
      </c>
      <c r="E1295" s="83">
        <f>SUM(E1262:E1284)</f>
        <v>0</v>
      </c>
      <c r="F1295" s="83">
        <f>SUM(F1262:F1284)</f>
        <v>0</v>
      </c>
      <c r="G1295" s="83">
        <f>SUM(G1262:G1294)</f>
        <v>123844.8</v>
      </c>
      <c r="H1295" s="83">
        <f t="shared" si="52"/>
        <v>123844.8</v>
      </c>
      <c r="I1295" s="256"/>
      <c r="J1295" s="256"/>
      <c r="K1295" s="256"/>
      <c r="L1295" s="256"/>
      <c r="M1295" s="256"/>
      <c r="P1295" s="268"/>
    </row>
    <row r="1296" spans="1:18" ht="15" customHeight="1" x14ac:dyDescent="0.2">
      <c r="A1296" s="249" t="s">
        <v>387</v>
      </c>
      <c r="B1296" s="147" t="s">
        <v>387</v>
      </c>
      <c r="C1296" s="148"/>
      <c r="D1296" s="148"/>
      <c r="E1296" s="260"/>
      <c r="F1296" s="260"/>
      <c r="G1296" s="261"/>
      <c r="H1296" s="261"/>
      <c r="O1296" s="258"/>
      <c r="P1296" s="259"/>
      <c r="Q1296" s="147" t="s">
        <v>589</v>
      </c>
      <c r="R1296" s="259">
        <f>+P1296-H1295</f>
        <v>-123844.8</v>
      </c>
    </row>
    <row r="1297" spans="1:15" ht="15" customHeight="1" x14ac:dyDescent="0.2">
      <c r="A1297" s="249" t="s">
        <v>387</v>
      </c>
      <c r="B1297" s="147" t="s">
        <v>387</v>
      </c>
      <c r="C1297" s="148"/>
      <c r="D1297" s="148"/>
      <c r="E1297" s="260"/>
      <c r="F1297" s="260"/>
      <c r="G1297" s="261"/>
      <c r="H1297" s="261"/>
      <c r="O1297" s="258"/>
    </row>
    <row r="1298" spans="1:15" ht="15" customHeight="1" x14ac:dyDescent="0.2">
      <c r="A1298" s="249" t="s">
        <v>387</v>
      </c>
      <c r="B1298" s="147" t="s">
        <v>387</v>
      </c>
      <c r="C1298" s="363"/>
      <c r="D1298" s="369"/>
      <c r="E1298" s="373"/>
      <c r="F1298" s="373"/>
      <c r="G1298" s="363"/>
      <c r="H1298" s="363"/>
    </row>
    <row r="1299" spans="1:15" ht="15" customHeight="1" x14ac:dyDescent="0.2">
      <c r="A1299" s="249" t="s">
        <v>387</v>
      </c>
      <c r="B1299" s="147" t="s">
        <v>387</v>
      </c>
      <c r="C1299" s="427" t="s">
        <v>119</v>
      </c>
      <c r="D1299" s="427"/>
      <c r="E1299" s="427"/>
      <c r="F1299" s="427"/>
      <c r="G1299" s="427"/>
      <c r="H1299" s="427"/>
    </row>
    <row r="1300" spans="1:15" ht="15" customHeight="1" x14ac:dyDescent="0.2">
      <c r="A1300" s="249" t="s">
        <v>387</v>
      </c>
      <c r="B1300" s="147" t="s">
        <v>387</v>
      </c>
      <c r="C1300" s="428" t="str">
        <f>C3</f>
        <v xml:space="preserve"> PRESUPUESTO AÑO 2024</v>
      </c>
      <c r="D1300" s="428"/>
      <c r="E1300" s="428"/>
      <c r="F1300" s="428"/>
      <c r="G1300" s="428"/>
      <c r="H1300" s="428"/>
    </row>
    <row r="1301" spans="1:15" ht="15" customHeight="1" x14ac:dyDescent="0.2">
      <c r="A1301" s="249" t="s">
        <v>387</v>
      </c>
      <c r="B1301" s="147" t="s">
        <v>387</v>
      </c>
      <c r="C1301" s="428" t="str">
        <f>C4</f>
        <v>PRESUPUESTO EXTRA CONTABLE</v>
      </c>
      <c r="D1301" s="428"/>
      <c r="E1301" s="428"/>
      <c r="F1301" s="428"/>
      <c r="G1301" s="428"/>
      <c r="H1301" s="428"/>
    </row>
    <row r="1302" spans="1:15" ht="15" customHeight="1" x14ac:dyDescent="0.2">
      <c r="A1302" s="249" t="s">
        <v>387</v>
      </c>
      <c r="B1302" s="147" t="s">
        <v>387</v>
      </c>
      <c r="C1302" s="427" t="s">
        <v>117</v>
      </c>
      <c r="D1302" s="427"/>
      <c r="E1302" s="427"/>
      <c r="F1302" s="427"/>
      <c r="G1302" s="427"/>
      <c r="H1302" s="427"/>
    </row>
    <row r="1303" spans="1:15" ht="15" customHeight="1" x14ac:dyDescent="0.2">
      <c r="A1303" s="249" t="s">
        <v>387</v>
      </c>
      <c r="B1303" s="147" t="s">
        <v>387</v>
      </c>
      <c r="C1303" s="427" t="s">
        <v>757</v>
      </c>
      <c r="D1303" s="427"/>
      <c r="E1303" s="427"/>
      <c r="F1303" s="427"/>
      <c r="G1303" s="427"/>
      <c r="H1303" s="427"/>
    </row>
    <row r="1304" spans="1:15" ht="15" customHeight="1" x14ac:dyDescent="0.2">
      <c r="A1304" s="249" t="s">
        <v>387</v>
      </c>
      <c r="B1304" s="147" t="s">
        <v>387</v>
      </c>
      <c r="C1304" s="430" t="s">
        <v>1</v>
      </c>
      <c r="D1304" s="430" t="s">
        <v>0</v>
      </c>
      <c r="E1304" s="255" t="s">
        <v>56</v>
      </c>
      <c r="F1304" s="255" t="str">
        <f>F7</f>
        <v>REFORMA</v>
      </c>
      <c r="G1304" s="255" t="s">
        <v>56</v>
      </c>
      <c r="H1304" s="432" t="str">
        <f>$H$7</f>
        <v>TOTAL 2024</v>
      </c>
      <c r="I1304" s="153" t="s">
        <v>285</v>
      </c>
      <c r="J1304" s="153"/>
      <c r="K1304" s="153"/>
      <c r="L1304" s="153"/>
      <c r="M1304" s="153"/>
      <c r="N1304" s="269" t="s">
        <v>295</v>
      </c>
    </row>
    <row r="1305" spans="1:15" ht="15" customHeight="1" x14ac:dyDescent="0.2">
      <c r="A1305" s="249" t="s">
        <v>387</v>
      </c>
      <c r="B1305" s="147" t="s">
        <v>387</v>
      </c>
      <c r="C1305" s="431"/>
      <c r="D1305" s="431"/>
      <c r="E1305" s="255" t="s">
        <v>139</v>
      </c>
      <c r="F1305" s="255"/>
      <c r="G1305" s="255" t="s">
        <v>140</v>
      </c>
      <c r="H1305" s="433"/>
      <c r="I1305" s="153" t="s">
        <v>286</v>
      </c>
      <c r="J1305" s="153" t="s">
        <v>290</v>
      </c>
      <c r="K1305" s="153" t="s">
        <v>291</v>
      </c>
      <c r="L1305" s="153" t="s">
        <v>293</v>
      </c>
      <c r="M1305" s="153" t="s">
        <v>292</v>
      </c>
    </row>
    <row r="1306" spans="1:15" ht="15" customHeight="1" x14ac:dyDescent="0.2">
      <c r="A1306" s="249">
        <v>6</v>
      </c>
      <c r="B1306" s="147">
        <v>36</v>
      </c>
      <c r="C1306" s="61">
        <v>51101</v>
      </c>
      <c r="D1306" s="62" t="s">
        <v>15</v>
      </c>
      <c r="E1306" s="74"/>
      <c r="F1306" s="74"/>
      <c r="G1306" s="272">
        <v>115764</v>
      </c>
      <c r="H1306" s="76">
        <f t="shared" ref="H1306:H1336" si="53">E1306+F1306+G1306</f>
        <v>115764</v>
      </c>
      <c r="I1306" s="73"/>
      <c r="J1306" s="256"/>
      <c r="K1306" s="256"/>
      <c r="L1306" s="256"/>
      <c r="M1306" s="256"/>
    </row>
    <row r="1307" spans="1:15" ht="15" customHeight="1" x14ac:dyDescent="0.2">
      <c r="A1307" s="249">
        <v>6</v>
      </c>
      <c r="B1307" s="147">
        <v>36</v>
      </c>
      <c r="C1307" s="61">
        <v>51103</v>
      </c>
      <c r="D1307" s="62" t="s">
        <v>16</v>
      </c>
      <c r="E1307" s="76"/>
      <c r="F1307" s="76"/>
      <c r="G1307" s="272">
        <v>9647</v>
      </c>
      <c r="H1307" s="76">
        <f t="shared" si="53"/>
        <v>9647</v>
      </c>
      <c r="I1307" s="73"/>
      <c r="J1307" s="256"/>
      <c r="K1307" s="256"/>
      <c r="L1307" s="256"/>
      <c r="M1307" s="256"/>
    </row>
    <row r="1308" spans="1:15" ht="15" customHeight="1" x14ac:dyDescent="0.2">
      <c r="A1308" s="249">
        <v>6</v>
      </c>
      <c r="B1308" s="147">
        <v>36</v>
      </c>
      <c r="C1308" s="61">
        <v>51107</v>
      </c>
      <c r="D1308" s="62" t="s">
        <v>34</v>
      </c>
      <c r="E1308" s="76"/>
      <c r="F1308" s="76"/>
      <c r="G1308" s="272">
        <v>4800</v>
      </c>
      <c r="H1308" s="76">
        <f t="shared" si="53"/>
        <v>4800</v>
      </c>
      <c r="I1308" s="73"/>
      <c r="J1308" s="256"/>
      <c r="K1308" s="256"/>
      <c r="L1308" s="256"/>
      <c r="M1308" s="256"/>
    </row>
    <row r="1309" spans="1:15" ht="15" customHeight="1" x14ac:dyDescent="0.2">
      <c r="A1309" s="249">
        <v>6</v>
      </c>
      <c r="B1309" s="147">
        <v>36</v>
      </c>
      <c r="C1309" s="61">
        <v>51201</v>
      </c>
      <c r="D1309" s="62" t="s">
        <v>458</v>
      </c>
      <c r="E1309" s="76"/>
      <c r="F1309" s="76"/>
      <c r="G1309" s="272">
        <v>0</v>
      </c>
      <c r="H1309" s="76">
        <f t="shared" si="53"/>
        <v>0</v>
      </c>
      <c r="I1309" s="73"/>
      <c r="J1309" s="256"/>
      <c r="K1309" s="256"/>
      <c r="L1309" s="256"/>
      <c r="M1309" s="256"/>
    </row>
    <row r="1310" spans="1:15" ht="15" customHeight="1" x14ac:dyDescent="0.2">
      <c r="A1310" s="249">
        <v>6</v>
      </c>
      <c r="B1310" s="147">
        <v>36</v>
      </c>
      <c r="C1310" s="61">
        <v>51401</v>
      </c>
      <c r="D1310" s="62" t="s">
        <v>47</v>
      </c>
      <c r="E1310" s="74"/>
      <c r="F1310" s="74"/>
      <c r="G1310" s="272">
        <v>9044.34</v>
      </c>
      <c r="H1310" s="76">
        <f t="shared" si="53"/>
        <v>9044.34</v>
      </c>
      <c r="I1310" s="73"/>
      <c r="J1310" s="256"/>
      <c r="K1310" s="256"/>
      <c r="L1310" s="256"/>
      <c r="M1310" s="256"/>
      <c r="O1310" s="257"/>
    </row>
    <row r="1311" spans="1:15" ht="15" customHeight="1" x14ac:dyDescent="0.2">
      <c r="A1311" s="249">
        <v>6</v>
      </c>
      <c r="B1311" s="147">
        <v>36</v>
      </c>
      <c r="C1311" s="61">
        <v>51501</v>
      </c>
      <c r="D1311" s="62" t="s">
        <v>29</v>
      </c>
      <c r="E1311" s="74"/>
      <c r="F1311" s="74"/>
      <c r="G1311" s="272">
        <v>9704.0999999999985</v>
      </c>
      <c r="H1311" s="76">
        <f t="shared" si="53"/>
        <v>9704.0999999999985</v>
      </c>
      <c r="I1311" s="73"/>
      <c r="J1311" s="256"/>
      <c r="K1311" s="256"/>
      <c r="L1311" s="256"/>
      <c r="M1311" s="256"/>
    </row>
    <row r="1312" spans="1:15" ht="15" customHeight="1" x14ac:dyDescent="0.2">
      <c r="A1312" s="249">
        <v>6</v>
      </c>
      <c r="B1312" s="147">
        <v>36</v>
      </c>
      <c r="C1312" s="61">
        <v>54101</v>
      </c>
      <c r="D1312" s="62" t="s">
        <v>38</v>
      </c>
      <c r="E1312" s="74"/>
      <c r="F1312" s="74"/>
      <c r="G1312" s="76">
        <v>200</v>
      </c>
      <c r="H1312" s="76">
        <f t="shared" si="53"/>
        <v>200</v>
      </c>
      <c r="I1312" s="73"/>
      <c r="J1312" s="256"/>
      <c r="K1312" s="256"/>
      <c r="L1312" s="256"/>
      <c r="M1312" s="256"/>
    </row>
    <row r="1313" spans="1:13" ht="15" customHeight="1" x14ac:dyDescent="0.2">
      <c r="A1313" s="249">
        <v>6</v>
      </c>
      <c r="B1313" s="147">
        <v>36</v>
      </c>
      <c r="C1313" s="61">
        <v>54104</v>
      </c>
      <c r="D1313" s="62" t="s">
        <v>17</v>
      </c>
      <c r="E1313" s="74"/>
      <c r="F1313" s="74"/>
      <c r="G1313" s="76">
        <v>3000</v>
      </c>
      <c r="H1313" s="76">
        <f t="shared" si="53"/>
        <v>3000</v>
      </c>
      <c r="I1313" s="73"/>
      <c r="J1313" s="256"/>
      <c r="K1313" s="256"/>
      <c r="L1313" s="256"/>
      <c r="M1313" s="256"/>
    </row>
    <row r="1314" spans="1:13" ht="15" customHeight="1" x14ac:dyDescent="0.2">
      <c r="A1314" s="249">
        <v>6</v>
      </c>
      <c r="B1314" s="147">
        <v>36</v>
      </c>
      <c r="C1314" s="61">
        <v>54105</v>
      </c>
      <c r="D1314" s="62" t="s">
        <v>131</v>
      </c>
      <c r="E1314" s="74"/>
      <c r="F1314" s="74"/>
      <c r="G1314" s="76">
        <v>10000</v>
      </c>
      <c r="H1314" s="76">
        <f t="shared" si="53"/>
        <v>10000</v>
      </c>
      <c r="I1314" s="73"/>
      <c r="J1314" s="256"/>
      <c r="K1314" s="256"/>
      <c r="L1314" s="256"/>
      <c r="M1314" s="256"/>
    </row>
    <row r="1315" spans="1:13" ht="15" customHeight="1" x14ac:dyDescent="0.2">
      <c r="A1315" s="249">
        <v>6</v>
      </c>
      <c r="B1315" s="147">
        <v>36</v>
      </c>
      <c r="C1315" s="61">
        <v>54106</v>
      </c>
      <c r="D1315" s="62" t="s">
        <v>18</v>
      </c>
      <c r="E1315" s="74"/>
      <c r="F1315" s="74"/>
      <c r="G1315" s="76">
        <v>300</v>
      </c>
      <c r="H1315" s="76">
        <f t="shared" si="53"/>
        <v>300</v>
      </c>
      <c r="I1315" s="73"/>
      <c r="J1315" s="256"/>
      <c r="K1315" s="256"/>
      <c r="L1315" s="256"/>
      <c r="M1315" s="256"/>
    </row>
    <row r="1316" spans="1:13" ht="15" customHeight="1" x14ac:dyDescent="0.2">
      <c r="A1316" s="249">
        <v>6</v>
      </c>
      <c r="B1316" s="147">
        <v>36</v>
      </c>
      <c r="C1316" s="61">
        <v>54107</v>
      </c>
      <c r="D1316" s="62" t="s">
        <v>4</v>
      </c>
      <c r="E1316" s="74"/>
      <c r="F1316" s="74"/>
      <c r="G1316" s="76">
        <v>5000</v>
      </c>
      <c r="H1316" s="76">
        <f t="shared" si="53"/>
        <v>5000</v>
      </c>
      <c r="I1316" s="73"/>
      <c r="J1316" s="256"/>
      <c r="K1316" s="256"/>
      <c r="L1316" s="256"/>
      <c r="M1316" s="256"/>
    </row>
    <row r="1317" spans="1:13" ht="15" customHeight="1" x14ac:dyDescent="0.2">
      <c r="A1317" s="249">
        <v>6</v>
      </c>
      <c r="B1317" s="147">
        <v>36</v>
      </c>
      <c r="C1317" s="134">
        <v>54108</v>
      </c>
      <c r="D1317" s="135" t="s">
        <v>169</v>
      </c>
      <c r="E1317" s="136"/>
      <c r="F1317" s="136"/>
      <c r="G1317" s="262">
        <v>500</v>
      </c>
      <c r="H1317" s="262">
        <f t="shared" si="53"/>
        <v>500</v>
      </c>
      <c r="I1317" s="73"/>
      <c r="J1317" s="256"/>
      <c r="K1317" s="256"/>
      <c r="L1317" s="256"/>
      <c r="M1317" s="256"/>
    </row>
    <row r="1318" spans="1:13" ht="15" customHeight="1" x14ac:dyDescent="0.2">
      <c r="A1318" s="249">
        <v>6</v>
      </c>
      <c r="B1318" s="147">
        <v>36</v>
      </c>
      <c r="C1318" s="61">
        <v>54110</v>
      </c>
      <c r="D1318" s="62" t="s">
        <v>147</v>
      </c>
      <c r="E1318" s="74"/>
      <c r="F1318" s="74"/>
      <c r="G1318" s="76">
        <v>1000</v>
      </c>
      <c r="H1318" s="76">
        <f t="shared" si="53"/>
        <v>1000</v>
      </c>
      <c r="I1318" s="73"/>
      <c r="J1318" s="256"/>
      <c r="K1318" s="256"/>
      <c r="L1318" s="256"/>
      <c r="M1318" s="256"/>
    </row>
    <row r="1319" spans="1:13" ht="15" customHeight="1" x14ac:dyDescent="0.2">
      <c r="A1319" s="249">
        <v>6</v>
      </c>
      <c r="B1319" s="147">
        <v>36</v>
      </c>
      <c r="C1319" s="61">
        <v>54111</v>
      </c>
      <c r="D1319" s="62" t="s">
        <v>162</v>
      </c>
      <c r="E1319" s="74"/>
      <c r="F1319" s="74"/>
      <c r="G1319" s="76">
        <v>500</v>
      </c>
      <c r="H1319" s="76">
        <f t="shared" si="53"/>
        <v>500</v>
      </c>
      <c r="I1319" s="73"/>
      <c r="J1319" s="256"/>
      <c r="K1319" s="256"/>
      <c r="L1319" s="256"/>
      <c r="M1319" s="256"/>
    </row>
    <row r="1320" spans="1:13" ht="15" customHeight="1" x14ac:dyDescent="0.2">
      <c r="A1320" s="249">
        <v>6</v>
      </c>
      <c r="B1320" s="147">
        <v>36</v>
      </c>
      <c r="C1320" s="61">
        <v>54112</v>
      </c>
      <c r="D1320" s="62" t="s">
        <v>42</v>
      </c>
      <c r="E1320" s="74"/>
      <c r="F1320" s="74"/>
      <c r="G1320" s="76">
        <v>500</v>
      </c>
      <c r="H1320" s="76">
        <f t="shared" si="53"/>
        <v>500</v>
      </c>
      <c r="I1320" s="73"/>
      <c r="J1320" s="256"/>
      <c r="K1320" s="256"/>
      <c r="L1320" s="256"/>
      <c r="M1320" s="256"/>
    </row>
    <row r="1321" spans="1:13" ht="15" customHeight="1" x14ac:dyDescent="0.2">
      <c r="A1321" s="249">
        <v>6</v>
      </c>
      <c r="B1321" s="147">
        <v>36</v>
      </c>
      <c r="C1321" s="61">
        <v>54113</v>
      </c>
      <c r="D1321" s="62" t="s">
        <v>632</v>
      </c>
      <c r="E1321" s="74"/>
      <c r="F1321" s="74"/>
      <c r="G1321" s="76">
        <v>200</v>
      </c>
      <c r="H1321" s="76">
        <f>E1321+F1321+G1321</f>
        <v>200</v>
      </c>
      <c r="I1321" s="73"/>
      <c r="J1321" s="256"/>
      <c r="K1321" s="256"/>
      <c r="L1321" s="256"/>
      <c r="M1321" s="256"/>
    </row>
    <row r="1322" spans="1:13" ht="15" customHeight="1" x14ac:dyDescent="0.2">
      <c r="A1322" s="249">
        <v>6</v>
      </c>
      <c r="B1322" s="147">
        <v>36</v>
      </c>
      <c r="C1322" s="61">
        <v>54114</v>
      </c>
      <c r="D1322" s="62" t="s">
        <v>5</v>
      </c>
      <c r="E1322" s="74"/>
      <c r="F1322" s="74"/>
      <c r="G1322" s="76">
        <v>300</v>
      </c>
      <c r="H1322" s="76">
        <f t="shared" si="53"/>
        <v>300</v>
      </c>
      <c r="I1322" s="73"/>
      <c r="J1322" s="256"/>
      <c r="K1322" s="256"/>
      <c r="L1322" s="256"/>
      <c r="M1322" s="256"/>
    </row>
    <row r="1323" spans="1:13" ht="15" customHeight="1" x14ac:dyDescent="0.2">
      <c r="A1323" s="249">
        <v>6</v>
      </c>
      <c r="B1323" s="147">
        <v>36</v>
      </c>
      <c r="C1323" s="61">
        <v>54115</v>
      </c>
      <c r="D1323" s="62" t="s">
        <v>49</v>
      </c>
      <c r="E1323" s="74"/>
      <c r="F1323" s="74"/>
      <c r="G1323" s="76">
        <v>1000</v>
      </c>
      <c r="H1323" s="76">
        <f t="shared" si="53"/>
        <v>1000</v>
      </c>
      <c r="I1323" s="73"/>
      <c r="J1323" s="256"/>
      <c r="K1323" s="256"/>
      <c r="L1323" s="256"/>
      <c r="M1323" s="256"/>
    </row>
    <row r="1324" spans="1:13" ht="15" customHeight="1" x14ac:dyDescent="0.2">
      <c r="A1324" s="249">
        <v>6</v>
      </c>
      <c r="B1324" s="147">
        <v>36</v>
      </c>
      <c r="C1324" s="61">
        <v>54118</v>
      </c>
      <c r="D1324" s="62" t="s">
        <v>35</v>
      </c>
      <c r="E1324" s="74"/>
      <c r="F1324" s="74"/>
      <c r="G1324" s="76">
        <v>300</v>
      </c>
      <c r="H1324" s="76">
        <f t="shared" si="53"/>
        <v>300</v>
      </c>
      <c r="I1324" s="73"/>
      <c r="J1324" s="256"/>
      <c r="K1324" s="256"/>
      <c r="L1324" s="256"/>
      <c r="M1324" s="256"/>
    </row>
    <row r="1325" spans="1:13" ht="15" customHeight="1" x14ac:dyDescent="0.2">
      <c r="A1325" s="249">
        <v>6</v>
      </c>
      <c r="B1325" s="147">
        <v>36</v>
      </c>
      <c r="C1325" s="61">
        <v>54119</v>
      </c>
      <c r="D1325" s="62" t="s">
        <v>44</v>
      </c>
      <c r="E1325" s="74"/>
      <c r="F1325" s="74"/>
      <c r="G1325" s="76">
        <v>600</v>
      </c>
      <c r="H1325" s="76">
        <f t="shared" si="53"/>
        <v>600</v>
      </c>
      <c r="I1325" s="73"/>
      <c r="J1325" s="256"/>
      <c r="K1325" s="256"/>
      <c r="L1325" s="256"/>
      <c r="M1325" s="256"/>
    </row>
    <row r="1326" spans="1:13" ht="15" customHeight="1" x14ac:dyDescent="0.2">
      <c r="A1326" s="249">
        <v>6</v>
      </c>
      <c r="B1326" s="147">
        <v>36</v>
      </c>
      <c r="C1326" s="61">
        <v>54199</v>
      </c>
      <c r="D1326" s="62" t="s">
        <v>26</v>
      </c>
      <c r="E1326" s="74"/>
      <c r="F1326" s="74"/>
      <c r="G1326" s="76">
        <v>800</v>
      </c>
      <c r="H1326" s="76">
        <f t="shared" si="53"/>
        <v>800</v>
      </c>
      <c r="I1326" s="73"/>
      <c r="J1326" s="256"/>
      <c r="K1326" s="256"/>
      <c r="L1326" s="256"/>
      <c r="M1326" s="256"/>
    </row>
    <row r="1327" spans="1:13" ht="15" customHeight="1" x14ac:dyDescent="0.2">
      <c r="A1327" s="249">
        <v>6</v>
      </c>
      <c r="B1327" s="147">
        <v>36</v>
      </c>
      <c r="C1327" s="61">
        <v>54301</v>
      </c>
      <c r="D1327" s="62" t="s">
        <v>158</v>
      </c>
      <c r="E1327" s="76"/>
      <c r="F1327" s="76"/>
      <c r="G1327" s="76">
        <v>200</v>
      </c>
      <c r="H1327" s="76">
        <f t="shared" si="53"/>
        <v>200</v>
      </c>
      <c r="I1327" s="73"/>
      <c r="J1327" s="256"/>
      <c r="K1327" s="256"/>
      <c r="L1327" s="256"/>
      <c r="M1327" s="256"/>
    </row>
    <row r="1328" spans="1:13" ht="15" customHeight="1" x14ac:dyDescent="0.2">
      <c r="A1328" s="249">
        <v>6</v>
      </c>
      <c r="B1328" s="147">
        <v>36</v>
      </c>
      <c r="C1328" s="61">
        <v>54303</v>
      </c>
      <c r="D1328" s="62" t="s">
        <v>183</v>
      </c>
      <c r="E1328" s="76"/>
      <c r="F1328" s="76"/>
      <c r="G1328" s="76">
        <v>200</v>
      </c>
      <c r="H1328" s="76">
        <f t="shared" si="53"/>
        <v>200</v>
      </c>
      <c r="I1328" s="73"/>
      <c r="J1328" s="256"/>
      <c r="K1328" s="256"/>
      <c r="L1328" s="256"/>
      <c r="M1328" s="256"/>
    </row>
    <row r="1329" spans="1:18" ht="15" customHeight="1" x14ac:dyDescent="0.2">
      <c r="A1329" s="249">
        <v>6</v>
      </c>
      <c r="B1329" s="147">
        <v>36</v>
      </c>
      <c r="C1329" s="61">
        <v>54307</v>
      </c>
      <c r="D1329" s="62" t="s">
        <v>10</v>
      </c>
      <c r="E1329" s="76"/>
      <c r="F1329" s="76"/>
      <c r="G1329" s="76">
        <v>10000</v>
      </c>
      <c r="H1329" s="76">
        <f t="shared" si="53"/>
        <v>10000</v>
      </c>
      <c r="I1329" s="73"/>
      <c r="J1329" s="256"/>
      <c r="K1329" s="256"/>
      <c r="L1329" s="256"/>
      <c r="M1329" s="256"/>
    </row>
    <row r="1330" spans="1:18" ht="15" customHeight="1" x14ac:dyDescent="0.2">
      <c r="A1330" s="249">
        <v>6</v>
      </c>
      <c r="B1330" s="147">
        <v>36</v>
      </c>
      <c r="C1330" s="61">
        <v>54313</v>
      </c>
      <c r="D1330" s="62" t="s">
        <v>11</v>
      </c>
      <c r="E1330" s="76"/>
      <c r="F1330" s="76"/>
      <c r="G1330" s="76">
        <v>1000</v>
      </c>
      <c r="H1330" s="76">
        <f t="shared" si="53"/>
        <v>1000</v>
      </c>
      <c r="I1330" s="73"/>
      <c r="J1330" s="256"/>
      <c r="K1330" s="256"/>
      <c r="L1330" s="256"/>
      <c r="M1330" s="256"/>
    </row>
    <row r="1331" spans="1:18" ht="15" customHeight="1" x14ac:dyDescent="0.2">
      <c r="A1331" s="249">
        <v>6</v>
      </c>
      <c r="B1331" s="147">
        <v>36</v>
      </c>
      <c r="C1331" s="61">
        <v>54399</v>
      </c>
      <c r="D1331" s="62" t="s">
        <v>153</v>
      </c>
      <c r="E1331" s="76"/>
      <c r="F1331" s="76"/>
      <c r="G1331" s="76">
        <v>300</v>
      </c>
      <c r="H1331" s="76">
        <f t="shared" si="53"/>
        <v>300</v>
      </c>
      <c r="I1331" s="73"/>
      <c r="J1331" s="256"/>
      <c r="K1331" s="256"/>
      <c r="L1331" s="256"/>
      <c r="M1331" s="256"/>
    </row>
    <row r="1332" spans="1:18" ht="15" customHeight="1" x14ac:dyDescent="0.2">
      <c r="A1332" s="249">
        <v>6</v>
      </c>
      <c r="B1332" s="147">
        <v>36</v>
      </c>
      <c r="C1332" s="61">
        <v>61101</v>
      </c>
      <c r="D1332" s="62" t="s">
        <v>144</v>
      </c>
      <c r="E1332" s="76"/>
      <c r="F1332" s="76"/>
      <c r="G1332" s="76">
        <v>500</v>
      </c>
      <c r="H1332" s="76">
        <f t="shared" si="53"/>
        <v>500</v>
      </c>
      <c r="I1332" s="73"/>
      <c r="J1332" s="256"/>
      <c r="K1332" s="256"/>
      <c r="L1332" s="256"/>
      <c r="M1332" s="256"/>
    </row>
    <row r="1333" spans="1:18" ht="15" customHeight="1" x14ac:dyDescent="0.2">
      <c r="A1333" s="249">
        <v>6</v>
      </c>
      <c r="B1333" s="147">
        <v>36</v>
      </c>
      <c r="C1333" s="61">
        <v>61102</v>
      </c>
      <c r="D1333" s="62" t="s">
        <v>28</v>
      </c>
      <c r="E1333" s="76"/>
      <c r="F1333" s="76"/>
      <c r="G1333" s="76">
        <v>600</v>
      </c>
      <c r="H1333" s="76">
        <f t="shared" si="53"/>
        <v>600</v>
      </c>
      <c r="I1333" s="73"/>
      <c r="J1333" s="256"/>
      <c r="K1333" s="256"/>
      <c r="L1333" s="256"/>
      <c r="M1333" s="256"/>
    </row>
    <row r="1334" spans="1:18" ht="15" customHeight="1" x14ac:dyDescent="0.2">
      <c r="A1334" s="249">
        <v>6</v>
      </c>
      <c r="B1334" s="147">
        <v>36</v>
      </c>
      <c r="C1334" s="61">
        <v>61104</v>
      </c>
      <c r="D1334" s="62" t="s">
        <v>46</v>
      </c>
      <c r="E1334" s="76"/>
      <c r="F1334" s="76"/>
      <c r="G1334" s="76">
        <v>600</v>
      </c>
      <c r="H1334" s="76">
        <f t="shared" si="53"/>
        <v>600</v>
      </c>
      <c r="I1334" s="73"/>
      <c r="J1334" s="256"/>
      <c r="K1334" s="256"/>
      <c r="L1334" s="256"/>
      <c r="M1334" s="256"/>
    </row>
    <row r="1335" spans="1:18" ht="15" customHeight="1" x14ac:dyDescent="0.2">
      <c r="A1335" s="249">
        <v>6</v>
      </c>
      <c r="B1335" s="147">
        <v>36</v>
      </c>
      <c r="C1335" s="61">
        <v>61199</v>
      </c>
      <c r="D1335" s="62" t="s">
        <v>135</v>
      </c>
      <c r="E1335" s="76"/>
      <c r="F1335" s="76"/>
      <c r="G1335" s="76">
        <v>100</v>
      </c>
      <c r="H1335" s="76">
        <f t="shared" si="53"/>
        <v>100</v>
      </c>
      <c r="I1335" s="73"/>
      <c r="J1335" s="256"/>
      <c r="K1335" s="256"/>
      <c r="L1335" s="256"/>
      <c r="M1335" s="256"/>
    </row>
    <row r="1336" spans="1:18" ht="15" customHeight="1" x14ac:dyDescent="0.2">
      <c r="A1336" s="249">
        <v>6</v>
      </c>
      <c r="B1336" s="147" t="s">
        <v>403</v>
      </c>
      <c r="C1336" s="61"/>
      <c r="D1336" s="61" t="s">
        <v>14</v>
      </c>
      <c r="E1336" s="83">
        <f>SUM(E1306:E1333)</f>
        <v>0</v>
      </c>
      <c r="F1336" s="83">
        <f>SUM(F1306:F1333)</f>
        <v>0</v>
      </c>
      <c r="G1336" s="83">
        <f>SUM(G1306:G1335)</f>
        <v>186659.44</v>
      </c>
      <c r="H1336" s="83">
        <f t="shared" si="53"/>
        <v>186659.44</v>
      </c>
      <c r="I1336" s="73"/>
      <c r="J1336" s="256"/>
      <c r="K1336" s="256"/>
      <c r="L1336" s="256"/>
      <c r="M1336" s="256"/>
      <c r="O1336" s="258"/>
      <c r="P1336" s="259"/>
    </row>
    <row r="1337" spans="1:18" ht="15" customHeight="1" x14ac:dyDescent="0.2">
      <c r="A1337" s="249" t="s">
        <v>387</v>
      </c>
      <c r="B1337" s="147" t="s">
        <v>387</v>
      </c>
      <c r="C1337" s="148"/>
      <c r="D1337" s="148"/>
      <c r="E1337" s="260"/>
      <c r="F1337" s="260"/>
      <c r="G1337" s="261"/>
      <c r="H1337" s="261"/>
      <c r="O1337" s="258"/>
      <c r="P1337" s="259"/>
      <c r="Q1337" s="147" t="s">
        <v>590</v>
      </c>
      <c r="R1337" s="259">
        <f>+H1336-P1337</f>
        <v>186659.44</v>
      </c>
    </row>
    <row r="1338" spans="1:18" ht="15" customHeight="1" x14ac:dyDescent="0.2">
      <c r="A1338" s="249" t="s">
        <v>387</v>
      </c>
      <c r="B1338" s="147" t="s">
        <v>387</v>
      </c>
      <c r="C1338" s="148"/>
      <c r="D1338" s="148"/>
      <c r="E1338" s="260"/>
      <c r="F1338" s="260"/>
      <c r="G1338" s="261"/>
      <c r="H1338" s="261"/>
      <c r="O1338" s="258"/>
    </row>
    <row r="1339" spans="1:18" ht="15" customHeight="1" x14ac:dyDescent="0.2">
      <c r="A1339" s="249" t="s">
        <v>387</v>
      </c>
      <c r="B1339" s="147" t="s">
        <v>387</v>
      </c>
      <c r="C1339" s="369"/>
      <c r="D1339" s="369"/>
      <c r="E1339" s="369"/>
      <c r="F1339" s="369"/>
      <c r="G1339" s="369"/>
      <c r="H1339" s="369"/>
    </row>
    <row r="1340" spans="1:18" ht="15" customHeight="1" x14ac:dyDescent="0.2">
      <c r="A1340" s="249" t="s">
        <v>387</v>
      </c>
      <c r="B1340" s="147" t="s">
        <v>387</v>
      </c>
      <c r="C1340" s="427" t="s">
        <v>119</v>
      </c>
      <c r="D1340" s="427"/>
      <c r="E1340" s="427"/>
      <c r="F1340" s="427"/>
      <c r="G1340" s="427"/>
      <c r="H1340" s="427"/>
    </row>
    <row r="1341" spans="1:18" ht="15" customHeight="1" x14ac:dyDescent="0.2">
      <c r="A1341" s="249" t="s">
        <v>387</v>
      </c>
      <c r="B1341" s="147" t="s">
        <v>387</v>
      </c>
      <c r="C1341" s="428" t="str">
        <f>C3</f>
        <v xml:space="preserve"> PRESUPUESTO AÑO 2024</v>
      </c>
      <c r="D1341" s="428"/>
      <c r="E1341" s="428"/>
      <c r="F1341" s="428"/>
      <c r="G1341" s="428"/>
      <c r="H1341" s="428"/>
    </row>
    <row r="1342" spans="1:18" ht="15" customHeight="1" x14ac:dyDescent="0.2">
      <c r="A1342" s="249" t="s">
        <v>387</v>
      </c>
      <c r="B1342" s="147" t="s">
        <v>387</v>
      </c>
      <c r="C1342" s="428" t="str">
        <f>C4</f>
        <v>PRESUPUESTO EXTRA CONTABLE</v>
      </c>
      <c r="D1342" s="428"/>
      <c r="E1342" s="428"/>
      <c r="F1342" s="428"/>
      <c r="G1342" s="428"/>
      <c r="H1342" s="428"/>
    </row>
    <row r="1343" spans="1:18" ht="15" customHeight="1" x14ac:dyDescent="0.2">
      <c r="A1343" s="249" t="s">
        <v>387</v>
      </c>
      <c r="B1343" s="147" t="s">
        <v>387</v>
      </c>
      <c r="C1343" s="427" t="s">
        <v>117</v>
      </c>
      <c r="D1343" s="427"/>
      <c r="E1343" s="427"/>
      <c r="F1343" s="427"/>
      <c r="G1343" s="427"/>
      <c r="H1343" s="427"/>
    </row>
    <row r="1344" spans="1:18" ht="15" customHeight="1" x14ac:dyDescent="0.2">
      <c r="A1344" s="249" t="s">
        <v>387</v>
      </c>
      <c r="B1344" s="147" t="s">
        <v>387</v>
      </c>
      <c r="C1344" s="427" t="s">
        <v>690</v>
      </c>
      <c r="D1344" s="427"/>
      <c r="E1344" s="427"/>
      <c r="F1344" s="427"/>
      <c r="G1344" s="427"/>
      <c r="H1344" s="427"/>
    </row>
    <row r="1345" spans="1:16" ht="15" customHeight="1" x14ac:dyDescent="0.2">
      <c r="A1345" s="249" t="s">
        <v>387</v>
      </c>
      <c r="B1345" s="147" t="s">
        <v>387</v>
      </c>
      <c r="C1345" s="430" t="s">
        <v>1</v>
      </c>
      <c r="D1345" s="430" t="s">
        <v>0</v>
      </c>
      <c r="E1345" s="255" t="s">
        <v>56</v>
      </c>
      <c r="F1345" s="255" t="str">
        <f>F7</f>
        <v>REFORMA</v>
      </c>
      <c r="G1345" s="255" t="s">
        <v>56</v>
      </c>
      <c r="H1345" s="432" t="str">
        <f>$H$7</f>
        <v>TOTAL 2024</v>
      </c>
      <c r="I1345" s="153" t="s">
        <v>285</v>
      </c>
      <c r="J1345" s="153"/>
      <c r="K1345" s="153"/>
      <c r="L1345" s="153"/>
      <c r="M1345" s="153"/>
    </row>
    <row r="1346" spans="1:16" ht="15" customHeight="1" x14ac:dyDescent="0.2">
      <c r="A1346" s="249" t="s">
        <v>387</v>
      </c>
      <c r="B1346" s="147" t="s">
        <v>387</v>
      </c>
      <c r="C1346" s="431"/>
      <c r="D1346" s="431"/>
      <c r="E1346" s="255" t="s">
        <v>139</v>
      </c>
      <c r="F1346" s="255"/>
      <c r="G1346" s="255" t="s">
        <v>140</v>
      </c>
      <c r="H1346" s="433"/>
      <c r="I1346" s="153" t="s">
        <v>286</v>
      </c>
      <c r="J1346" s="153" t="s">
        <v>290</v>
      </c>
      <c r="K1346" s="153" t="s">
        <v>291</v>
      </c>
      <c r="L1346" s="153" t="s">
        <v>293</v>
      </c>
      <c r="M1346" s="153" t="s">
        <v>292</v>
      </c>
    </row>
    <row r="1347" spans="1:16" ht="15" customHeight="1" x14ac:dyDescent="0.2">
      <c r="A1347" s="249">
        <v>10</v>
      </c>
      <c r="B1347" s="147">
        <v>38</v>
      </c>
      <c r="C1347" s="61">
        <v>51101</v>
      </c>
      <c r="D1347" s="73" t="s">
        <v>15</v>
      </c>
      <c r="E1347" s="74"/>
      <c r="F1347" s="74"/>
      <c r="G1347" s="271">
        <v>305040</v>
      </c>
      <c r="H1347" s="76">
        <f>E1347+F1347+G1347</f>
        <v>305040</v>
      </c>
      <c r="I1347" s="256"/>
      <c r="J1347" s="256"/>
      <c r="K1347" s="256"/>
      <c r="L1347" s="256"/>
      <c r="M1347" s="256"/>
    </row>
    <row r="1348" spans="1:16" ht="15" customHeight="1" x14ac:dyDescent="0.2">
      <c r="A1348" s="249">
        <v>10</v>
      </c>
      <c r="B1348" s="147">
        <v>38</v>
      </c>
      <c r="C1348" s="61">
        <v>51103</v>
      </c>
      <c r="D1348" s="73" t="s">
        <v>16</v>
      </c>
      <c r="E1348" s="76"/>
      <c r="F1348" s="76"/>
      <c r="G1348" s="272">
        <v>25420</v>
      </c>
      <c r="H1348" s="76">
        <f t="shared" ref="H1348:H1390" si="54">E1348+F1348+G1348</f>
        <v>25420</v>
      </c>
      <c r="I1348" s="256"/>
      <c r="J1348" s="256"/>
      <c r="K1348" s="256"/>
      <c r="L1348" s="256"/>
      <c r="M1348" s="256"/>
    </row>
    <row r="1349" spans="1:16" ht="15" customHeight="1" x14ac:dyDescent="0.2">
      <c r="A1349" s="249">
        <v>10</v>
      </c>
      <c r="B1349" s="147">
        <v>38</v>
      </c>
      <c r="C1349" s="61">
        <v>51107</v>
      </c>
      <c r="D1349" s="73" t="s">
        <v>34</v>
      </c>
      <c r="E1349" s="74"/>
      <c r="F1349" s="74"/>
      <c r="G1349" s="272">
        <v>12800</v>
      </c>
      <c r="H1349" s="76">
        <f t="shared" si="54"/>
        <v>12800</v>
      </c>
      <c r="I1349" s="256"/>
      <c r="J1349" s="256"/>
      <c r="K1349" s="256"/>
      <c r="L1349" s="256"/>
      <c r="M1349" s="256"/>
    </row>
    <row r="1350" spans="1:16" ht="15" customHeight="1" x14ac:dyDescent="0.2">
      <c r="A1350" s="249">
        <v>10</v>
      </c>
      <c r="B1350" s="147">
        <v>38</v>
      </c>
      <c r="C1350" s="61">
        <v>51401</v>
      </c>
      <c r="D1350" s="62" t="s">
        <v>47</v>
      </c>
      <c r="E1350" s="74"/>
      <c r="F1350" s="74"/>
      <c r="G1350" s="271">
        <v>25912.560000000001</v>
      </c>
      <c r="H1350" s="76">
        <f t="shared" si="54"/>
        <v>25912.560000000001</v>
      </c>
      <c r="I1350" s="256"/>
      <c r="J1350" s="256"/>
      <c r="K1350" s="256"/>
      <c r="L1350" s="256"/>
      <c r="M1350" s="256"/>
      <c r="O1350" s="257"/>
    </row>
    <row r="1351" spans="1:16" ht="15" customHeight="1" x14ac:dyDescent="0.2">
      <c r="A1351" s="249">
        <v>10</v>
      </c>
      <c r="B1351" s="147">
        <v>38</v>
      </c>
      <c r="C1351" s="61">
        <v>51501</v>
      </c>
      <c r="D1351" s="73" t="s">
        <v>29</v>
      </c>
      <c r="E1351" s="74"/>
      <c r="F1351" s="74"/>
      <c r="G1351" s="271">
        <v>25068.75</v>
      </c>
      <c r="H1351" s="76">
        <f t="shared" si="54"/>
        <v>25068.75</v>
      </c>
      <c r="I1351" s="256"/>
      <c r="J1351" s="256"/>
      <c r="K1351" s="256"/>
      <c r="L1351" s="256"/>
      <c r="M1351" s="256"/>
    </row>
    <row r="1352" spans="1:16" ht="15" customHeight="1" x14ac:dyDescent="0.2">
      <c r="A1352" s="249">
        <v>10</v>
      </c>
      <c r="B1352" s="147">
        <v>38</v>
      </c>
      <c r="C1352" s="61">
        <v>54101</v>
      </c>
      <c r="D1352" s="73" t="s">
        <v>38</v>
      </c>
      <c r="E1352" s="74"/>
      <c r="F1352" s="74"/>
      <c r="G1352" s="74">
        <v>100</v>
      </c>
      <c r="H1352" s="76">
        <f t="shared" si="54"/>
        <v>100</v>
      </c>
      <c r="I1352" s="256"/>
      <c r="J1352" s="256"/>
      <c r="K1352" s="256"/>
      <c r="L1352" s="256"/>
      <c r="M1352" s="256"/>
    </row>
    <row r="1353" spans="1:16" ht="15" customHeight="1" x14ac:dyDescent="0.2">
      <c r="A1353" s="249">
        <v>10</v>
      </c>
      <c r="B1353" s="147">
        <v>38</v>
      </c>
      <c r="C1353" s="61">
        <v>54103</v>
      </c>
      <c r="D1353" s="73" t="s">
        <v>41</v>
      </c>
      <c r="E1353" s="74"/>
      <c r="F1353" s="74"/>
      <c r="G1353" s="74">
        <v>600</v>
      </c>
      <c r="H1353" s="76">
        <f t="shared" si="54"/>
        <v>600</v>
      </c>
      <c r="I1353" s="256"/>
      <c r="J1353" s="256"/>
      <c r="K1353" s="256"/>
      <c r="L1353" s="256"/>
      <c r="M1353" s="256"/>
    </row>
    <row r="1354" spans="1:16" ht="15" customHeight="1" x14ac:dyDescent="0.2">
      <c r="A1354" s="249">
        <v>10</v>
      </c>
      <c r="B1354" s="147">
        <v>38</v>
      </c>
      <c r="C1354" s="61">
        <v>54104</v>
      </c>
      <c r="D1354" s="73" t="s">
        <v>17</v>
      </c>
      <c r="E1354" s="74"/>
      <c r="F1354" s="74"/>
      <c r="G1354" s="74">
        <v>10000</v>
      </c>
      <c r="H1354" s="76">
        <f t="shared" si="54"/>
        <v>10000</v>
      </c>
      <c r="I1354" s="256"/>
      <c r="J1354" s="256"/>
      <c r="K1354" s="256"/>
      <c r="L1354" s="256"/>
      <c r="M1354" s="256"/>
    </row>
    <row r="1355" spans="1:16" ht="15" customHeight="1" x14ac:dyDescent="0.2">
      <c r="A1355" s="249">
        <v>10</v>
      </c>
      <c r="B1355" s="147">
        <v>38</v>
      </c>
      <c r="C1355" s="61">
        <v>54105</v>
      </c>
      <c r="D1355" s="73" t="s">
        <v>50</v>
      </c>
      <c r="E1355" s="74"/>
      <c r="F1355" s="74"/>
      <c r="G1355" s="74">
        <v>0</v>
      </c>
      <c r="H1355" s="76">
        <f t="shared" si="54"/>
        <v>0</v>
      </c>
      <c r="I1355" s="256"/>
      <c r="J1355" s="256"/>
      <c r="K1355" s="256"/>
      <c r="L1355" s="256"/>
      <c r="M1355" s="256"/>
    </row>
    <row r="1356" spans="1:16" ht="15" customHeight="1" x14ac:dyDescent="0.2">
      <c r="A1356" s="249">
        <v>10</v>
      </c>
      <c r="B1356" s="147">
        <v>38</v>
      </c>
      <c r="C1356" s="61">
        <v>54106</v>
      </c>
      <c r="D1356" s="73" t="s">
        <v>18</v>
      </c>
      <c r="E1356" s="74"/>
      <c r="F1356" s="74"/>
      <c r="G1356" s="74">
        <v>2000</v>
      </c>
      <c r="H1356" s="76">
        <f t="shared" si="54"/>
        <v>2000</v>
      </c>
      <c r="I1356" s="256"/>
      <c r="J1356" s="256"/>
      <c r="K1356" s="256"/>
      <c r="L1356" s="256"/>
      <c r="M1356" s="256"/>
    </row>
    <row r="1357" spans="1:16" ht="15" customHeight="1" x14ac:dyDescent="0.2">
      <c r="A1357" s="249">
        <v>10</v>
      </c>
      <c r="B1357" s="147">
        <v>38</v>
      </c>
      <c r="C1357" s="61">
        <v>54107</v>
      </c>
      <c r="D1357" s="73" t="s">
        <v>43</v>
      </c>
      <c r="E1357" s="74"/>
      <c r="F1357" s="74"/>
      <c r="G1357" s="74">
        <v>20000</v>
      </c>
      <c r="H1357" s="76">
        <f t="shared" si="54"/>
        <v>20000</v>
      </c>
      <c r="I1357" s="256"/>
      <c r="J1357" s="256"/>
      <c r="K1357" s="256"/>
      <c r="L1357" s="256"/>
      <c r="M1357" s="256"/>
    </row>
    <row r="1358" spans="1:16" ht="15" customHeight="1" x14ac:dyDescent="0.2">
      <c r="A1358" s="249">
        <v>10</v>
      </c>
      <c r="B1358" s="147">
        <v>38</v>
      </c>
      <c r="C1358" s="61">
        <v>54108</v>
      </c>
      <c r="D1358" s="73" t="s">
        <v>524</v>
      </c>
      <c r="E1358" s="74"/>
      <c r="F1358" s="74"/>
      <c r="G1358" s="74">
        <v>300</v>
      </c>
      <c r="H1358" s="76">
        <f t="shared" si="54"/>
        <v>300</v>
      </c>
      <c r="I1358" s="256"/>
      <c r="J1358" s="256"/>
      <c r="K1358" s="256"/>
      <c r="L1358" s="256"/>
      <c r="M1358" s="256"/>
    </row>
    <row r="1359" spans="1:16" ht="15" customHeight="1" x14ac:dyDescent="0.2">
      <c r="A1359" s="249">
        <v>10</v>
      </c>
      <c r="B1359" s="147">
        <v>38</v>
      </c>
      <c r="C1359" s="61">
        <v>54109</v>
      </c>
      <c r="D1359" s="73" t="s">
        <v>19</v>
      </c>
      <c r="E1359" s="74"/>
      <c r="F1359" s="74"/>
      <c r="G1359" s="74">
        <v>30000</v>
      </c>
      <c r="H1359" s="76">
        <f t="shared" si="54"/>
        <v>30000</v>
      </c>
      <c r="I1359" s="256"/>
      <c r="J1359" s="256"/>
      <c r="K1359" s="256"/>
      <c r="L1359" s="256"/>
      <c r="M1359" s="256"/>
    </row>
    <row r="1360" spans="1:16" ht="15" customHeight="1" x14ac:dyDescent="0.2">
      <c r="A1360" s="249">
        <v>10</v>
      </c>
      <c r="B1360" s="147">
        <v>38</v>
      </c>
      <c r="C1360" s="61">
        <v>54110</v>
      </c>
      <c r="D1360" s="73" t="s">
        <v>20</v>
      </c>
      <c r="E1360" s="74"/>
      <c r="F1360" s="74"/>
      <c r="G1360" s="74">
        <v>130000</v>
      </c>
      <c r="H1360" s="76">
        <f t="shared" si="54"/>
        <v>130000</v>
      </c>
      <c r="I1360" s="256"/>
      <c r="J1360" s="256"/>
      <c r="K1360" s="256"/>
      <c r="L1360" s="256"/>
      <c r="M1360" s="256"/>
      <c r="O1360" s="252">
        <v>75000</v>
      </c>
      <c r="P1360" s="274">
        <f>G1360-O1360</f>
        <v>55000</v>
      </c>
    </row>
    <row r="1361" spans="1:13" ht="15" customHeight="1" x14ac:dyDescent="0.2">
      <c r="A1361" s="249">
        <v>10</v>
      </c>
      <c r="B1361" s="147">
        <v>38</v>
      </c>
      <c r="C1361" s="61">
        <v>54111</v>
      </c>
      <c r="D1361" s="62" t="s">
        <v>48</v>
      </c>
      <c r="E1361" s="74"/>
      <c r="F1361" s="74"/>
      <c r="G1361" s="74">
        <v>2500</v>
      </c>
      <c r="H1361" s="76">
        <f t="shared" si="54"/>
        <v>2500</v>
      </c>
      <c r="I1361" s="256"/>
      <c r="J1361" s="256"/>
      <c r="K1361" s="256"/>
      <c r="L1361" s="256"/>
      <c r="M1361" s="256"/>
    </row>
    <row r="1362" spans="1:13" ht="15" customHeight="1" x14ac:dyDescent="0.2">
      <c r="A1362" s="249">
        <v>10</v>
      </c>
      <c r="B1362" s="147">
        <v>38</v>
      </c>
      <c r="C1362" s="61">
        <v>54112</v>
      </c>
      <c r="D1362" s="62" t="s">
        <v>39</v>
      </c>
      <c r="E1362" s="74"/>
      <c r="F1362" s="74"/>
      <c r="G1362" s="74">
        <v>7000</v>
      </c>
      <c r="H1362" s="76">
        <f t="shared" si="54"/>
        <v>7000</v>
      </c>
      <c r="I1362" s="256"/>
      <c r="J1362" s="256"/>
      <c r="K1362" s="256"/>
      <c r="L1362" s="256"/>
      <c r="M1362" s="256"/>
    </row>
    <row r="1363" spans="1:13" ht="15" customHeight="1" x14ac:dyDescent="0.2">
      <c r="A1363" s="249">
        <v>10</v>
      </c>
      <c r="B1363" s="147">
        <v>38</v>
      </c>
      <c r="C1363" s="61">
        <v>54114</v>
      </c>
      <c r="D1363" s="73" t="s">
        <v>5</v>
      </c>
      <c r="E1363" s="74"/>
      <c r="F1363" s="74"/>
      <c r="G1363" s="74">
        <v>325</v>
      </c>
      <c r="H1363" s="76">
        <f t="shared" si="54"/>
        <v>325</v>
      </c>
      <c r="I1363" s="256"/>
      <c r="J1363" s="256"/>
      <c r="K1363" s="256"/>
      <c r="L1363" s="256"/>
      <c r="M1363" s="256"/>
    </row>
    <row r="1364" spans="1:13" ht="15" customHeight="1" x14ac:dyDescent="0.2">
      <c r="A1364" s="249">
        <v>10</v>
      </c>
      <c r="B1364" s="147">
        <v>38</v>
      </c>
      <c r="C1364" s="61">
        <v>54115</v>
      </c>
      <c r="D1364" s="73" t="s">
        <v>49</v>
      </c>
      <c r="E1364" s="74"/>
      <c r="F1364" s="74"/>
      <c r="G1364" s="74">
        <v>450</v>
      </c>
      <c r="H1364" s="76">
        <f t="shared" si="54"/>
        <v>450</v>
      </c>
      <c r="I1364" s="256"/>
      <c r="J1364" s="256"/>
      <c r="K1364" s="256"/>
      <c r="L1364" s="256"/>
      <c r="M1364" s="256"/>
    </row>
    <row r="1365" spans="1:13" ht="15" customHeight="1" x14ac:dyDescent="0.2">
      <c r="A1365" s="249">
        <v>10</v>
      </c>
      <c r="B1365" s="147">
        <v>38</v>
      </c>
      <c r="C1365" s="61">
        <v>54116</v>
      </c>
      <c r="D1365" s="62" t="s">
        <v>167</v>
      </c>
      <c r="E1365" s="74"/>
      <c r="F1365" s="74"/>
      <c r="G1365" s="74">
        <v>500</v>
      </c>
      <c r="H1365" s="76">
        <f t="shared" si="54"/>
        <v>500</v>
      </c>
      <c r="I1365" s="256"/>
      <c r="J1365" s="256"/>
      <c r="K1365" s="256"/>
      <c r="L1365" s="256"/>
      <c r="M1365" s="256"/>
    </row>
    <row r="1366" spans="1:13" ht="15" customHeight="1" x14ac:dyDescent="0.2">
      <c r="A1366" s="249">
        <v>10</v>
      </c>
      <c r="B1366" s="147">
        <v>38</v>
      </c>
      <c r="C1366" s="61">
        <v>54118</v>
      </c>
      <c r="D1366" s="62" t="s">
        <v>35</v>
      </c>
      <c r="E1366" s="74"/>
      <c r="F1366" s="74"/>
      <c r="G1366" s="74">
        <v>16600</v>
      </c>
      <c r="H1366" s="76">
        <f t="shared" si="54"/>
        <v>16600</v>
      </c>
      <c r="I1366" s="256"/>
      <c r="J1366" s="256"/>
      <c r="K1366" s="256"/>
      <c r="L1366" s="256"/>
      <c r="M1366" s="256"/>
    </row>
    <row r="1367" spans="1:13" ht="15" customHeight="1" x14ac:dyDescent="0.2">
      <c r="A1367" s="249">
        <v>10</v>
      </c>
      <c r="B1367" s="147">
        <v>38</v>
      </c>
      <c r="C1367" s="61">
        <v>54119</v>
      </c>
      <c r="D1367" s="73" t="s">
        <v>6</v>
      </c>
      <c r="E1367" s="74"/>
      <c r="F1367" s="74"/>
      <c r="G1367" s="74">
        <v>8000</v>
      </c>
      <c r="H1367" s="76">
        <f t="shared" si="54"/>
        <v>8000</v>
      </c>
      <c r="I1367" s="256"/>
      <c r="J1367" s="256"/>
      <c r="K1367" s="256"/>
      <c r="L1367" s="256"/>
      <c r="M1367" s="256"/>
    </row>
    <row r="1368" spans="1:13" ht="15" customHeight="1" x14ac:dyDescent="0.2">
      <c r="A1368" s="249">
        <v>10</v>
      </c>
      <c r="B1368" s="147">
        <v>38</v>
      </c>
      <c r="C1368" s="61">
        <v>54199</v>
      </c>
      <c r="D1368" s="62" t="s">
        <v>26</v>
      </c>
      <c r="E1368" s="74"/>
      <c r="F1368" s="74"/>
      <c r="G1368" s="74">
        <v>1000</v>
      </c>
      <c r="H1368" s="76">
        <f t="shared" si="54"/>
        <v>1000</v>
      </c>
      <c r="I1368" s="256"/>
      <c r="J1368" s="256"/>
      <c r="K1368" s="256"/>
      <c r="L1368" s="256"/>
      <c r="M1368" s="256"/>
    </row>
    <row r="1369" spans="1:13" ht="15" customHeight="1" x14ac:dyDescent="0.2">
      <c r="A1369" s="249">
        <v>10</v>
      </c>
      <c r="B1369" s="147">
        <v>38</v>
      </c>
      <c r="C1369" s="61">
        <v>54201</v>
      </c>
      <c r="D1369" s="73" t="s">
        <v>21</v>
      </c>
      <c r="E1369" s="74">
        <v>50000</v>
      </c>
      <c r="F1369" s="74"/>
      <c r="G1369" s="76">
        <v>80000</v>
      </c>
      <c r="H1369" s="76">
        <f t="shared" si="54"/>
        <v>130000</v>
      </c>
      <c r="I1369" s="256"/>
      <c r="J1369" s="256"/>
      <c r="K1369" s="256"/>
      <c r="L1369" s="256"/>
      <c r="M1369" s="256"/>
    </row>
    <row r="1370" spans="1:13" ht="15" customHeight="1" x14ac:dyDescent="0.2">
      <c r="A1370" s="249">
        <v>10</v>
      </c>
      <c r="B1370" s="147">
        <v>38</v>
      </c>
      <c r="C1370" s="61">
        <v>54202</v>
      </c>
      <c r="D1370" s="73" t="s">
        <v>27</v>
      </c>
      <c r="E1370" s="76">
        <v>20000</v>
      </c>
      <c r="F1370" s="76"/>
      <c r="G1370" s="76">
        <v>60000</v>
      </c>
      <c r="H1370" s="76">
        <f t="shared" si="54"/>
        <v>80000</v>
      </c>
      <c r="I1370" s="256"/>
      <c r="J1370" s="256"/>
      <c r="K1370" s="256"/>
      <c r="L1370" s="256"/>
      <c r="M1370" s="256"/>
    </row>
    <row r="1371" spans="1:13" ht="15" customHeight="1" x14ac:dyDescent="0.2">
      <c r="A1371" s="249">
        <v>10</v>
      </c>
      <c r="B1371" s="147">
        <v>38</v>
      </c>
      <c r="C1371" s="61">
        <v>54203</v>
      </c>
      <c r="D1371" s="62" t="s">
        <v>7</v>
      </c>
      <c r="E1371" s="76">
        <v>15000</v>
      </c>
      <c r="F1371" s="76"/>
      <c r="G1371" s="76">
        <v>20000</v>
      </c>
      <c r="H1371" s="76">
        <f t="shared" si="54"/>
        <v>35000</v>
      </c>
      <c r="I1371" s="256"/>
      <c r="J1371" s="256"/>
      <c r="K1371" s="256"/>
      <c r="L1371" s="256"/>
      <c r="M1371" s="256"/>
    </row>
    <row r="1372" spans="1:13" ht="15" customHeight="1" x14ac:dyDescent="0.2">
      <c r="A1372" s="249">
        <v>10</v>
      </c>
      <c r="B1372" s="147">
        <v>38</v>
      </c>
      <c r="C1372" s="61">
        <v>54205</v>
      </c>
      <c r="D1372" s="62" t="s">
        <v>138</v>
      </c>
      <c r="E1372" s="76">
        <v>300000</v>
      </c>
      <c r="F1372" s="76"/>
      <c r="G1372" s="76">
        <v>50000</v>
      </c>
      <c r="H1372" s="76">
        <f t="shared" si="54"/>
        <v>350000</v>
      </c>
      <c r="I1372" s="256"/>
      <c r="J1372" s="256"/>
      <c r="K1372" s="256"/>
      <c r="L1372" s="256"/>
      <c r="M1372" s="256"/>
    </row>
    <row r="1373" spans="1:13" ht="15" customHeight="1" x14ac:dyDescent="0.2">
      <c r="A1373" s="249">
        <v>10</v>
      </c>
      <c r="B1373" s="147">
        <v>38</v>
      </c>
      <c r="C1373" s="61">
        <v>54301</v>
      </c>
      <c r="D1373" s="62" t="s">
        <v>8</v>
      </c>
      <c r="E1373" s="74"/>
      <c r="F1373" s="74"/>
      <c r="G1373" s="76">
        <v>3000</v>
      </c>
      <c r="H1373" s="76">
        <f t="shared" si="54"/>
        <v>3000</v>
      </c>
      <c r="I1373" s="256"/>
      <c r="J1373" s="256"/>
      <c r="K1373" s="256"/>
      <c r="L1373" s="256"/>
      <c r="M1373" s="256"/>
    </row>
    <row r="1374" spans="1:13" ht="15" customHeight="1" x14ac:dyDescent="0.2">
      <c r="A1374" s="249">
        <v>10</v>
      </c>
      <c r="B1374" s="147">
        <v>38</v>
      </c>
      <c r="C1374" s="61">
        <v>54302</v>
      </c>
      <c r="D1374" s="62" t="s">
        <v>22</v>
      </c>
      <c r="E1374" s="74"/>
      <c r="F1374" s="74"/>
      <c r="G1374" s="76">
        <v>20000</v>
      </c>
      <c r="H1374" s="76">
        <f t="shared" si="54"/>
        <v>20000</v>
      </c>
      <c r="I1374" s="256"/>
      <c r="J1374" s="256"/>
      <c r="K1374" s="256"/>
      <c r="L1374" s="256"/>
      <c r="M1374" s="256"/>
    </row>
    <row r="1375" spans="1:13" ht="15" customHeight="1" x14ac:dyDescent="0.2">
      <c r="A1375" s="249">
        <v>10</v>
      </c>
      <c r="B1375" s="147">
        <v>38</v>
      </c>
      <c r="C1375" s="61">
        <v>54303</v>
      </c>
      <c r="D1375" s="62" t="s">
        <v>183</v>
      </c>
      <c r="E1375" s="74"/>
      <c r="F1375" s="74"/>
      <c r="G1375" s="76">
        <v>5100</v>
      </c>
      <c r="H1375" s="76">
        <f t="shared" si="54"/>
        <v>5100</v>
      </c>
      <c r="I1375" s="256"/>
      <c r="J1375" s="256"/>
      <c r="K1375" s="256"/>
      <c r="L1375" s="256"/>
      <c r="M1375" s="256"/>
    </row>
    <row r="1376" spans="1:13" ht="15" customHeight="1" x14ac:dyDescent="0.2">
      <c r="A1376" s="249">
        <v>10</v>
      </c>
      <c r="B1376" s="147">
        <v>38</v>
      </c>
      <c r="C1376" s="61">
        <v>54304</v>
      </c>
      <c r="D1376" s="289" t="s">
        <v>496</v>
      </c>
      <c r="E1376" s="74"/>
      <c r="F1376" s="74"/>
      <c r="G1376" s="76">
        <v>30000</v>
      </c>
      <c r="H1376" s="76">
        <f t="shared" si="54"/>
        <v>30000</v>
      </c>
      <c r="I1376" s="256"/>
      <c r="J1376" s="256"/>
      <c r="K1376" s="256"/>
      <c r="L1376" s="256"/>
      <c r="M1376" s="256"/>
    </row>
    <row r="1377" spans="1:18" ht="15" customHeight="1" x14ac:dyDescent="0.2">
      <c r="A1377" s="249">
        <v>10</v>
      </c>
      <c r="B1377" s="147">
        <v>38</v>
      </c>
      <c r="C1377" s="61">
        <v>54305</v>
      </c>
      <c r="D1377" s="62" t="s">
        <v>349</v>
      </c>
      <c r="E1377" s="74"/>
      <c r="F1377" s="74"/>
      <c r="G1377" s="76">
        <v>500</v>
      </c>
      <c r="H1377" s="76">
        <f t="shared" si="54"/>
        <v>500</v>
      </c>
      <c r="I1377" s="256"/>
      <c r="J1377" s="256"/>
      <c r="K1377" s="256"/>
      <c r="L1377" s="256"/>
      <c r="M1377" s="256"/>
    </row>
    <row r="1378" spans="1:18" ht="15" customHeight="1" x14ac:dyDescent="0.2">
      <c r="A1378" s="249">
        <v>10</v>
      </c>
      <c r="B1378" s="147">
        <v>38</v>
      </c>
      <c r="C1378" s="61">
        <v>54307</v>
      </c>
      <c r="D1378" s="62" t="s">
        <v>10</v>
      </c>
      <c r="E1378" s="74"/>
      <c r="F1378" s="74"/>
      <c r="G1378" s="76">
        <v>10000</v>
      </c>
      <c r="H1378" s="76">
        <f t="shared" si="54"/>
        <v>10000</v>
      </c>
      <c r="I1378" s="256"/>
      <c r="J1378" s="256"/>
      <c r="K1378" s="256"/>
      <c r="L1378" s="256"/>
      <c r="M1378" s="256"/>
    </row>
    <row r="1379" spans="1:18" ht="15" customHeight="1" x14ac:dyDescent="0.2">
      <c r="A1379" s="249">
        <v>10</v>
      </c>
      <c r="B1379" s="147">
        <v>38</v>
      </c>
      <c r="C1379" s="61">
        <v>54313</v>
      </c>
      <c r="D1379" s="62" t="s">
        <v>11</v>
      </c>
      <c r="E1379" s="74"/>
      <c r="F1379" s="74"/>
      <c r="G1379" s="76">
        <v>5000</v>
      </c>
      <c r="H1379" s="76">
        <f t="shared" si="54"/>
        <v>5000</v>
      </c>
      <c r="I1379" s="256"/>
      <c r="J1379" s="256"/>
      <c r="K1379" s="256"/>
      <c r="L1379" s="256"/>
      <c r="M1379" s="256"/>
    </row>
    <row r="1380" spans="1:18" ht="15" customHeight="1" x14ac:dyDescent="0.2">
      <c r="A1380" s="249">
        <v>10</v>
      </c>
      <c r="B1380" s="147">
        <v>38</v>
      </c>
      <c r="C1380" s="61">
        <v>54316</v>
      </c>
      <c r="D1380" s="62" t="s">
        <v>45</v>
      </c>
      <c r="E1380" s="74"/>
      <c r="F1380" s="74"/>
      <c r="G1380" s="76">
        <v>500000</v>
      </c>
      <c r="H1380" s="76">
        <f t="shared" si="54"/>
        <v>500000</v>
      </c>
      <c r="I1380" s="256"/>
      <c r="J1380" s="256"/>
      <c r="K1380" s="256"/>
      <c r="L1380" s="256"/>
      <c r="M1380" s="256"/>
      <c r="O1380" s="252">
        <v>140000</v>
      </c>
      <c r="P1380" s="274">
        <f>G1380-O1380</f>
        <v>360000</v>
      </c>
    </row>
    <row r="1381" spans="1:18" ht="15" customHeight="1" x14ac:dyDescent="0.2">
      <c r="A1381" s="249">
        <v>10</v>
      </c>
      <c r="B1381" s="147">
        <v>38</v>
      </c>
      <c r="C1381" s="61">
        <v>54399</v>
      </c>
      <c r="D1381" s="62" t="s">
        <v>153</v>
      </c>
      <c r="E1381" s="74"/>
      <c r="F1381" s="74"/>
      <c r="G1381" s="76">
        <v>215000</v>
      </c>
      <c r="H1381" s="76">
        <f t="shared" si="54"/>
        <v>215000</v>
      </c>
      <c r="I1381" s="256"/>
      <c r="J1381" s="256"/>
      <c r="K1381" s="256"/>
      <c r="L1381" s="256"/>
      <c r="M1381" s="256"/>
    </row>
    <row r="1382" spans="1:18" ht="15" customHeight="1" x14ac:dyDescent="0.2">
      <c r="A1382" s="249">
        <v>10</v>
      </c>
      <c r="B1382" s="147">
        <v>38</v>
      </c>
      <c r="C1382" s="61">
        <v>54602</v>
      </c>
      <c r="D1382" s="62" t="s">
        <v>419</v>
      </c>
      <c r="E1382" s="74"/>
      <c r="F1382" s="74"/>
      <c r="G1382" s="76">
        <v>500000</v>
      </c>
      <c r="H1382" s="76">
        <f t="shared" si="54"/>
        <v>500000</v>
      </c>
      <c r="I1382" s="256"/>
      <c r="J1382" s="256"/>
      <c r="K1382" s="256"/>
      <c r="L1382" s="256"/>
      <c r="M1382" s="256"/>
      <c r="O1382" s="252">
        <v>450000</v>
      </c>
      <c r="P1382" s="274">
        <f>G1382-O1382</f>
        <v>50000</v>
      </c>
    </row>
    <row r="1383" spans="1:18" ht="15" customHeight="1" x14ac:dyDescent="0.2">
      <c r="A1383" s="249">
        <v>10</v>
      </c>
      <c r="B1383" s="147">
        <v>38</v>
      </c>
      <c r="C1383" s="61">
        <v>55602</v>
      </c>
      <c r="D1383" s="62" t="s">
        <v>13</v>
      </c>
      <c r="E1383" s="74"/>
      <c r="F1383" s="74"/>
      <c r="G1383" s="76">
        <v>60000</v>
      </c>
      <c r="H1383" s="76">
        <f t="shared" si="54"/>
        <v>60000</v>
      </c>
      <c r="I1383" s="256"/>
      <c r="J1383" s="256"/>
      <c r="K1383" s="256"/>
      <c r="L1383" s="256"/>
      <c r="M1383" s="256"/>
      <c r="P1383" s="274"/>
    </row>
    <row r="1384" spans="1:18" ht="15" customHeight="1" x14ac:dyDescent="0.2">
      <c r="A1384" s="249">
        <v>10</v>
      </c>
      <c r="B1384" s="147">
        <v>38</v>
      </c>
      <c r="C1384" s="61">
        <v>55703</v>
      </c>
      <c r="D1384" s="62" t="s">
        <v>456</v>
      </c>
      <c r="E1384" s="74"/>
      <c r="F1384" s="74"/>
      <c r="G1384" s="76">
        <v>2000</v>
      </c>
      <c r="H1384" s="76">
        <f t="shared" si="54"/>
        <v>2000</v>
      </c>
      <c r="I1384" s="256"/>
      <c r="J1384" s="256"/>
      <c r="K1384" s="256"/>
      <c r="L1384" s="256"/>
      <c r="M1384" s="256"/>
    </row>
    <row r="1385" spans="1:18" ht="15" customHeight="1" x14ac:dyDescent="0.2">
      <c r="A1385" s="249">
        <v>10</v>
      </c>
      <c r="B1385" s="147">
        <v>38</v>
      </c>
      <c r="C1385" s="61">
        <v>61101</v>
      </c>
      <c r="D1385" s="62" t="s">
        <v>144</v>
      </c>
      <c r="E1385" s="74"/>
      <c r="F1385" s="74"/>
      <c r="G1385" s="74">
        <v>2600</v>
      </c>
      <c r="H1385" s="76">
        <f t="shared" si="54"/>
        <v>2600</v>
      </c>
      <c r="I1385" s="256"/>
      <c r="J1385" s="256"/>
      <c r="K1385" s="256"/>
      <c r="L1385" s="256"/>
      <c r="M1385" s="256"/>
    </row>
    <row r="1386" spans="1:18" ht="15" customHeight="1" x14ac:dyDescent="0.2">
      <c r="A1386" s="249">
        <v>10</v>
      </c>
      <c r="B1386" s="147">
        <v>38</v>
      </c>
      <c r="C1386" s="61">
        <v>61102</v>
      </c>
      <c r="D1386" s="62" t="s">
        <v>28</v>
      </c>
      <c r="E1386" s="74"/>
      <c r="F1386" s="74"/>
      <c r="G1386" s="74">
        <v>22000</v>
      </c>
      <c r="H1386" s="76">
        <f t="shared" si="54"/>
        <v>22000</v>
      </c>
      <c r="I1386" s="256"/>
      <c r="J1386" s="256"/>
      <c r="K1386" s="256"/>
      <c r="L1386" s="256"/>
      <c r="M1386" s="256"/>
    </row>
    <row r="1387" spans="1:18" ht="15" customHeight="1" x14ac:dyDescent="0.2">
      <c r="A1387" s="249">
        <v>10</v>
      </c>
      <c r="B1387" s="147">
        <v>38</v>
      </c>
      <c r="C1387" s="61">
        <v>61104</v>
      </c>
      <c r="D1387" s="62" t="s">
        <v>46</v>
      </c>
      <c r="E1387" s="74"/>
      <c r="F1387" s="74"/>
      <c r="G1387" s="74">
        <v>1500</v>
      </c>
      <c r="H1387" s="76">
        <f t="shared" si="54"/>
        <v>1500</v>
      </c>
      <c r="I1387" s="256"/>
      <c r="J1387" s="256"/>
      <c r="K1387" s="256"/>
      <c r="L1387" s="256"/>
      <c r="M1387" s="256"/>
    </row>
    <row r="1388" spans="1:18" ht="15" customHeight="1" x14ac:dyDescent="0.2">
      <c r="A1388" s="249">
        <v>10</v>
      </c>
      <c r="B1388" s="147">
        <v>38</v>
      </c>
      <c r="C1388" s="61">
        <v>61105</v>
      </c>
      <c r="D1388" s="62" t="s">
        <v>389</v>
      </c>
      <c r="E1388" s="74"/>
      <c r="F1388" s="74"/>
      <c r="G1388" s="74">
        <v>0</v>
      </c>
      <c r="H1388" s="76">
        <f t="shared" si="54"/>
        <v>0</v>
      </c>
      <c r="I1388" s="256"/>
      <c r="J1388" s="256"/>
      <c r="K1388" s="256"/>
      <c r="L1388" s="256"/>
      <c r="M1388" s="256"/>
    </row>
    <row r="1389" spans="1:18" ht="15" customHeight="1" x14ac:dyDescent="0.2">
      <c r="A1389" s="249">
        <v>10</v>
      </c>
      <c r="B1389" s="147">
        <v>38</v>
      </c>
      <c r="C1389" s="61">
        <v>61108</v>
      </c>
      <c r="D1389" s="62" t="s">
        <v>436</v>
      </c>
      <c r="E1389" s="74"/>
      <c r="F1389" s="74"/>
      <c r="G1389" s="74">
        <v>40000</v>
      </c>
      <c r="H1389" s="76">
        <f t="shared" si="54"/>
        <v>40000</v>
      </c>
      <c r="I1389" s="256"/>
      <c r="J1389" s="256"/>
      <c r="K1389" s="256"/>
      <c r="L1389" s="256"/>
      <c r="M1389" s="256"/>
    </row>
    <row r="1390" spans="1:18" ht="15" customHeight="1" x14ac:dyDescent="0.2">
      <c r="A1390" s="249">
        <v>10</v>
      </c>
      <c r="B1390" s="147">
        <v>38</v>
      </c>
      <c r="C1390" s="61">
        <v>61602</v>
      </c>
      <c r="D1390" s="62" t="s">
        <v>289</v>
      </c>
      <c r="E1390" s="74"/>
      <c r="F1390" s="74"/>
      <c r="G1390" s="74"/>
      <c r="H1390" s="76">
        <f t="shared" si="54"/>
        <v>0</v>
      </c>
      <c r="I1390" s="256"/>
      <c r="J1390" s="256"/>
      <c r="K1390" s="256"/>
      <c r="L1390" s="256"/>
      <c r="M1390" s="256"/>
    </row>
    <row r="1391" spans="1:18" ht="15" customHeight="1" x14ac:dyDescent="0.2">
      <c r="A1391" s="249">
        <v>10</v>
      </c>
      <c r="B1391" s="147" t="s">
        <v>404</v>
      </c>
      <c r="C1391" s="61"/>
      <c r="D1391" s="61" t="s">
        <v>14</v>
      </c>
      <c r="E1391" s="138">
        <f>SUM(E1347:E1390)</f>
        <v>385000</v>
      </c>
      <c r="F1391" s="83">
        <f>SUM(F1347:F1389)</f>
        <v>0</v>
      </c>
      <c r="G1391" s="83">
        <f>SUM(G1347:G1390)</f>
        <v>2250316.31</v>
      </c>
      <c r="H1391" s="83">
        <f>E1391+F1391+G1391</f>
        <v>2635316.31</v>
      </c>
      <c r="I1391" s="256"/>
      <c r="J1391" s="256"/>
      <c r="K1391" s="256"/>
      <c r="L1391" s="256"/>
      <c r="M1391" s="256"/>
      <c r="O1391" s="258"/>
      <c r="P1391" s="259">
        <f>P1360+P1380+P1382</f>
        <v>465000</v>
      </c>
      <c r="Q1391" s="147">
        <f>145000+43233.92+20000+10000+10000+25000+50000+40000+40000</f>
        <v>383233.92</v>
      </c>
      <c r="R1391" s="274">
        <f>P1391-Q1391</f>
        <v>81766.080000000016</v>
      </c>
    </row>
    <row r="1392" spans="1:18" ht="15" customHeight="1" x14ac:dyDescent="0.2">
      <c r="A1392" s="249" t="s">
        <v>387</v>
      </c>
      <c r="B1392" s="147" t="s">
        <v>387</v>
      </c>
      <c r="C1392" s="148"/>
      <c r="D1392" s="148"/>
      <c r="E1392" s="149"/>
      <c r="F1392" s="149"/>
      <c r="G1392" s="273"/>
      <c r="H1392" s="273"/>
      <c r="O1392" s="258"/>
      <c r="P1392" s="259"/>
      <c r="Q1392" s="147" t="s">
        <v>590</v>
      </c>
      <c r="R1392" s="259">
        <f>+H1391-P1392</f>
        <v>2635316.31</v>
      </c>
    </row>
    <row r="1393" spans="1:15" ht="15" customHeight="1" x14ac:dyDescent="0.2">
      <c r="A1393" s="249" t="s">
        <v>387</v>
      </c>
      <c r="B1393" s="147" t="s">
        <v>387</v>
      </c>
      <c r="C1393" s="368"/>
      <c r="D1393" s="362"/>
      <c r="E1393" s="373"/>
      <c r="F1393" s="373"/>
      <c r="G1393" s="374"/>
      <c r="H1393" s="374"/>
    </row>
    <row r="1394" spans="1:15" ht="15" customHeight="1" x14ac:dyDescent="0.2">
      <c r="A1394" s="249" t="s">
        <v>387</v>
      </c>
      <c r="B1394" s="147" t="s">
        <v>387</v>
      </c>
      <c r="C1394" s="368"/>
      <c r="D1394" s="362"/>
      <c r="E1394" s="373"/>
      <c r="F1394" s="373"/>
      <c r="G1394" s="375"/>
      <c r="H1394" s="375"/>
      <c r="O1394" s="258"/>
    </row>
    <row r="1395" spans="1:15" ht="15" customHeight="1" x14ac:dyDescent="0.2">
      <c r="A1395" s="249" t="s">
        <v>387</v>
      </c>
      <c r="B1395" s="147" t="s">
        <v>387</v>
      </c>
      <c r="C1395" s="427" t="s">
        <v>119</v>
      </c>
      <c r="D1395" s="427"/>
      <c r="E1395" s="427"/>
      <c r="F1395" s="427"/>
      <c r="G1395" s="427"/>
      <c r="H1395" s="427"/>
    </row>
    <row r="1396" spans="1:15" ht="15" customHeight="1" x14ac:dyDescent="0.2">
      <c r="A1396" s="249" t="s">
        <v>387</v>
      </c>
      <c r="B1396" s="147" t="s">
        <v>387</v>
      </c>
      <c r="C1396" s="428" t="str">
        <f>C3</f>
        <v xml:space="preserve"> PRESUPUESTO AÑO 2024</v>
      </c>
      <c r="D1396" s="428"/>
      <c r="E1396" s="428"/>
      <c r="F1396" s="428"/>
      <c r="G1396" s="428"/>
      <c r="H1396" s="428"/>
    </row>
    <row r="1397" spans="1:15" ht="15" customHeight="1" x14ac:dyDescent="0.2">
      <c r="A1397" s="249" t="s">
        <v>387</v>
      </c>
      <c r="B1397" s="147" t="s">
        <v>387</v>
      </c>
      <c r="C1397" s="428" t="str">
        <f>C4</f>
        <v>PRESUPUESTO EXTRA CONTABLE</v>
      </c>
      <c r="D1397" s="428"/>
      <c r="E1397" s="428"/>
      <c r="F1397" s="428"/>
      <c r="G1397" s="428"/>
      <c r="H1397" s="428"/>
    </row>
    <row r="1398" spans="1:15" ht="15" customHeight="1" x14ac:dyDescent="0.2">
      <c r="A1398" s="249" t="s">
        <v>387</v>
      </c>
      <c r="B1398" s="147" t="s">
        <v>387</v>
      </c>
      <c r="C1398" s="427" t="s">
        <v>117</v>
      </c>
      <c r="D1398" s="427"/>
      <c r="E1398" s="427"/>
      <c r="F1398" s="427"/>
      <c r="G1398" s="427"/>
      <c r="H1398" s="427"/>
    </row>
    <row r="1399" spans="1:15" ht="15" customHeight="1" x14ac:dyDescent="0.2">
      <c r="A1399" s="249" t="s">
        <v>387</v>
      </c>
      <c r="B1399" s="147" t="s">
        <v>387</v>
      </c>
      <c r="C1399" s="427" t="s">
        <v>758</v>
      </c>
      <c r="D1399" s="427"/>
      <c r="E1399" s="427"/>
      <c r="F1399" s="427"/>
      <c r="G1399" s="427"/>
      <c r="H1399" s="427"/>
    </row>
    <row r="1400" spans="1:15" ht="15" customHeight="1" x14ac:dyDescent="0.2">
      <c r="A1400" s="249" t="s">
        <v>387</v>
      </c>
      <c r="B1400" s="147" t="s">
        <v>387</v>
      </c>
      <c r="C1400" s="430" t="s">
        <v>1</v>
      </c>
      <c r="D1400" s="430" t="s">
        <v>0</v>
      </c>
      <c r="E1400" s="255" t="s">
        <v>56</v>
      </c>
      <c r="F1400" s="255" t="str">
        <f>F7</f>
        <v>REFORMA</v>
      </c>
      <c r="G1400" s="255" t="s">
        <v>56</v>
      </c>
      <c r="H1400" s="432" t="str">
        <f>$H$7</f>
        <v>TOTAL 2024</v>
      </c>
      <c r="I1400" s="153" t="s">
        <v>285</v>
      </c>
      <c r="J1400" s="153"/>
      <c r="K1400" s="153"/>
      <c r="L1400" s="153"/>
      <c r="M1400" s="153"/>
    </row>
    <row r="1401" spans="1:15" ht="15" customHeight="1" x14ac:dyDescent="0.2">
      <c r="A1401" s="249" t="s">
        <v>387</v>
      </c>
      <c r="B1401" s="147" t="s">
        <v>387</v>
      </c>
      <c r="C1401" s="431"/>
      <c r="D1401" s="431"/>
      <c r="E1401" s="255" t="s">
        <v>139</v>
      </c>
      <c r="F1401" s="255"/>
      <c r="G1401" s="255" t="s">
        <v>140</v>
      </c>
      <c r="H1401" s="433"/>
      <c r="I1401" s="153" t="s">
        <v>286</v>
      </c>
      <c r="J1401" s="153" t="s">
        <v>290</v>
      </c>
      <c r="K1401" s="153" t="s">
        <v>291</v>
      </c>
      <c r="L1401" s="153" t="s">
        <v>293</v>
      </c>
      <c r="M1401" s="153" t="s">
        <v>292</v>
      </c>
    </row>
    <row r="1402" spans="1:15" ht="15" customHeight="1" x14ac:dyDescent="0.2">
      <c r="A1402" s="249">
        <v>10</v>
      </c>
      <c r="B1402" s="147">
        <v>40</v>
      </c>
      <c r="C1402" s="61">
        <v>51101</v>
      </c>
      <c r="D1402" s="73" t="s">
        <v>15</v>
      </c>
      <c r="E1402" s="74"/>
      <c r="F1402" s="74"/>
      <c r="G1402" s="271">
        <v>75888</v>
      </c>
      <c r="H1402" s="76">
        <f t="shared" ref="H1402:H1430" si="55">E1402+F1402+G1402</f>
        <v>75888</v>
      </c>
      <c r="I1402" s="73"/>
      <c r="J1402" s="73"/>
      <c r="K1402" s="73"/>
      <c r="L1402" s="73"/>
      <c r="M1402" s="73"/>
    </row>
    <row r="1403" spans="1:15" ht="15" customHeight="1" x14ac:dyDescent="0.2">
      <c r="A1403" s="249">
        <v>10</v>
      </c>
      <c r="B1403" s="147">
        <v>40</v>
      </c>
      <c r="C1403" s="61">
        <v>51103</v>
      </c>
      <c r="D1403" s="73" t="s">
        <v>16</v>
      </c>
      <c r="E1403" s="76"/>
      <c r="F1403" s="76"/>
      <c r="G1403" s="272">
        <v>6324</v>
      </c>
      <c r="H1403" s="76">
        <f t="shared" si="55"/>
        <v>6324</v>
      </c>
      <c r="I1403" s="73"/>
      <c r="J1403" s="73"/>
      <c r="K1403" s="73"/>
      <c r="L1403" s="73"/>
      <c r="M1403" s="73"/>
    </row>
    <row r="1404" spans="1:15" ht="15" customHeight="1" x14ac:dyDescent="0.2">
      <c r="A1404" s="249">
        <v>10</v>
      </c>
      <c r="B1404" s="147">
        <v>40</v>
      </c>
      <c r="C1404" s="61">
        <v>51107</v>
      </c>
      <c r="D1404" s="73" t="s">
        <v>34</v>
      </c>
      <c r="E1404" s="76"/>
      <c r="F1404" s="76"/>
      <c r="G1404" s="272">
        <v>1800</v>
      </c>
      <c r="H1404" s="76">
        <f t="shared" si="55"/>
        <v>1800</v>
      </c>
      <c r="I1404" s="73"/>
      <c r="J1404" s="73"/>
      <c r="K1404" s="73"/>
      <c r="L1404" s="73"/>
      <c r="M1404" s="73"/>
    </row>
    <row r="1405" spans="1:15" ht="15" customHeight="1" x14ac:dyDescent="0.2">
      <c r="A1405" s="249">
        <v>10</v>
      </c>
      <c r="B1405" s="147">
        <v>40</v>
      </c>
      <c r="C1405" s="61">
        <v>51401</v>
      </c>
      <c r="D1405" s="62" t="s">
        <v>47</v>
      </c>
      <c r="E1405" s="74"/>
      <c r="F1405" s="74"/>
      <c r="G1405" s="271">
        <v>6450.4800000000005</v>
      </c>
      <c r="H1405" s="76">
        <f t="shared" si="55"/>
        <v>6450.4800000000005</v>
      </c>
      <c r="I1405" s="73"/>
      <c r="J1405" s="73"/>
      <c r="K1405" s="73"/>
      <c r="L1405" s="73"/>
      <c r="M1405" s="73"/>
      <c r="O1405" s="257"/>
    </row>
    <row r="1406" spans="1:15" ht="15" customHeight="1" x14ac:dyDescent="0.2">
      <c r="A1406" s="249">
        <v>10</v>
      </c>
      <c r="B1406" s="147">
        <v>40</v>
      </c>
      <c r="C1406" s="61">
        <v>51501</v>
      </c>
      <c r="D1406" s="73" t="s">
        <v>29</v>
      </c>
      <c r="E1406" s="74"/>
      <c r="F1406" s="74"/>
      <c r="G1406" s="271">
        <v>6640.2</v>
      </c>
      <c r="H1406" s="76">
        <f t="shared" si="55"/>
        <v>6640.2</v>
      </c>
      <c r="I1406" s="73"/>
      <c r="J1406" s="73"/>
      <c r="K1406" s="73"/>
      <c r="L1406" s="73"/>
      <c r="M1406" s="73"/>
    </row>
    <row r="1407" spans="1:15" ht="15" customHeight="1" x14ac:dyDescent="0.2">
      <c r="A1407" s="249">
        <v>10</v>
      </c>
      <c r="B1407" s="147">
        <v>40</v>
      </c>
      <c r="C1407" s="61">
        <v>54104</v>
      </c>
      <c r="D1407" s="73" t="s">
        <v>17</v>
      </c>
      <c r="E1407" s="74"/>
      <c r="F1407" s="74"/>
      <c r="G1407" s="74">
        <v>2000</v>
      </c>
      <c r="H1407" s="76">
        <f t="shared" si="55"/>
        <v>2000</v>
      </c>
      <c r="I1407" s="73"/>
      <c r="J1407" s="73"/>
      <c r="K1407" s="73"/>
      <c r="L1407" s="73"/>
      <c r="M1407" s="73"/>
    </row>
    <row r="1408" spans="1:15" ht="15" customHeight="1" x14ac:dyDescent="0.2">
      <c r="A1408" s="249">
        <v>10</v>
      </c>
      <c r="B1408" s="147">
        <v>40</v>
      </c>
      <c r="C1408" s="61">
        <v>54105</v>
      </c>
      <c r="D1408" s="62" t="s">
        <v>131</v>
      </c>
      <c r="E1408" s="74"/>
      <c r="F1408" s="74"/>
      <c r="G1408" s="74">
        <v>3200</v>
      </c>
      <c r="H1408" s="76">
        <f t="shared" si="55"/>
        <v>3200</v>
      </c>
      <c r="I1408" s="73"/>
      <c r="J1408" s="73"/>
      <c r="K1408" s="73"/>
      <c r="L1408" s="73"/>
      <c r="M1408" s="73"/>
    </row>
    <row r="1409" spans="1:13" ht="15" customHeight="1" x14ac:dyDescent="0.2">
      <c r="A1409" s="249">
        <v>10</v>
      </c>
      <c r="B1409" s="147">
        <v>40</v>
      </c>
      <c r="C1409" s="106">
        <v>54106</v>
      </c>
      <c r="D1409" s="107" t="s">
        <v>18</v>
      </c>
      <c r="E1409" s="271"/>
      <c r="F1409" s="136"/>
      <c r="G1409" s="271">
        <v>120</v>
      </c>
      <c r="H1409" s="272">
        <f t="shared" si="55"/>
        <v>120</v>
      </c>
      <c r="I1409" s="73"/>
      <c r="J1409" s="73"/>
      <c r="K1409" s="73"/>
      <c r="L1409" s="73"/>
      <c r="M1409" s="73"/>
    </row>
    <row r="1410" spans="1:13" ht="15" customHeight="1" x14ac:dyDescent="0.2">
      <c r="A1410" s="249">
        <v>10</v>
      </c>
      <c r="B1410" s="147">
        <v>40</v>
      </c>
      <c r="C1410" s="61">
        <v>54107</v>
      </c>
      <c r="D1410" s="62" t="s">
        <v>43</v>
      </c>
      <c r="E1410" s="74"/>
      <c r="F1410" s="74"/>
      <c r="G1410" s="74">
        <v>1900</v>
      </c>
      <c r="H1410" s="76">
        <f t="shared" si="55"/>
        <v>1900</v>
      </c>
      <c r="I1410" s="73"/>
      <c r="J1410" s="73"/>
      <c r="K1410" s="73"/>
      <c r="L1410" s="73"/>
      <c r="M1410" s="73"/>
    </row>
    <row r="1411" spans="1:13" ht="15" customHeight="1" x14ac:dyDescent="0.2">
      <c r="A1411" s="249">
        <v>10</v>
      </c>
      <c r="B1411" s="147">
        <v>40</v>
      </c>
      <c r="C1411" s="61">
        <v>54109</v>
      </c>
      <c r="D1411" s="62" t="s">
        <v>146</v>
      </c>
      <c r="E1411" s="74"/>
      <c r="F1411" s="74"/>
      <c r="G1411" s="74">
        <v>1500</v>
      </c>
      <c r="H1411" s="76">
        <f t="shared" si="55"/>
        <v>1500</v>
      </c>
      <c r="I1411" s="73"/>
      <c r="J1411" s="73"/>
      <c r="K1411" s="73"/>
      <c r="L1411" s="73"/>
      <c r="M1411" s="73"/>
    </row>
    <row r="1412" spans="1:13" ht="15" customHeight="1" x14ac:dyDescent="0.2">
      <c r="A1412" s="249">
        <v>10</v>
      </c>
      <c r="B1412" s="147">
        <v>40</v>
      </c>
      <c r="C1412" s="61">
        <v>54110</v>
      </c>
      <c r="D1412" s="62" t="s">
        <v>525</v>
      </c>
      <c r="E1412" s="74"/>
      <c r="F1412" s="74"/>
      <c r="G1412" s="74">
        <v>2000</v>
      </c>
      <c r="H1412" s="76">
        <f t="shared" si="55"/>
        <v>2000</v>
      </c>
      <c r="I1412" s="73"/>
      <c r="J1412" s="73"/>
      <c r="K1412" s="73"/>
      <c r="L1412" s="73"/>
      <c r="M1412" s="73"/>
    </row>
    <row r="1413" spans="1:13" ht="15" customHeight="1" x14ac:dyDescent="0.2">
      <c r="A1413" s="249">
        <v>10</v>
      </c>
      <c r="B1413" s="147">
        <v>40</v>
      </c>
      <c r="C1413" s="61">
        <v>54111</v>
      </c>
      <c r="D1413" s="62" t="s">
        <v>48</v>
      </c>
      <c r="E1413" s="74"/>
      <c r="F1413" s="74"/>
      <c r="G1413" s="74">
        <v>900</v>
      </c>
      <c r="H1413" s="76">
        <f t="shared" si="55"/>
        <v>900</v>
      </c>
      <c r="I1413" s="73"/>
      <c r="J1413" s="73"/>
      <c r="K1413" s="73"/>
      <c r="L1413" s="73"/>
      <c r="M1413" s="73"/>
    </row>
    <row r="1414" spans="1:13" ht="15" customHeight="1" x14ac:dyDescent="0.2">
      <c r="A1414" s="249">
        <v>10</v>
      </c>
      <c r="B1414" s="147">
        <v>40</v>
      </c>
      <c r="C1414" s="61">
        <v>54112</v>
      </c>
      <c r="D1414" s="62" t="s">
        <v>39</v>
      </c>
      <c r="E1414" s="74"/>
      <c r="F1414" s="74"/>
      <c r="G1414" s="74">
        <v>1400</v>
      </c>
      <c r="H1414" s="76">
        <f t="shared" si="55"/>
        <v>1400</v>
      </c>
      <c r="I1414" s="73"/>
      <c r="J1414" s="73"/>
      <c r="K1414" s="73"/>
      <c r="L1414" s="73"/>
      <c r="M1414" s="73"/>
    </row>
    <row r="1415" spans="1:13" ht="15" customHeight="1" x14ac:dyDescent="0.2">
      <c r="A1415" s="249">
        <v>10</v>
      </c>
      <c r="B1415" s="147">
        <v>40</v>
      </c>
      <c r="C1415" s="61">
        <v>54114</v>
      </c>
      <c r="D1415" s="73" t="s">
        <v>5</v>
      </c>
      <c r="E1415" s="76"/>
      <c r="F1415" s="76"/>
      <c r="G1415" s="76">
        <v>1200</v>
      </c>
      <c r="H1415" s="76">
        <f t="shared" si="55"/>
        <v>1200</v>
      </c>
      <c r="I1415" s="73"/>
      <c r="J1415" s="73"/>
      <c r="K1415" s="73"/>
      <c r="L1415" s="73"/>
      <c r="M1415" s="73"/>
    </row>
    <row r="1416" spans="1:13" ht="15" customHeight="1" x14ac:dyDescent="0.2">
      <c r="A1416" s="249">
        <v>10</v>
      </c>
      <c r="B1416" s="147">
        <v>40</v>
      </c>
      <c r="C1416" s="61">
        <v>54115</v>
      </c>
      <c r="D1416" s="73" t="s">
        <v>49</v>
      </c>
      <c r="E1416" s="76"/>
      <c r="F1416" s="76"/>
      <c r="G1416" s="76">
        <v>3000</v>
      </c>
      <c r="H1416" s="76">
        <f t="shared" si="55"/>
        <v>3000</v>
      </c>
      <c r="I1416" s="73"/>
      <c r="J1416" s="73"/>
      <c r="K1416" s="73"/>
      <c r="L1416" s="73"/>
      <c r="M1416" s="73"/>
    </row>
    <row r="1417" spans="1:13" ht="15" customHeight="1" x14ac:dyDescent="0.2">
      <c r="A1417" s="249">
        <v>10</v>
      </c>
      <c r="B1417" s="147">
        <v>40</v>
      </c>
      <c r="C1417" s="61">
        <v>54116</v>
      </c>
      <c r="D1417" s="62" t="s">
        <v>167</v>
      </c>
      <c r="E1417" s="76"/>
      <c r="F1417" s="76"/>
      <c r="G1417" s="76">
        <v>700</v>
      </c>
      <c r="H1417" s="76">
        <f t="shared" si="55"/>
        <v>700</v>
      </c>
      <c r="I1417" s="73"/>
      <c r="J1417" s="73"/>
      <c r="K1417" s="73"/>
      <c r="L1417" s="73"/>
      <c r="M1417" s="73"/>
    </row>
    <row r="1418" spans="1:13" ht="15" customHeight="1" x14ac:dyDescent="0.2">
      <c r="A1418" s="249">
        <v>10</v>
      </c>
      <c r="B1418" s="147">
        <v>40</v>
      </c>
      <c r="C1418" s="61">
        <v>54118</v>
      </c>
      <c r="D1418" s="62" t="s">
        <v>35</v>
      </c>
      <c r="E1418" s="76"/>
      <c r="F1418" s="76"/>
      <c r="G1418" s="76">
        <v>2700</v>
      </c>
      <c r="H1418" s="76">
        <f t="shared" si="55"/>
        <v>2700</v>
      </c>
      <c r="I1418" s="73"/>
      <c r="J1418" s="73"/>
      <c r="K1418" s="73"/>
      <c r="L1418" s="73"/>
      <c r="M1418" s="73"/>
    </row>
    <row r="1419" spans="1:13" ht="15" customHeight="1" x14ac:dyDescent="0.2">
      <c r="A1419" s="249">
        <v>10</v>
      </c>
      <c r="B1419" s="147">
        <v>40</v>
      </c>
      <c r="C1419" s="61">
        <v>54119</v>
      </c>
      <c r="D1419" s="62" t="s">
        <v>44</v>
      </c>
      <c r="E1419" s="76"/>
      <c r="F1419" s="76"/>
      <c r="G1419" s="76">
        <v>2000</v>
      </c>
      <c r="H1419" s="76">
        <f t="shared" si="55"/>
        <v>2000</v>
      </c>
      <c r="I1419" s="73"/>
      <c r="J1419" s="73"/>
      <c r="K1419" s="73"/>
      <c r="L1419" s="73"/>
      <c r="M1419" s="73"/>
    </row>
    <row r="1420" spans="1:13" ht="15" customHeight="1" x14ac:dyDescent="0.2">
      <c r="A1420" s="249">
        <v>10</v>
      </c>
      <c r="B1420" s="147">
        <v>40</v>
      </c>
      <c r="C1420" s="106">
        <v>54199</v>
      </c>
      <c r="D1420" s="107" t="s">
        <v>26</v>
      </c>
      <c r="E1420" s="272"/>
      <c r="F1420" s="272"/>
      <c r="G1420" s="272">
        <v>150</v>
      </c>
      <c r="H1420" s="272">
        <f t="shared" si="55"/>
        <v>150</v>
      </c>
      <c r="I1420" s="73"/>
      <c r="J1420" s="73"/>
      <c r="K1420" s="73"/>
      <c r="L1420" s="73"/>
      <c r="M1420" s="73"/>
    </row>
    <row r="1421" spans="1:13" ht="15" customHeight="1" x14ac:dyDescent="0.2">
      <c r="A1421" s="249">
        <v>10</v>
      </c>
      <c r="B1421" s="147">
        <v>40</v>
      </c>
      <c r="C1421" s="61">
        <v>54301</v>
      </c>
      <c r="D1421" s="62" t="s">
        <v>158</v>
      </c>
      <c r="E1421" s="76"/>
      <c r="F1421" s="76"/>
      <c r="G1421" s="76">
        <v>4000</v>
      </c>
      <c r="H1421" s="76">
        <f t="shared" si="55"/>
        <v>4000</v>
      </c>
      <c r="I1421" s="73"/>
      <c r="J1421" s="73"/>
      <c r="K1421" s="73"/>
      <c r="L1421" s="73"/>
      <c r="M1421" s="73"/>
    </row>
    <row r="1422" spans="1:13" ht="15" customHeight="1" x14ac:dyDescent="0.2">
      <c r="A1422" s="249">
        <v>10</v>
      </c>
      <c r="B1422" s="147">
        <v>40</v>
      </c>
      <c r="C1422" s="106">
        <v>54302</v>
      </c>
      <c r="D1422" s="107" t="s">
        <v>795</v>
      </c>
      <c r="E1422" s="272"/>
      <c r="F1422" s="272"/>
      <c r="G1422" s="272">
        <v>2500</v>
      </c>
      <c r="H1422" s="272">
        <f t="shared" si="55"/>
        <v>2500</v>
      </c>
      <c r="I1422" s="73"/>
      <c r="J1422" s="73"/>
      <c r="K1422" s="73"/>
      <c r="L1422" s="73"/>
      <c r="M1422" s="73"/>
    </row>
    <row r="1423" spans="1:13" ht="15" customHeight="1" x14ac:dyDescent="0.2">
      <c r="A1423" s="249">
        <v>10</v>
      </c>
      <c r="B1423" s="147">
        <v>40</v>
      </c>
      <c r="C1423" s="106">
        <v>54304</v>
      </c>
      <c r="D1423" s="107" t="s">
        <v>248</v>
      </c>
      <c r="E1423" s="272"/>
      <c r="F1423" s="272"/>
      <c r="G1423" s="272">
        <v>800</v>
      </c>
      <c r="H1423" s="272">
        <f t="shared" si="55"/>
        <v>800</v>
      </c>
      <c r="I1423" s="73"/>
      <c r="J1423" s="73"/>
      <c r="K1423" s="73"/>
      <c r="L1423" s="73"/>
      <c r="M1423" s="73"/>
    </row>
    <row r="1424" spans="1:13" ht="15" customHeight="1" x14ac:dyDescent="0.2">
      <c r="A1424" s="249">
        <v>10</v>
      </c>
      <c r="B1424" s="147">
        <v>40</v>
      </c>
      <c r="C1424" s="61">
        <v>54313</v>
      </c>
      <c r="D1424" s="62" t="s">
        <v>11</v>
      </c>
      <c r="E1424" s="74"/>
      <c r="F1424" s="74"/>
      <c r="G1424" s="74">
        <v>300</v>
      </c>
      <c r="H1424" s="76">
        <f t="shared" si="55"/>
        <v>300</v>
      </c>
      <c r="I1424" s="73"/>
      <c r="J1424" s="73"/>
      <c r="K1424" s="73"/>
      <c r="L1424" s="73"/>
      <c r="M1424" s="73"/>
    </row>
    <row r="1425" spans="1:18" ht="15" customHeight="1" x14ac:dyDescent="0.2">
      <c r="A1425" s="249">
        <v>10</v>
      </c>
      <c r="B1425" s="147">
        <v>40</v>
      </c>
      <c r="C1425" s="61">
        <v>54399</v>
      </c>
      <c r="D1425" s="62" t="s">
        <v>153</v>
      </c>
      <c r="E1425" s="74"/>
      <c r="F1425" s="74"/>
      <c r="G1425" s="74">
        <v>1500</v>
      </c>
      <c r="H1425" s="76">
        <f t="shared" si="55"/>
        <v>1500</v>
      </c>
      <c r="I1425" s="73"/>
      <c r="J1425" s="73"/>
      <c r="K1425" s="73"/>
      <c r="L1425" s="73"/>
      <c r="M1425" s="73"/>
    </row>
    <row r="1426" spans="1:18" ht="15" customHeight="1" x14ac:dyDescent="0.2">
      <c r="A1426" s="249">
        <v>10</v>
      </c>
      <c r="B1426" s="147">
        <v>40</v>
      </c>
      <c r="C1426" s="61">
        <v>54401</v>
      </c>
      <c r="D1426" s="62" t="s">
        <v>143</v>
      </c>
      <c r="E1426" s="74"/>
      <c r="F1426" s="74"/>
      <c r="G1426" s="74">
        <v>800</v>
      </c>
      <c r="H1426" s="76">
        <f t="shared" si="55"/>
        <v>800</v>
      </c>
      <c r="I1426" s="73"/>
      <c r="J1426" s="73"/>
      <c r="K1426" s="73"/>
      <c r="L1426" s="73"/>
      <c r="M1426" s="73"/>
    </row>
    <row r="1427" spans="1:18" ht="15" customHeight="1" x14ac:dyDescent="0.2">
      <c r="A1427" s="249">
        <v>10</v>
      </c>
      <c r="B1427" s="147">
        <v>40</v>
      </c>
      <c r="C1427" s="61">
        <v>61101</v>
      </c>
      <c r="D1427" s="62" t="s">
        <v>144</v>
      </c>
      <c r="E1427" s="74"/>
      <c r="F1427" s="74"/>
      <c r="G1427" s="76">
        <v>2500</v>
      </c>
      <c r="H1427" s="76">
        <f t="shared" si="55"/>
        <v>2500</v>
      </c>
      <c r="I1427" s="73"/>
      <c r="J1427" s="73"/>
      <c r="K1427" s="73"/>
      <c r="L1427" s="73"/>
      <c r="M1427" s="73"/>
    </row>
    <row r="1428" spans="1:18" ht="15" customHeight="1" x14ac:dyDescent="0.2">
      <c r="A1428" s="249">
        <v>10</v>
      </c>
      <c r="B1428" s="147">
        <v>40</v>
      </c>
      <c r="C1428" s="61">
        <v>61102</v>
      </c>
      <c r="D1428" s="62" t="s">
        <v>28</v>
      </c>
      <c r="E1428" s="74"/>
      <c r="F1428" s="74"/>
      <c r="G1428" s="76">
        <v>2600</v>
      </c>
      <c r="H1428" s="76">
        <f t="shared" si="55"/>
        <v>2600</v>
      </c>
      <c r="I1428" s="73"/>
      <c r="J1428" s="73"/>
      <c r="K1428" s="73"/>
      <c r="L1428" s="73"/>
      <c r="M1428" s="73"/>
    </row>
    <row r="1429" spans="1:18" ht="15" customHeight="1" x14ac:dyDescent="0.2">
      <c r="A1429" s="249">
        <v>10</v>
      </c>
      <c r="B1429" s="147">
        <v>40</v>
      </c>
      <c r="C1429" s="106">
        <v>61104</v>
      </c>
      <c r="D1429" s="107" t="s">
        <v>46</v>
      </c>
      <c r="E1429" s="271"/>
      <c r="F1429" s="271"/>
      <c r="G1429" s="272">
        <v>7300</v>
      </c>
      <c r="H1429" s="272">
        <f t="shared" ref="H1429" si="56">E1429+F1429+G1429</f>
        <v>7300</v>
      </c>
      <c r="I1429" s="73"/>
      <c r="J1429" s="73"/>
      <c r="K1429" s="73"/>
      <c r="L1429" s="73"/>
      <c r="M1429" s="73"/>
    </row>
    <row r="1430" spans="1:18" ht="15" customHeight="1" x14ac:dyDescent="0.2">
      <c r="A1430" s="249">
        <v>10</v>
      </c>
      <c r="B1430" s="147">
        <v>40</v>
      </c>
      <c r="C1430" s="61">
        <v>61105</v>
      </c>
      <c r="D1430" s="62" t="s">
        <v>796</v>
      </c>
      <c r="E1430" s="74"/>
      <c r="F1430" s="74"/>
      <c r="G1430" s="76">
        <v>25000</v>
      </c>
      <c r="H1430" s="76">
        <f t="shared" si="55"/>
        <v>25000</v>
      </c>
      <c r="I1430" s="73"/>
      <c r="J1430" s="73"/>
      <c r="K1430" s="73"/>
      <c r="L1430" s="73"/>
      <c r="M1430" s="73"/>
    </row>
    <row r="1431" spans="1:18" ht="15" customHeight="1" x14ac:dyDescent="0.2">
      <c r="A1431" s="249">
        <v>10</v>
      </c>
      <c r="B1431" s="147" t="s">
        <v>405</v>
      </c>
      <c r="C1431" s="61"/>
      <c r="D1431" s="61" t="s">
        <v>14</v>
      </c>
      <c r="E1431" s="83">
        <f>SUM(E1402:E1427)</f>
        <v>0</v>
      </c>
      <c r="F1431" s="83">
        <f>SUM(F1402:F1427)</f>
        <v>0</v>
      </c>
      <c r="G1431" s="83">
        <f>SUM(G1402:G1430)</f>
        <v>167172.68</v>
      </c>
      <c r="H1431" s="83">
        <f>E1431+F1431+G1431</f>
        <v>167172.68</v>
      </c>
      <c r="I1431" s="73"/>
      <c r="J1431" s="73"/>
      <c r="K1431" s="73"/>
      <c r="L1431" s="73"/>
      <c r="M1431" s="73"/>
      <c r="O1431" s="258"/>
      <c r="P1431" s="259"/>
    </row>
    <row r="1432" spans="1:18" ht="15" customHeight="1" x14ac:dyDescent="0.2">
      <c r="A1432" s="249" t="s">
        <v>387</v>
      </c>
      <c r="B1432" s="147" t="s">
        <v>387</v>
      </c>
      <c r="C1432" s="148"/>
      <c r="D1432" s="148"/>
      <c r="E1432" s="260"/>
      <c r="F1432" s="260"/>
      <c r="G1432" s="261"/>
      <c r="H1432" s="261"/>
      <c r="O1432" s="258"/>
      <c r="P1432" s="259"/>
      <c r="Q1432" s="147" t="s">
        <v>591</v>
      </c>
      <c r="R1432" s="259">
        <f>+H1431-P1432</f>
        <v>167172.68</v>
      </c>
    </row>
    <row r="1433" spans="1:18" ht="15" customHeight="1" x14ac:dyDescent="0.2">
      <c r="A1433" s="249" t="s">
        <v>387</v>
      </c>
      <c r="B1433" s="147" t="s">
        <v>387</v>
      </c>
      <c r="C1433" s="148"/>
      <c r="D1433" s="148"/>
      <c r="E1433" s="260"/>
      <c r="F1433" s="260"/>
      <c r="G1433" s="261"/>
      <c r="H1433" s="261"/>
    </row>
    <row r="1434" spans="1:18" ht="15" customHeight="1" x14ac:dyDescent="0.2">
      <c r="A1434" s="249" t="s">
        <v>387</v>
      </c>
      <c r="B1434" s="147" t="s">
        <v>387</v>
      </c>
      <c r="C1434" s="368"/>
      <c r="D1434" s="363"/>
      <c r="E1434" s="371"/>
      <c r="F1434" s="371"/>
      <c r="G1434" s="372"/>
      <c r="H1434" s="372"/>
    </row>
    <row r="1435" spans="1:18" ht="15" customHeight="1" x14ac:dyDescent="0.2">
      <c r="A1435" s="249" t="s">
        <v>387</v>
      </c>
      <c r="B1435" s="147" t="s">
        <v>387</v>
      </c>
      <c r="C1435" s="427" t="s">
        <v>119</v>
      </c>
      <c r="D1435" s="427"/>
      <c r="E1435" s="427"/>
      <c r="F1435" s="427"/>
      <c r="G1435" s="427"/>
      <c r="H1435" s="427"/>
    </row>
    <row r="1436" spans="1:18" ht="15" customHeight="1" x14ac:dyDescent="0.2">
      <c r="A1436" s="249" t="s">
        <v>387</v>
      </c>
      <c r="B1436" s="147" t="s">
        <v>387</v>
      </c>
      <c r="C1436" s="428" t="str">
        <f>C3</f>
        <v xml:space="preserve"> PRESUPUESTO AÑO 2024</v>
      </c>
      <c r="D1436" s="428"/>
      <c r="E1436" s="428"/>
      <c r="F1436" s="428"/>
      <c r="G1436" s="428"/>
      <c r="H1436" s="428"/>
    </row>
    <row r="1437" spans="1:18" ht="15" customHeight="1" x14ac:dyDescent="0.2">
      <c r="A1437" s="249" t="s">
        <v>387</v>
      </c>
      <c r="B1437" s="147" t="s">
        <v>387</v>
      </c>
      <c r="C1437" s="428" t="str">
        <f>C4</f>
        <v>PRESUPUESTO EXTRA CONTABLE</v>
      </c>
      <c r="D1437" s="428"/>
      <c r="E1437" s="428"/>
      <c r="F1437" s="428"/>
      <c r="G1437" s="428"/>
      <c r="H1437" s="428"/>
    </row>
    <row r="1438" spans="1:18" ht="15" customHeight="1" x14ac:dyDescent="0.2">
      <c r="A1438" s="249" t="s">
        <v>387</v>
      </c>
      <c r="B1438" s="147" t="s">
        <v>387</v>
      </c>
      <c r="C1438" s="427" t="s">
        <v>117</v>
      </c>
      <c r="D1438" s="427"/>
      <c r="E1438" s="427"/>
      <c r="F1438" s="427"/>
      <c r="G1438" s="427"/>
      <c r="H1438" s="427"/>
    </row>
    <row r="1439" spans="1:18" ht="15" customHeight="1" x14ac:dyDescent="0.2">
      <c r="A1439" s="249" t="s">
        <v>387</v>
      </c>
      <c r="B1439" s="147" t="s">
        <v>387</v>
      </c>
      <c r="C1439" s="427" t="s">
        <v>759</v>
      </c>
      <c r="D1439" s="427"/>
      <c r="E1439" s="427"/>
      <c r="F1439" s="427"/>
      <c r="G1439" s="427"/>
      <c r="H1439" s="427"/>
    </row>
    <row r="1440" spans="1:18" ht="15" customHeight="1" x14ac:dyDescent="0.2">
      <c r="A1440" s="249" t="s">
        <v>387</v>
      </c>
      <c r="B1440" s="147" t="s">
        <v>387</v>
      </c>
      <c r="C1440" s="430" t="s">
        <v>1</v>
      </c>
      <c r="D1440" s="430" t="s">
        <v>0</v>
      </c>
      <c r="E1440" s="255" t="s">
        <v>56</v>
      </c>
      <c r="F1440" s="255" t="str">
        <f>F7</f>
        <v>REFORMA</v>
      </c>
      <c r="G1440" s="255" t="s">
        <v>56</v>
      </c>
      <c r="H1440" s="432" t="str">
        <f>$H$7</f>
        <v>TOTAL 2024</v>
      </c>
      <c r="I1440" s="153" t="s">
        <v>285</v>
      </c>
      <c r="J1440" s="153"/>
      <c r="K1440" s="153"/>
      <c r="L1440" s="153"/>
      <c r="M1440" s="153"/>
    </row>
    <row r="1441" spans="1:15" ht="15" customHeight="1" x14ac:dyDescent="0.2">
      <c r="A1441" s="249" t="s">
        <v>387</v>
      </c>
      <c r="B1441" s="147" t="s">
        <v>387</v>
      </c>
      <c r="C1441" s="431"/>
      <c r="D1441" s="431"/>
      <c r="E1441" s="255" t="s">
        <v>139</v>
      </c>
      <c r="F1441" s="255"/>
      <c r="G1441" s="255" t="s">
        <v>140</v>
      </c>
      <c r="H1441" s="433"/>
      <c r="I1441" s="153" t="s">
        <v>286</v>
      </c>
      <c r="J1441" s="153" t="s">
        <v>290</v>
      </c>
      <c r="K1441" s="153" t="s">
        <v>291</v>
      </c>
      <c r="L1441" s="153" t="s">
        <v>293</v>
      </c>
      <c r="M1441" s="153" t="s">
        <v>292</v>
      </c>
    </row>
    <row r="1442" spans="1:15" ht="15" customHeight="1" x14ac:dyDescent="0.2">
      <c r="A1442" s="249">
        <v>42</v>
      </c>
      <c r="B1442" s="147">
        <v>42</v>
      </c>
      <c r="C1442" s="61">
        <v>51101</v>
      </c>
      <c r="D1442" s="73" t="s">
        <v>15</v>
      </c>
      <c r="E1442" s="74"/>
      <c r="F1442" s="74"/>
      <c r="G1442" s="272">
        <v>293880</v>
      </c>
      <c r="H1442" s="76">
        <f t="shared" ref="H1442:H1472" si="57">E1442+F1442+G1442</f>
        <v>293880</v>
      </c>
      <c r="I1442" s="256"/>
      <c r="J1442" s="256"/>
      <c r="K1442" s="256"/>
      <c r="L1442" s="256"/>
      <c r="M1442" s="256"/>
    </row>
    <row r="1443" spans="1:15" ht="15" customHeight="1" x14ac:dyDescent="0.2">
      <c r="A1443" s="249">
        <v>42</v>
      </c>
      <c r="B1443" s="147">
        <v>42</v>
      </c>
      <c r="C1443" s="61">
        <v>51103</v>
      </c>
      <c r="D1443" s="73" t="s">
        <v>16</v>
      </c>
      <c r="E1443" s="74"/>
      <c r="F1443" s="74"/>
      <c r="G1443" s="272">
        <v>24490</v>
      </c>
      <c r="H1443" s="76">
        <f t="shared" si="57"/>
        <v>24490</v>
      </c>
      <c r="I1443" s="256"/>
      <c r="J1443" s="256"/>
      <c r="K1443" s="256"/>
      <c r="L1443" s="256"/>
      <c r="M1443" s="256"/>
    </row>
    <row r="1444" spans="1:15" ht="15" customHeight="1" x14ac:dyDescent="0.2">
      <c r="A1444" s="249">
        <v>42</v>
      </c>
      <c r="B1444" s="147">
        <v>42</v>
      </c>
      <c r="C1444" s="61">
        <v>51107</v>
      </c>
      <c r="D1444" s="73" t="s">
        <v>34</v>
      </c>
      <c r="E1444" s="74"/>
      <c r="F1444" s="74"/>
      <c r="G1444" s="272">
        <v>12800</v>
      </c>
      <c r="H1444" s="76">
        <f t="shared" si="57"/>
        <v>12800</v>
      </c>
      <c r="I1444" s="256"/>
      <c r="J1444" s="256"/>
      <c r="K1444" s="256"/>
      <c r="L1444" s="256"/>
      <c r="M1444" s="256"/>
    </row>
    <row r="1445" spans="1:15" ht="15" customHeight="1" x14ac:dyDescent="0.2">
      <c r="A1445" s="249">
        <v>42</v>
      </c>
      <c r="B1445" s="147">
        <v>42</v>
      </c>
      <c r="C1445" s="61">
        <v>51201</v>
      </c>
      <c r="D1445" s="73" t="s">
        <v>458</v>
      </c>
      <c r="E1445" s="74"/>
      <c r="F1445" s="74"/>
      <c r="G1445" s="272">
        <v>0</v>
      </c>
      <c r="H1445" s="76">
        <f t="shared" si="57"/>
        <v>0</v>
      </c>
      <c r="I1445" s="256"/>
      <c r="J1445" s="256"/>
      <c r="K1445" s="256"/>
      <c r="L1445" s="256"/>
      <c r="M1445" s="256"/>
    </row>
    <row r="1446" spans="1:15" ht="15" customHeight="1" x14ac:dyDescent="0.2">
      <c r="A1446" s="249">
        <v>42</v>
      </c>
      <c r="B1446" s="147">
        <v>42</v>
      </c>
      <c r="C1446" s="61">
        <v>51401</v>
      </c>
      <c r="D1446" s="62" t="s">
        <v>47</v>
      </c>
      <c r="E1446" s="74"/>
      <c r="F1446" s="74"/>
      <c r="G1446" s="272">
        <v>24072.300000000003</v>
      </c>
      <c r="H1446" s="76">
        <f t="shared" si="57"/>
        <v>24072.300000000003</v>
      </c>
      <c r="I1446" s="256"/>
      <c r="J1446" s="256"/>
      <c r="K1446" s="256"/>
      <c r="L1446" s="256"/>
      <c r="M1446" s="256"/>
      <c r="O1446" s="257"/>
    </row>
    <row r="1447" spans="1:15" ht="15" customHeight="1" x14ac:dyDescent="0.2">
      <c r="A1447" s="249">
        <v>42</v>
      </c>
      <c r="B1447" s="147">
        <v>42</v>
      </c>
      <c r="C1447" s="61">
        <v>51501</v>
      </c>
      <c r="D1447" s="73" t="s">
        <v>29</v>
      </c>
      <c r="E1447" s="74"/>
      <c r="F1447" s="74"/>
      <c r="G1447" s="272">
        <v>18453.75</v>
      </c>
      <c r="H1447" s="76">
        <f t="shared" si="57"/>
        <v>18453.75</v>
      </c>
      <c r="I1447" s="256"/>
      <c r="J1447" s="256"/>
      <c r="K1447" s="256"/>
      <c r="L1447" s="256"/>
      <c r="M1447" s="256"/>
    </row>
    <row r="1448" spans="1:15" ht="15" customHeight="1" x14ac:dyDescent="0.2">
      <c r="A1448" s="249">
        <v>42</v>
      </c>
      <c r="B1448" s="147">
        <v>42</v>
      </c>
      <c r="C1448" s="61">
        <v>54101</v>
      </c>
      <c r="D1448" s="62" t="s">
        <v>38</v>
      </c>
      <c r="E1448" s="74"/>
      <c r="F1448" s="74"/>
      <c r="G1448" s="76">
        <v>0</v>
      </c>
      <c r="H1448" s="76">
        <f t="shared" si="57"/>
        <v>0</v>
      </c>
      <c r="I1448" s="256"/>
      <c r="J1448" s="256"/>
      <c r="K1448" s="256"/>
      <c r="L1448" s="256"/>
      <c r="M1448" s="256"/>
    </row>
    <row r="1449" spans="1:15" ht="15" customHeight="1" x14ac:dyDescent="0.2">
      <c r="A1449" s="249">
        <v>42</v>
      </c>
      <c r="B1449" s="147">
        <v>42</v>
      </c>
      <c r="C1449" s="61">
        <v>54104</v>
      </c>
      <c r="D1449" s="62" t="s">
        <v>17</v>
      </c>
      <c r="E1449" s="74"/>
      <c r="F1449" s="74"/>
      <c r="G1449" s="76">
        <v>5000</v>
      </c>
      <c r="H1449" s="76">
        <f t="shared" si="57"/>
        <v>5000</v>
      </c>
      <c r="I1449" s="256"/>
      <c r="J1449" s="256"/>
      <c r="K1449" s="256"/>
      <c r="L1449" s="256"/>
      <c r="M1449" s="256"/>
    </row>
    <row r="1450" spans="1:15" ht="15" customHeight="1" x14ac:dyDescent="0.2">
      <c r="A1450" s="249">
        <v>42</v>
      </c>
      <c r="B1450" s="147">
        <v>42</v>
      </c>
      <c r="C1450" s="61">
        <v>54105</v>
      </c>
      <c r="D1450" s="62" t="s">
        <v>131</v>
      </c>
      <c r="E1450" s="74"/>
      <c r="F1450" s="74"/>
      <c r="G1450" s="76">
        <v>0</v>
      </c>
      <c r="H1450" s="76">
        <f t="shared" si="57"/>
        <v>0</v>
      </c>
      <c r="I1450" s="256"/>
      <c r="J1450" s="256"/>
      <c r="K1450" s="256"/>
      <c r="L1450" s="256"/>
      <c r="M1450" s="256"/>
    </row>
    <row r="1451" spans="1:15" ht="15" customHeight="1" x14ac:dyDescent="0.2">
      <c r="A1451" s="249">
        <v>42</v>
      </c>
      <c r="B1451" s="147">
        <v>42</v>
      </c>
      <c r="C1451" s="61">
        <v>54106</v>
      </c>
      <c r="D1451" s="73" t="s">
        <v>18</v>
      </c>
      <c r="E1451" s="74"/>
      <c r="F1451" s="74"/>
      <c r="G1451" s="76">
        <v>300</v>
      </c>
      <c r="H1451" s="76">
        <f t="shared" si="57"/>
        <v>300</v>
      </c>
      <c r="I1451" s="256"/>
      <c r="J1451" s="256"/>
      <c r="K1451" s="256"/>
      <c r="L1451" s="256"/>
      <c r="M1451" s="256"/>
    </row>
    <row r="1452" spans="1:15" ht="15" customHeight="1" x14ac:dyDescent="0.2">
      <c r="A1452" s="249">
        <v>42</v>
      </c>
      <c r="B1452" s="147">
        <v>42</v>
      </c>
      <c r="C1452" s="61">
        <v>54107</v>
      </c>
      <c r="D1452" s="73" t="s">
        <v>43</v>
      </c>
      <c r="E1452" s="74"/>
      <c r="F1452" s="74"/>
      <c r="G1452" s="76">
        <v>250</v>
      </c>
      <c r="H1452" s="76">
        <f t="shared" si="57"/>
        <v>250</v>
      </c>
      <c r="I1452" s="256"/>
      <c r="J1452" s="256"/>
      <c r="K1452" s="256"/>
      <c r="L1452" s="256"/>
      <c r="M1452" s="256"/>
    </row>
    <row r="1453" spans="1:15" ht="15" customHeight="1" x14ac:dyDescent="0.2">
      <c r="A1453" s="249">
        <v>42</v>
      </c>
      <c r="B1453" s="147">
        <v>42</v>
      </c>
      <c r="C1453" s="61">
        <v>54108</v>
      </c>
      <c r="D1453" s="73" t="s">
        <v>524</v>
      </c>
      <c r="E1453" s="74"/>
      <c r="F1453" s="74"/>
      <c r="G1453" s="76">
        <v>100</v>
      </c>
      <c r="H1453" s="76">
        <f t="shared" si="57"/>
        <v>100</v>
      </c>
      <c r="I1453" s="256"/>
      <c r="J1453" s="256"/>
      <c r="K1453" s="256"/>
      <c r="L1453" s="256"/>
      <c r="M1453" s="256"/>
    </row>
    <row r="1454" spans="1:15" ht="15" customHeight="1" x14ac:dyDescent="0.2">
      <c r="A1454" s="249">
        <v>42</v>
      </c>
      <c r="B1454" s="147">
        <v>42</v>
      </c>
      <c r="C1454" s="61">
        <v>54109</v>
      </c>
      <c r="D1454" s="73" t="s">
        <v>146</v>
      </c>
      <c r="E1454" s="74"/>
      <c r="F1454" s="74"/>
      <c r="G1454" s="76">
        <v>700</v>
      </c>
      <c r="H1454" s="76">
        <f t="shared" si="57"/>
        <v>700</v>
      </c>
      <c r="I1454" s="256"/>
      <c r="J1454" s="256"/>
      <c r="K1454" s="256"/>
      <c r="L1454" s="256"/>
      <c r="M1454" s="256"/>
    </row>
    <row r="1455" spans="1:15" ht="15" customHeight="1" x14ac:dyDescent="0.2">
      <c r="A1455" s="249">
        <v>42</v>
      </c>
      <c r="B1455" s="147">
        <v>42</v>
      </c>
      <c r="C1455" s="61">
        <v>54110</v>
      </c>
      <c r="D1455" s="73" t="s">
        <v>147</v>
      </c>
      <c r="E1455" s="74"/>
      <c r="F1455" s="74"/>
      <c r="G1455" s="76">
        <v>300</v>
      </c>
      <c r="H1455" s="76">
        <f t="shared" si="57"/>
        <v>300</v>
      </c>
      <c r="I1455" s="256"/>
      <c r="J1455" s="256"/>
      <c r="K1455" s="256"/>
      <c r="L1455" s="256"/>
      <c r="M1455" s="256"/>
    </row>
    <row r="1456" spans="1:15" ht="15" customHeight="1" x14ac:dyDescent="0.2">
      <c r="A1456" s="249">
        <v>42</v>
      </c>
      <c r="B1456" s="147">
        <v>42</v>
      </c>
      <c r="C1456" s="61">
        <v>54111</v>
      </c>
      <c r="D1456" s="73" t="s">
        <v>162</v>
      </c>
      <c r="E1456" s="74"/>
      <c r="F1456" s="74"/>
      <c r="G1456" s="76">
        <v>500</v>
      </c>
      <c r="H1456" s="76">
        <f t="shared" si="57"/>
        <v>500</v>
      </c>
      <c r="I1456" s="256"/>
      <c r="J1456" s="256"/>
      <c r="K1456" s="256"/>
      <c r="L1456" s="256"/>
      <c r="M1456" s="256"/>
    </row>
    <row r="1457" spans="1:16" ht="15" customHeight="1" x14ac:dyDescent="0.2">
      <c r="A1457" s="249">
        <v>42</v>
      </c>
      <c r="B1457" s="147">
        <v>42</v>
      </c>
      <c r="C1457" s="61">
        <v>54112</v>
      </c>
      <c r="D1457" s="73" t="s">
        <v>42</v>
      </c>
      <c r="E1457" s="74"/>
      <c r="F1457" s="74"/>
      <c r="G1457" s="76">
        <v>3000</v>
      </c>
      <c r="H1457" s="76">
        <f t="shared" si="57"/>
        <v>3000</v>
      </c>
      <c r="I1457" s="256"/>
      <c r="J1457" s="256"/>
      <c r="K1457" s="256"/>
      <c r="L1457" s="256"/>
      <c r="M1457" s="256"/>
    </row>
    <row r="1458" spans="1:16" ht="15" customHeight="1" x14ac:dyDescent="0.2">
      <c r="A1458" s="249">
        <v>42</v>
      </c>
      <c r="B1458" s="147">
        <v>42</v>
      </c>
      <c r="C1458" s="61">
        <v>54114</v>
      </c>
      <c r="D1458" s="62" t="s">
        <v>5</v>
      </c>
      <c r="E1458" s="74"/>
      <c r="F1458" s="74"/>
      <c r="G1458" s="76">
        <v>400</v>
      </c>
      <c r="H1458" s="76">
        <f t="shared" si="57"/>
        <v>400</v>
      </c>
      <c r="I1458" s="256"/>
      <c r="J1458" s="256"/>
      <c r="K1458" s="256"/>
      <c r="L1458" s="256"/>
      <c r="M1458" s="256"/>
    </row>
    <row r="1459" spans="1:16" ht="15" customHeight="1" x14ac:dyDescent="0.2">
      <c r="A1459" s="249">
        <v>42</v>
      </c>
      <c r="B1459" s="147">
        <v>42</v>
      </c>
      <c r="C1459" s="61">
        <v>54115</v>
      </c>
      <c r="D1459" s="62" t="s">
        <v>49</v>
      </c>
      <c r="E1459" s="74"/>
      <c r="F1459" s="74"/>
      <c r="G1459" s="76">
        <v>1000</v>
      </c>
      <c r="H1459" s="76">
        <f t="shared" si="57"/>
        <v>1000</v>
      </c>
      <c r="I1459" s="256"/>
      <c r="J1459" s="256"/>
      <c r="K1459" s="256"/>
      <c r="L1459" s="256"/>
      <c r="M1459" s="256"/>
    </row>
    <row r="1460" spans="1:16" ht="15" customHeight="1" x14ac:dyDescent="0.2">
      <c r="A1460" s="249">
        <v>42</v>
      </c>
      <c r="B1460" s="147">
        <v>42</v>
      </c>
      <c r="C1460" s="61">
        <v>54117</v>
      </c>
      <c r="D1460" s="62" t="s">
        <v>186</v>
      </c>
      <c r="E1460" s="74"/>
      <c r="F1460" s="74"/>
      <c r="G1460" s="76">
        <v>8000</v>
      </c>
      <c r="H1460" s="76">
        <f t="shared" si="57"/>
        <v>8000</v>
      </c>
      <c r="I1460" s="256"/>
      <c r="J1460" s="256"/>
      <c r="K1460" s="256"/>
      <c r="L1460" s="256"/>
      <c r="M1460" s="256"/>
    </row>
    <row r="1461" spans="1:16" ht="15" customHeight="1" x14ac:dyDescent="0.2">
      <c r="A1461" s="249">
        <v>42</v>
      </c>
      <c r="B1461" s="147">
        <v>42</v>
      </c>
      <c r="C1461" s="61">
        <v>54118</v>
      </c>
      <c r="D1461" s="62" t="s">
        <v>35</v>
      </c>
      <c r="E1461" s="74"/>
      <c r="F1461" s="74"/>
      <c r="G1461" s="76">
        <v>400</v>
      </c>
      <c r="H1461" s="76">
        <f t="shared" si="57"/>
        <v>400</v>
      </c>
      <c r="I1461" s="256"/>
      <c r="J1461" s="256"/>
      <c r="K1461" s="256"/>
      <c r="L1461" s="256"/>
      <c r="M1461" s="256"/>
    </row>
    <row r="1462" spans="1:16" ht="15" customHeight="1" x14ac:dyDescent="0.2">
      <c r="A1462" s="249">
        <v>42</v>
      </c>
      <c r="B1462" s="147">
        <v>42</v>
      </c>
      <c r="C1462" s="61">
        <v>54119</v>
      </c>
      <c r="D1462" s="62" t="s">
        <v>44</v>
      </c>
      <c r="E1462" s="74"/>
      <c r="F1462" s="74"/>
      <c r="G1462" s="76">
        <v>300</v>
      </c>
      <c r="H1462" s="76">
        <f t="shared" si="57"/>
        <v>300</v>
      </c>
      <c r="I1462" s="256"/>
      <c r="J1462" s="256"/>
      <c r="K1462" s="256"/>
      <c r="L1462" s="256"/>
      <c r="M1462" s="256"/>
    </row>
    <row r="1463" spans="1:16" ht="15" customHeight="1" x14ac:dyDescent="0.2">
      <c r="A1463" s="249">
        <v>42</v>
      </c>
      <c r="B1463" s="147">
        <v>42</v>
      </c>
      <c r="C1463" s="61">
        <v>54199</v>
      </c>
      <c r="D1463" s="73" t="s">
        <v>26</v>
      </c>
      <c r="E1463" s="74"/>
      <c r="F1463" s="74"/>
      <c r="G1463" s="76">
        <v>300</v>
      </c>
      <c r="H1463" s="76">
        <f t="shared" si="57"/>
        <v>300</v>
      </c>
      <c r="I1463" s="256"/>
      <c r="J1463" s="256"/>
      <c r="K1463" s="256"/>
      <c r="L1463" s="256"/>
      <c r="M1463" s="256"/>
    </row>
    <row r="1464" spans="1:16" ht="15" customHeight="1" x14ac:dyDescent="0.2">
      <c r="A1464" s="249">
        <v>42</v>
      </c>
      <c r="B1464" s="147">
        <v>42</v>
      </c>
      <c r="C1464" s="61">
        <v>54203</v>
      </c>
      <c r="D1464" s="62" t="s">
        <v>7</v>
      </c>
      <c r="E1464" s="76">
        <v>0</v>
      </c>
      <c r="F1464" s="76"/>
      <c r="G1464" s="76">
        <v>0</v>
      </c>
      <c r="H1464" s="76">
        <f t="shared" si="57"/>
        <v>0</v>
      </c>
      <c r="I1464" s="256"/>
      <c r="J1464" s="256"/>
      <c r="K1464" s="256"/>
      <c r="L1464" s="256"/>
      <c r="M1464" s="256"/>
    </row>
    <row r="1465" spans="1:16" ht="15" customHeight="1" x14ac:dyDescent="0.2">
      <c r="A1465" s="249">
        <v>42</v>
      </c>
      <c r="B1465" s="147">
        <v>42</v>
      </c>
      <c r="C1465" s="61">
        <v>54301</v>
      </c>
      <c r="D1465" s="62" t="s">
        <v>8</v>
      </c>
      <c r="E1465" s="76"/>
      <c r="F1465" s="76"/>
      <c r="G1465" s="76">
        <v>0</v>
      </c>
      <c r="H1465" s="76">
        <f t="shared" si="57"/>
        <v>0</v>
      </c>
      <c r="I1465" s="256"/>
      <c r="J1465" s="256"/>
      <c r="K1465" s="256"/>
      <c r="L1465" s="256"/>
      <c r="M1465" s="256"/>
    </row>
    <row r="1466" spans="1:16" ht="15" customHeight="1" x14ac:dyDescent="0.2">
      <c r="A1466" s="249">
        <v>42</v>
      </c>
      <c r="B1466" s="147">
        <v>42</v>
      </c>
      <c r="C1466" s="61">
        <v>54302</v>
      </c>
      <c r="D1466" s="62" t="s">
        <v>22</v>
      </c>
      <c r="E1466" s="76"/>
      <c r="F1466" s="76"/>
      <c r="G1466" s="76">
        <v>0</v>
      </c>
      <c r="H1466" s="76">
        <f>E1466+F1466+G1466</f>
        <v>0</v>
      </c>
      <c r="I1466" s="256"/>
      <c r="J1466" s="256"/>
      <c r="K1466" s="256"/>
      <c r="L1466" s="256"/>
      <c r="M1466" s="256"/>
    </row>
    <row r="1467" spans="1:16" ht="15" customHeight="1" x14ac:dyDescent="0.2">
      <c r="A1467" s="249">
        <v>42</v>
      </c>
      <c r="B1467" s="147">
        <v>42</v>
      </c>
      <c r="C1467" s="61">
        <v>54316</v>
      </c>
      <c r="D1467" s="62" t="s">
        <v>45</v>
      </c>
      <c r="E1467" s="76"/>
      <c r="F1467" s="76"/>
      <c r="G1467" s="76">
        <v>0</v>
      </c>
      <c r="H1467" s="76">
        <f t="shared" si="57"/>
        <v>0</v>
      </c>
      <c r="I1467" s="256"/>
      <c r="J1467" s="256"/>
      <c r="K1467" s="256"/>
      <c r="L1467" s="256"/>
      <c r="M1467" s="256"/>
    </row>
    <row r="1468" spans="1:16" ht="15" customHeight="1" x14ac:dyDescent="0.2">
      <c r="A1468" s="249">
        <v>42</v>
      </c>
      <c r="B1468" s="147">
        <v>42</v>
      </c>
      <c r="C1468" s="61">
        <v>61101</v>
      </c>
      <c r="D1468" s="62" t="s">
        <v>144</v>
      </c>
      <c r="E1468" s="76"/>
      <c r="F1468" s="76"/>
      <c r="G1468" s="76">
        <v>200</v>
      </c>
      <c r="H1468" s="76">
        <f t="shared" si="57"/>
        <v>200</v>
      </c>
      <c r="I1468" s="256"/>
      <c r="J1468" s="256"/>
      <c r="K1468" s="256"/>
      <c r="L1468" s="256"/>
      <c r="M1468" s="256"/>
    </row>
    <row r="1469" spans="1:16" ht="15" customHeight="1" x14ac:dyDescent="0.2">
      <c r="A1469" s="249">
        <v>42</v>
      </c>
      <c r="B1469" s="147">
        <v>42</v>
      </c>
      <c r="C1469" s="61">
        <v>61102</v>
      </c>
      <c r="D1469" s="62" t="s">
        <v>28</v>
      </c>
      <c r="E1469" s="76"/>
      <c r="F1469" s="76"/>
      <c r="G1469" s="76">
        <v>1200</v>
      </c>
      <c r="H1469" s="76">
        <f t="shared" si="57"/>
        <v>1200</v>
      </c>
      <c r="I1469" s="256"/>
      <c r="J1469" s="256"/>
      <c r="K1469" s="256"/>
      <c r="L1469" s="256"/>
      <c r="M1469" s="256"/>
    </row>
    <row r="1470" spans="1:16" ht="15" customHeight="1" x14ac:dyDescent="0.2">
      <c r="A1470" s="249">
        <v>42</v>
      </c>
      <c r="B1470" s="147">
        <v>42</v>
      </c>
      <c r="C1470" s="61">
        <v>61104</v>
      </c>
      <c r="D1470" s="62" t="s">
        <v>46</v>
      </c>
      <c r="E1470" s="76"/>
      <c r="F1470" s="76"/>
      <c r="G1470" s="76">
        <v>300</v>
      </c>
      <c r="H1470" s="76">
        <f t="shared" si="57"/>
        <v>300</v>
      </c>
      <c r="I1470" s="256"/>
      <c r="J1470" s="256"/>
      <c r="K1470" s="256"/>
      <c r="L1470" s="256"/>
      <c r="M1470" s="256"/>
    </row>
    <row r="1471" spans="1:16" ht="15" customHeight="1" x14ac:dyDescent="0.2">
      <c r="A1471" s="249">
        <v>42</v>
      </c>
      <c r="B1471" s="147">
        <v>42</v>
      </c>
      <c r="C1471" s="61">
        <v>61105</v>
      </c>
      <c r="D1471" s="62" t="s">
        <v>389</v>
      </c>
      <c r="E1471" s="76"/>
      <c r="F1471" s="76"/>
      <c r="G1471" s="76">
        <v>0</v>
      </c>
      <c r="H1471" s="76">
        <f t="shared" si="57"/>
        <v>0</v>
      </c>
      <c r="I1471" s="256"/>
      <c r="J1471" s="256"/>
      <c r="K1471" s="256"/>
      <c r="L1471" s="256"/>
      <c r="M1471" s="256"/>
    </row>
    <row r="1472" spans="1:16" ht="15" customHeight="1" x14ac:dyDescent="0.2">
      <c r="A1472" s="249">
        <v>42</v>
      </c>
      <c r="B1472" s="147" t="s">
        <v>406</v>
      </c>
      <c r="C1472" s="61"/>
      <c r="D1472" s="61" t="s">
        <v>14</v>
      </c>
      <c r="E1472" s="138">
        <f>SUM(E1442:E1469)</f>
        <v>0</v>
      </c>
      <c r="F1472" s="83">
        <f>SUM(F1442:F1469)</f>
        <v>0</v>
      </c>
      <c r="G1472" s="83">
        <f>SUM(G1442:G1471)</f>
        <v>395946.05</v>
      </c>
      <c r="H1472" s="83">
        <f t="shared" si="57"/>
        <v>395946.05</v>
      </c>
      <c r="I1472" s="256"/>
      <c r="J1472" s="256"/>
      <c r="K1472" s="256"/>
      <c r="L1472" s="256"/>
      <c r="M1472" s="256"/>
      <c r="O1472" s="258"/>
      <c r="P1472" s="259"/>
    </row>
    <row r="1473" spans="1:18" ht="15" customHeight="1" x14ac:dyDescent="0.2">
      <c r="A1473" s="249" t="s">
        <v>387</v>
      </c>
      <c r="B1473" s="147" t="s">
        <v>387</v>
      </c>
      <c r="C1473" s="148"/>
      <c r="D1473" s="148"/>
      <c r="E1473" s="260"/>
      <c r="F1473" s="260"/>
      <c r="G1473" s="261"/>
      <c r="H1473" s="261"/>
      <c r="O1473" s="258"/>
      <c r="P1473" s="259"/>
      <c r="Q1473" s="147" t="s">
        <v>592</v>
      </c>
      <c r="R1473" s="259">
        <f>+H1472-P1473</f>
        <v>395946.05</v>
      </c>
    </row>
    <row r="1474" spans="1:18" ht="15" customHeight="1" x14ac:dyDescent="0.2">
      <c r="A1474" s="249" t="s">
        <v>387</v>
      </c>
      <c r="B1474" s="147" t="s">
        <v>387</v>
      </c>
      <c r="C1474" s="368"/>
      <c r="D1474" s="363"/>
      <c r="E1474" s="371"/>
      <c r="F1474" s="371"/>
      <c r="G1474" s="372"/>
      <c r="H1474" s="372"/>
    </row>
    <row r="1475" spans="1:18" ht="15" customHeight="1" x14ac:dyDescent="0.2">
      <c r="A1475" s="249" t="s">
        <v>387</v>
      </c>
      <c r="B1475" s="147" t="s">
        <v>387</v>
      </c>
      <c r="C1475" s="427" t="s">
        <v>119</v>
      </c>
      <c r="D1475" s="427"/>
      <c r="E1475" s="427"/>
      <c r="F1475" s="427"/>
      <c r="G1475" s="427"/>
      <c r="H1475" s="427"/>
    </row>
    <row r="1476" spans="1:18" ht="15" customHeight="1" x14ac:dyDescent="0.2">
      <c r="A1476" s="249" t="s">
        <v>387</v>
      </c>
      <c r="B1476" s="147" t="s">
        <v>387</v>
      </c>
      <c r="C1476" s="428" t="str">
        <f>C3</f>
        <v xml:space="preserve"> PRESUPUESTO AÑO 2024</v>
      </c>
      <c r="D1476" s="428"/>
      <c r="E1476" s="428"/>
      <c r="F1476" s="428"/>
      <c r="G1476" s="428"/>
      <c r="H1476" s="428"/>
    </row>
    <row r="1477" spans="1:18" ht="15" customHeight="1" x14ac:dyDescent="0.2">
      <c r="A1477" s="249" t="s">
        <v>387</v>
      </c>
      <c r="B1477" s="147" t="s">
        <v>387</v>
      </c>
      <c r="C1477" s="428" t="str">
        <f>C4</f>
        <v>PRESUPUESTO EXTRA CONTABLE</v>
      </c>
      <c r="D1477" s="428"/>
      <c r="E1477" s="428"/>
      <c r="F1477" s="428"/>
      <c r="G1477" s="428"/>
      <c r="H1477" s="428"/>
    </row>
    <row r="1478" spans="1:18" ht="15" customHeight="1" x14ac:dyDescent="0.2">
      <c r="A1478" s="249" t="s">
        <v>387</v>
      </c>
      <c r="B1478" s="147" t="s">
        <v>387</v>
      </c>
      <c r="C1478" s="427" t="s">
        <v>117</v>
      </c>
      <c r="D1478" s="427"/>
      <c r="E1478" s="427"/>
      <c r="F1478" s="427"/>
      <c r="G1478" s="427"/>
      <c r="H1478" s="427"/>
    </row>
    <row r="1479" spans="1:18" ht="15" customHeight="1" x14ac:dyDescent="0.2">
      <c r="A1479" s="249" t="s">
        <v>387</v>
      </c>
      <c r="B1479" s="147" t="s">
        <v>387</v>
      </c>
      <c r="C1479" s="427" t="s">
        <v>760</v>
      </c>
      <c r="D1479" s="427"/>
      <c r="E1479" s="427"/>
      <c r="F1479" s="427"/>
      <c r="G1479" s="427"/>
      <c r="H1479" s="427"/>
    </row>
    <row r="1480" spans="1:18" ht="15" customHeight="1" x14ac:dyDescent="0.2">
      <c r="A1480" s="249" t="s">
        <v>387</v>
      </c>
      <c r="B1480" s="147" t="s">
        <v>387</v>
      </c>
      <c r="C1480" s="430" t="s">
        <v>1</v>
      </c>
      <c r="D1480" s="430" t="s">
        <v>0</v>
      </c>
      <c r="E1480" s="255" t="s">
        <v>56</v>
      </c>
      <c r="F1480" s="255" t="str">
        <f>F7</f>
        <v>REFORMA</v>
      </c>
      <c r="G1480" s="255" t="s">
        <v>56</v>
      </c>
      <c r="H1480" s="432" t="str">
        <f>$H$7</f>
        <v>TOTAL 2024</v>
      </c>
      <c r="I1480" s="153" t="s">
        <v>285</v>
      </c>
      <c r="J1480" s="153"/>
      <c r="K1480" s="153"/>
      <c r="L1480" s="153"/>
      <c r="M1480" s="153"/>
    </row>
    <row r="1481" spans="1:18" ht="15" customHeight="1" x14ac:dyDescent="0.2">
      <c r="A1481" s="249" t="s">
        <v>387</v>
      </c>
      <c r="B1481" s="147" t="s">
        <v>387</v>
      </c>
      <c r="C1481" s="431"/>
      <c r="D1481" s="431"/>
      <c r="E1481" s="255" t="s">
        <v>139</v>
      </c>
      <c r="F1481" s="255"/>
      <c r="G1481" s="255" t="s">
        <v>140</v>
      </c>
      <c r="H1481" s="433"/>
      <c r="I1481" s="153" t="s">
        <v>286</v>
      </c>
      <c r="J1481" s="153" t="s">
        <v>290</v>
      </c>
      <c r="K1481" s="153" t="s">
        <v>291</v>
      </c>
      <c r="L1481" s="153" t="s">
        <v>293</v>
      </c>
      <c r="M1481" s="153" t="s">
        <v>292</v>
      </c>
    </row>
    <row r="1482" spans="1:18" ht="15" customHeight="1" x14ac:dyDescent="0.2">
      <c r="A1482" s="249">
        <v>8</v>
      </c>
      <c r="B1482" s="147">
        <v>44</v>
      </c>
      <c r="C1482" s="61">
        <v>51101</v>
      </c>
      <c r="D1482" s="73" t="s">
        <v>15</v>
      </c>
      <c r="E1482" s="76"/>
      <c r="F1482" s="76"/>
      <c r="G1482" s="272">
        <v>113400</v>
      </c>
      <c r="H1482" s="76">
        <f t="shared" ref="H1482:H1508" si="58">E1482+F1482+G1482</f>
        <v>113400</v>
      </c>
      <c r="I1482" s="256"/>
      <c r="J1482" s="256"/>
      <c r="K1482" s="256"/>
      <c r="L1482" s="256"/>
      <c r="M1482" s="256"/>
    </row>
    <row r="1483" spans="1:18" ht="15" customHeight="1" x14ac:dyDescent="0.2">
      <c r="A1483" s="249">
        <v>8</v>
      </c>
      <c r="B1483" s="147">
        <v>44</v>
      </c>
      <c r="C1483" s="61">
        <v>51103</v>
      </c>
      <c r="D1483" s="73" t="s">
        <v>16</v>
      </c>
      <c r="E1483" s="76"/>
      <c r="F1483" s="76"/>
      <c r="G1483" s="272">
        <v>9450</v>
      </c>
      <c r="H1483" s="76">
        <f t="shared" si="58"/>
        <v>9450</v>
      </c>
      <c r="I1483" s="256"/>
      <c r="J1483" s="256"/>
      <c r="K1483" s="256"/>
      <c r="L1483" s="256"/>
      <c r="M1483" s="256"/>
    </row>
    <row r="1484" spans="1:18" ht="15" customHeight="1" x14ac:dyDescent="0.2">
      <c r="A1484" s="249">
        <v>8</v>
      </c>
      <c r="B1484" s="147">
        <v>44</v>
      </c>
      <c r="C1484" s="61">
        <v>51107</v>
      </c>
      <c r="D1484" s="73" t="s">
        <v>34</v>
      </c>
      <c r="E1484" s="76"/>
      <c r="F1484" s="76"/>
      <c r="G1484" s="272">
        <v>4800</v>
      </c>
      <c r="H1484" s="76">
        <f t="shared" si="58"/>
        <v>4800</v>
      </c>
      <c r="I1484" s="256"/>
      <c r="J1484" s="256"/>
      <c r="K1484" s="256"/>
      <c r="L1484" s="256"/>
      <c r="M1484" s="256"/>
    </row>
    <row r="1485" spans="1:18" ht="15" customHeight="1" x14ac:dyDescent="0.2">
      <c r="A1485" s="249">
        <v>8</v>
      </c>
      <c r="B1485" s="147">
        <v>44</v>
      </c>
      <c r="C1485" s="61">
        <v>51401</v>
      </c>
      <c r="D1485" s="62" t="s">
        <v>47</v>
      </c>
      <c r="E1485" s="74"/>
      <c r="F1485" s="74"/>
      <c r="G1485" s="271">
        <v>9256.5</v>
      </c>
      <c r="H1485" s="76">
        <f t="shared" si="58"/>
        <v>9256.5</v>
      </c>
      <c r="I1485" s="256"/>
      <c r="J1485" s="256"/>
      <c r="K1485" s="256"/>
      <c r="L1485" s="256"/>
      <c r="M1485" s="256"/>
      <c r="O1485" s="257"/>
    </row>
    <row r="1486" spans="1:18" ht="15" customHeight="1" x14ac:dyDescent="0.2">
      <c r="A1486" s="249">
        <v>8</v>
      </c>
      <c r="B1486" s="147">
        <v>44</v>
      </c>
      <c r="C1486" s="61">
        <v>51501</v>
      </c>
      <c r="D1486" s="73" t="s">
        <v>29</v>
      </c>
      <c r="E1486" s="74"/>
      <c r="F1486" s="74"/>
      <c r="G1486" s="271">
        <v>9922.5</v>
      </c>
      <c r="H1486" s="76">
        <f t="shared" si="58"/>
        <v>9922.5</v>
      </c>
      <c r="I1486" s="256"/>
      <c r="J1486" s="256"/>
      <c r="K1486" s="256"/>
      <c r="L1486" s="256"/>
      <c r="M1486" s="256"/>
    </row>
    <row r="1487" spans="1:18" ht="15" customHeight="1" x14ac:dyDescent="0.2">
      <c r="A1487" s="249">
        <v>8</v>
      </c>
      <c r="B1487" s="147">
        <v>44</v>
      </c>
      <c r="C1487" s="61">
        <v>54101</v>
      </c>
      <c r="D1487" s="73" t="s">
        <v>38</v>
      </c>
      <c r="E1487" s="74"/>
      <c r="F1487" s="74"/>
      <c r="G1487" s="74">
        <v>600</v>
      </c>
      <c r="H1487" s="76">
        <f t="shared" si="58"/>
        <v>600</v>
      </c>
      <c r="I1487" s="256"/>
      <c r="J1487" s="256"/>
      <c r="K1487" s="256"/>
      <c r="L1487" s="256"/>
      <c r="M1487" s="256"/>
    </row>
    <row r="1488" spans="1:18" ht="15" customHeight="1" x14ac:dyDescent="0.2">
      <c r="A1488" s="249">
        <v>8</v>
      </c>
      <c r="B1488" s="147">
        <v>44</v>
      </c>
      <c r="C1488" s="61">
        <v>54104</v>
      </c>
      <c r="D1488" s="62" t="s">
        <v>17</v>
      </c>
      <c r="E1488" s="74"/>
      <c r="F1488" s="74"/>
      <c r="G1488" s="74">
        <v>100</v>
      </c>
      <c r="H1488" s="76">
        <f t="shared" si="58"/>
        <v>100</v>
      </c>
      <c r="I1488" s="256"/>
      <c r="J1488" s="256"/>
      <c r="K1488" s="256"/>
      <c r="L1488" s="256"/>
      <c r="M1488" s="256"/>
    </row>
    <row r="1489" spans="1:13" ht="15" customHeight="1" x14ac:dyDescent="0.2">
      <c r="A1489" s="249">
        <v>8</v>
      </c>
      <c r="B1489" s="147">
        <v>44</v>
      </c>
      <c r="C1489" s="61">
        <v>54105</v>
      </c>
      <c r="D1489" s="73" t="s">
        <v>3</v>
      </c>
      <c r="E1489" s="74"/>
      <c r="F1489" s="74"/>
      <c r="G1489" s="74">
        <v>1700</v>
      </c>
      <c r="H1489" s="76">
        <f t="shared" si="58"/>
        <v>1700</v>
      </c>
      <c r="I1489" s="256"/>
      <c r="J1489" s="256"/>
      <c r="K1489" s="256"/>
      <c r="L1489" s="256"/>
      <c r="M1489" s="256"/>
    </row>
    <row r="1490" spans="1:13" ht="15" customHeight="1" x14ac:dyDescent="0.2">
      <c r="A1490" s="249">
        <v>8</v>
      </c>
      <c r="B1490" s="147">
        <v>44</v>
      </c>
      <c r="C1490" s="61">
        <v>54106</v>
      </c>
      <c r="D1490" s="73" t="s">
        <v>18</v>
      </c>
      <c r="E1490" s="74"/>
      <c r="F1490" s="74"/>
      <c r="G1490" s="74">
        <v>100</v>
      </c>
      <c r="H1490" s="76">
        <f t="shared" si="58"/>
        <v>100</v>
      </c>
      <c r="I1490" s="256"/>
      <c r="J1490" s="256"/>
      <c r="K1490" s="256"/>
      <c r="L1490" s="256"/>
      <c r="M1490" s="256"/>
    </row>
    <row r="1491" spans="1:13" ht="15" customHeight="1" x14ac:dyDescent="0.2">
      <c r="A1491" s="249">
        <v>8</v>
      </c>
      <c r="B1491" s="147">
        <v>44</v>
      </c>
      <c r="C1491" s="61">
        <v>54107</v>
      </c>
      <c r="D1491" s="73" t="s">
        <v>43</v>
      </c>
      <c r="E1491" s="74"/>
      <c r="F1491" s="74"/>
      <c r="G1491" s="74">
        <v>800</v>
      </c>
      <c r="H1491" s="76">
        <f t="shared" si="58"/>
        <v>800</v>
      </c>
      <c r="I1491" s="256"/>
      <c r="J1491" s="256"/>
      <c r="K1491" s="256"/>
      <c r="L1491" s="256"/>
      <c r="M1491" s="256"/>
    </row>
    <row r="1492" spans="1:13" ht="15" customHeight="1" x14ac:dyDescent="0.2">
      <c r="A1492" s="249">
        <v>8</v>
      </c>
      <c r="B1492" s="147">
        <v>44</v>
      </c>
      <c r="C1492" s="61">
        <v>54110</v>
      </c>
      <c r="D1492" s="73" t="s">
        <v>519</v>
      </c>
      <c r="E1492" s="74"/>
      <c r="F1492" s="74"/>
      <c r="G1492" s="74">
        <v>0</v>
      </c>
      <c r="H1492" s="76">
        <f t="shared" si="58"/>
        <v>0</v>
      </c>
      <c r="I1492" s="256"/>
      <c r="J1492" s="256"/>
      <c r="K1492" s="256"/>
      <c r="L1492" s="256"/>
      <c r="M1492" s="256"/>
    </row>
    <row r="1493" spans="1:13" ht="15" customHeight="1" x14ac:dyDescent="0.2">
      <c r="A1493" s="249">
        <v>8</v>
      </c>
      <c r="B1493" s="147">
        <v>44</v>
      </c>
      <c r="C1493" s="61">
        <v>54111</v>
      </c>
      <c r="D1493" s="73" t="s">
        <v>162</v>
      </c>
      <c r="E1493" s="74"/>
      <c r="F1493" s="74"/>
      <c r="G1493" s="74">
        <v>100</v>
      </c>
      <c r="H1493" s="76">
        <f t="shared" si="58"/>
        <v>100</v>
      </c>
      <c r="I1493" s="256"/>
      <c r="J1493" s="256"/>
      <c r="K1493" s="256"/>
      <c r="L1493" s="256"/>
      <c r="M1493" s="256"/>
    </row>
    <row r="1494" spans="1:13" ht="15" customHeight="1" x14ac:dyDescent="0.2">
      <c r="A1494" s="249">
        <v>8</v>
      </c>
      <c r="B1494" s="147">
        <v>44</v>
      </c>
      <c r="C1494" s="61">
        <v>54112</v>
      </c>
      <c r="D1494" s="73" t="s">
        <v>42</v>
      </c>
      <c r="E1494" s="74"/>
      <c r="F1494" s="74"/>
      <c r="G1494" s="74">
        <v>400</v>
      </c>
      <c r="H1494" s="76">
        <f t="shared" si="58"/>
        <v>400</v>
      </c>
      <c r="I1494" s="256"/>
      <c r="J1494" s="256"/>
      <c r="K1494" s="256"/>
      <c r="L1494" s="256"/>
      <c r="M1494" s="256"/>
    </row>
    <row r="1495" spans="1:13" ht="15" customHeight="1" x14ac:dyDescent="0.2">
      <c r="A1495" s="249">
        <v>8</v>
      </c>
      <c r="B1495" s="147">
        <v>44</v>
      </c>
      <c r="C1495" s="61">
        <v>54114</v>
      </c>
      <c r="D1495" s="73" t="s">
        <v>5</v>
      </c>
      <c r="E1495" s="74"/>
      <c r="F1495" s="74"/>
      <c r="G1495" s="74">
        <v>1000</v>
      </c>
      <c r="H1495" s="76">
        <f t="shared" si="58"/>
        <v>1000</v>
      </c>
      <c r="I1495" s="256"/>
      <c r="J1495" s="256"/>
      <c r="K1495" s="256"/>
      <c r="L1495" s="256"/>
      <c r="M1495" s="256"/>
    </row>
    <row r="1496" spans="1:13" ht="15" customHeight="1" x14ac:dyDescent="0.2">
      <c r="A1496" s="249">
        <v>8</v>
      </c>
      <c r="B1496" s="147">
        <v>44</v>
      </c>
      <c r="C1496" s="61">
        <v>54115</v>
      </c>
      <c r="D1496" s="73" t="s">
        <v>49</v>
      </c>
      <c r="E1496" s="74"/>
      <c r="F1496" s="74"/>
      <c r="G1496" s="74">
        <v>1000</v>
      </c>
      <c r="H1496" s="76">
        <f t="shared" si="58"/>
        <v>1000</v>
      </c>
      <c r="I1496" s="256"/>
      <c r="J1496" s="256"/>
      <c r="K1496" s="256"/>
      <c r="L1496" s="256"/>
      <c r="M1496" s="256"/>
    </row>
    <row r="1497" spans="1:13" ht="15" customHeight="1" x14ac:dyDescent="0.2">
      <c r="A1497" s="249">
        <v>8</v>
      </c>
      <c r="B1497" s="147">
        <v>44</v>
      </c>
      <c r="C1497" s="61">
        <v>54116</v>
      </c>
      <c r="D1497" s="62" t="s">
        <v>155</v>
      </c>
      <c r="E1497" s="74"/>
      <c r="F1497" s="74"/>
      <c r="G1497" s="74">
        <v>100</v>
      </c>
      <c r="H1497" s="76">
        <f t="shared" si="58"/>
        <v>100</v>
      </c>
      <c r="I1497" s="256"/>
      <c r="J1497" s="256"/>
      <c r="K1497" s="256"/>
      <c r="L1497" s="256"/>
      <c r="M1497" s="256"/>
    </row>
    <row r="1498" spans="1:13" ht="15" customHeight="1" x14ac:dyDescent="0.2">
      <c r="A1498" s="249">
        <v>8</v>
      </c>
      <c r="B1498" s="147">
        <v>44</v>
      </c>
      <c r="C1498" s="61">
        <v>54119</v>
      </c>
      <c r="D1498" s="62" t="s">
        <v>44</v>
      </c>
      <c r="E1498" s="74"/>
      <c r="F1498" s="74"/>
      <c r="G1498" s="74">
        <v>700</v>
      </c>
      <c r="H1498" s="76">
        <f t="shared" si="58"/>
        <v>700</v>
      </c>
      <c r="I1498" s="256"/>
      <c r="J1498" s="256"/>
      <c r="K1498" s="256"/>
      <c r="L1498" s="256"/>
      <c r="M1498" s="256"/>
    </row>
    <row r="1499" spans="1:13" ht="15" customHeight="1" x14ac:dyDescent="0.2">
      <c r="A1499" s="249">
        <v>8</v>
      </c>
      <c r="B1499" s="147">
        <v>44</v>
      </c>
      <c r="C1499" s="61">
        <v>54199</v>
      </c>
      <c r="D1499" s="62" t="s">
        <v>318</v>
      </c>
      <c r="E1499" s="74"/>
      <c r="F1499" s="74"/>
      <c r="G1499" s="74">
        <v>800</v>
      </c>
      <c r="H1499" s="76">
        <f t="shared" si="58"/>
        <v>800</v>
      </c>
      <c r="I1499" s="256"/>
      <c r="J1499" s="256"/>
      <c r="K1499" s="256"/>
      <c r="L1499" s="256"/>
      <c r="M1499" s="256"/>
    </row>
    <row r="1500" spans="1:13" ht="15" customHeight="1" x14ac:dyDescent="0.2">
      <c r="A1500" s="249">
        <v>8</v>
      </c>
      <c r="B1500" s="147">
        <v>44</v>
      </c>
      <c r="C1500" s="61">
        <v>54201</v>
      </c>
      <c r="D1500" s="62" t="s">
        <v>187</v>
      </c>
      <c r="E1500" s="74"/>
      <c r="F1500" s="74"/>
      <c r="G1500" s="74">
        <v>0</v>
      </c>
      <c r="H1500" s="76">
        <f t="shared" si="58"/>
        <v>0</v>
      </c>
      <c r="I1500" s="256"/>
      <c r="J1500" s="256"/>
      <c r="K1500" s="256"/>
      <c r="L1500" s="256"/>
      <c r="M1500" s="256"/>
    </row>
    <row r="1501" spans="1:13" ht="15" customHeight="1" x14ac:dyDescent="0.2">
      <c r="A1501" s="249">
        <v>8</v>
      </c>
      <c r="B1501" s="147">
        <v>44</v>
      </c>
      <c r="C1501" s="61">
        <v>54202</v>
      </c>
      <c r="D1501" s="73" t="s">
        <v>27</v>
      </c>
      <c r="E1501" s="74"/>
      <c r="F1501" s="74"/>
      <c r="G1501" s="74">
        <v>0</v>
      </c>
      <c r="H1501" s="76">
        <f t="shared" si="58"/>
        <v>0</v>
      </c>
      <c r="I1501" s="256"/>
      <c r="J1501" s="256"/>
      <c r="K1501" s="256"/>
      <c r="L1501" s="256"/>
      <c r="M1501" s="256"/>
    </row>
    <row r="1502" spans="1:13" ht="15" customHeight="1" x14ac:dyDescent="0.2">
      <c r="A1502" s="249">
        <v>8</v>
      </c>
      <c r="B1502" s="147">
        <v>44</v>
      </c>
      <c r="C1502" s="61">
        <v>54203</v>
      </c>
      <c r="D1502" s="62" t="s">
        <v>7</v>
      </c>
      <c r="E1502" s="74"/>
      <c r="F1502" s="74"/>
      <c r="G1502" s="74">
        <v>0</v>
      </c>
      <c r="H1502" s="76">
        <f t="shared" si="58"/>
        <v>0</v>
      </c>
      <c r="I1502" s="256"/>
      <c r="J1502" s="256"/>
      <c r="K1502" s="256"/>
      <c r="L1502" s="256"/>
      <c r="M1502" s="256"/>
    </row>
    <row r="1503" spans="1:13" ht="15" customHeight="1" x14ac:dyDescent="0.2">
      <c r="A1503" s="249">
        <v>8</v>
      </c>
      <c r="B1503" s="147">
        <v>44</v>
      </c>
      <c r="C1503" s="61">
        <v>54301</v>
      </c>
      <c r="D1503" s="62" t="s">
        <v>158</v>
      </c>
      <c r="E1503" s="74"/>
      <c r="F1503" s="74"/>
      <c r="G1503" s="74">
        <v>300</v>
      </c>
      <c r="H1503" s="76">
        <f t="shared" si="58"/>
        <v>300</v>
      </c>
      <c r="I1503" s="256"/>
      <c r="J1503" s="256"/>
      <c r="K1503" s="256"/>
      <c r="L1503" s="256"/>
      <c r="M1503" s="256"/>
    </row>
    <row r="1504" spans="1:13" ht="15" customHeight="1" x14ac:dyDescent="0.2">
      <c r="A1504" s="249">
        <v>8</v>
      </c>
      <c r="B1504" s="147">
        <v>44</v>
      </c>
      <c r="C1504" s="61">
        <v>54302</v>
      </c>
      <c r="D1504" s="62" t="s">
        <v>511</v>
      </c>
      <c r="E1504" s="74"/>
      <c r="F1504" s="74"/>
      <c r="G1504" s="74">
        <v>0</v>
      </c>
      <c r="H1504" s="76">
        <f t="shared" si="58"/>
        <v>0</v>
      </c>
      <c r="I1504" s="256"/>
      <c r="J1504" s="256"/>
      <c r="K1504" s="256"/>
      <c r="L1504" s="256"/>
      <c r="M1504" s="256"/>
    </row>
    <row r="1505" spans="1:18" ht="15" customHeight="1" x14ac:dyDescent="0.2">
      <c r="A1505" s="249">
        <v>8</v>
      </c>
      <c r="B1505" s="147">
        <v>44</v>
      </c>
      <c r="C1505" s="61">
        <v>54307</v>
      </c>
      <c r="D1505" s="62" t="s">
        <v>10</v>
      </c>
      <c r="E1505" s="74"/>
      <c r="F1505" s="74"/>
      <c r="G1505" s="74">
        <v>0</v>
      </c>
      <c r="H1505" s="76">
        <f t="shared" si="58"/>
        <v>0</v>
      </c>
      <c r="I1505" s="256"/>
      <c r="J1505" s="256"/>
      <c r="K1505" s="256"/>
      <c r="L1505" s="256"/>
      <c r="M1505" s="256"/>
    </row>
    <row r="1506" spans="1:18" ht="15" customHeight="1" x14ac:dyDescent="0.2">
      <c r="A1506" s="249">
        <v>8</v>
      </c>
      <c r="B1506" s="147">
        <v>44</v>
      </c>
      <c r="C1506" s="61">
        <v>54399</v>
      </c>
      <c r="D1506" s="62" t="s">
        <v>153</v>
      </c>
      <c r="E1506" s="74"/>
      <c r="F1506" s="74"/>
      <c r="G1506" s="74">
        <v>500</v>
      </c>
      <c r="H1506" s="76">
        <f t="shared" si="58"/>
        <v>500</v>
      </c>
      <c r="I1506" s="256"/>
      <c r="J1506" s="256"/>
      <c r="K1506" s="256"/>
      <c r="L1506" s="256"/>
      <c r="M1506" s="256"/>
    </row>
    <row r="1507" spans="1:18" ht="15" customHeight="1" x14ac:dyDescent="0.2">
      <c r="A1507" s="249">
        <v>8</v>
      </c>
      <c r="B1507" s="147">
        <v>44</v>
      </c>
      <c r="C1507" s="61">
        <v>54401</v>
      </c>
      <c r="D1507" s="73" t="s">
        <v>30</v>
      </c>
      <c r="E1507" s="74"/>
      <c r="F1507" s="74"/>
      <c r="G1507" s="74">
        <v>500</v>
      </c>
      <c r="H1507" s="76">
        <f t="shared" si="58"/>
        <v>500</v>
      </c>
      <c r="I1507" s="256"/>
      <c r="J1507" s="256"/>
      <c r="K1507" s="256"/>
      <c r="L1507" s="256"/>
      <c r="M1507" s="256"/>
    </row>
    <row r="1508" spans="1:18" ht="15" customHeight="1" x14ac:dyDescent="0.2">
      <c r="A1508" s="249">
        <v>8</v>
      </c>
      <c r="B1508" s="147">
        <v>44</v>
      </c>
      <c r="C1508" s="61">
        <v>54505</v>
      </c>
      <c r="D1508" s="73" t="s">
        <v>513</v>
      </c>
      <c r="E1508" s="74"/>
      <c r="F1508" s="74"/>
      <c r="G1508" s="74">
        <v>1000</v>
      </c>
      <c r="H1508" s="76">
        <f t="shared" si="58"/>
        <v>1000</v>
      </c>
      <c r="I1508" s="256"/>
      <c r="J1508" s="256"/>
      <c r="K1508" s="256"/>
      <c r="L1508" s="256"/>
      <c r="M1508" s="256"/>
    </row>
    <row r="1509" spans="1:18" ht="15" customHeight="1" x14ac:dyDescent="0.2">
      <c r="A1509" s="249">
        <v>8</v>
      </c>
      <c r="B1509" s="147">
        <v>44</v>
      </c>
      <c r="C1509" s="61">
        <v>61101</v>
      </c>
      <c r="D1509" s="62" t="s">
        <v>144</v>
      </c>
      <c r="E1509" s="74"/>
      <c r="F1509" s="74"/>
      <c r="G1509" s="74">
        <v>1000</v>
      </c>
      <c r="H1509" s="76">
        <f>E1509+F1509+G1509</f>
        <v>1000</v>
      </c>
      <c r="I1509" s="256"/>
      <c r="J1509" s="256"/>
      <c r="K1509" s="256"/>
      <c r="L1509" s="256"/>
      <c r="M1509" s="256"/>
    </row>
    <row r="1510" spans="1:18" ht="15" customHeight="1" x14ac:dyDescent="0.2">
      <c r="A1510" s="249">
        <v>8</v>
      </c>
      <c r="B1510" s="147">
        <v>44</v>
      </c>
      <c r="C1510" s="61">
        <v>61104</v>
      </c>
      <c r="D1510" s="62" t="s">
        <v>46</v>
      </c>
      <c r="E1510" s="74"/>
      <c r="F1510" s="74"/>
      <c r="G1510" s="74">
        <v>1200</v>
      </c>
      <c r="H1510" s="76">
        <f>E1510+F1510+G1510</f>
        <v>1200</v>
      </c>
      <c r="I1510" s="256"/>
      <c r="J1510" s="256"/>
      <c r="K1510" s="256"/>
      <c r="L1510" s="256"/>
      <c r="M1510" s="256"/>
    </row>
    <row r="1511" spans="1:18" ht="15" customHeight="1" x14ac:dyDescent="0.2">
      <c r="A1511" s="249">
        <v>8</v>
      </c>
      <c r="B1511" s="147">
        <v>44</v>
      </c>
      <c r="C1511" s="61">
        <v>61199</v>
      </c>
      <c r="D1511" s="62" t="s">
        <v>135</v>
      </c>
      <c r="E1511" s="74"/>
      <c r="F1511" s="74"/>
      <c r="G1511" s="74">
        <v>300</v>
      </c>
      <c r="H1511" s="76">
        <f>E1511+F1511+G1511</f>
        <v>300</v>
      </c>
      <c r="I1511" s="256"/>
      <c r="J1511" s="256"/>
      <c r="K1511" s="256"/>
      <c r="L1511" s="256"/>
      <c r="M1511" s="256"/>
    </row>
    <row r="1512" spans="1:18" ht="15" customHeight="1" x14ac:dyDescent="0.2">
      <c r="A1512" s="249">
        <v>8</v>
      </c>
      <c r="B1512" s="147" t="s">
        <v>407</v>
      </c>
      <c r="C1512" s="61"/>
      <c r="D1512" s="61" t="s">
        <v>14</v>
      </c>
      <c r="E1512" s="138">
        <f>SUM(E1482:E1510)</f>
        <v>0</v>
      </c>
      <c r="F1512" s="138">
        <f>SUM(F1482:F1510)</f>
        <v>0</v>
      </c>
      <c r="G1512" s="138">
        <f>SUM(G1482:G1511)</f>
        <v>159029</v>
      </c>
      <c r="H1512" s="83">
        <f>E1512+F1512+G1512</f>
        <v>159029</v>
      </c>
      <c r="I1512" s="256"/>
      <c r="J1512" s="256"/>
      <c r="K1512" s="256"/>
      <c r="L1512" s="256"/>
      <c r="M1512" s="256"/>
      <c r="O1512" s="258"/>
      <c r="P1512" s="259"/>
    </row>
    <row r="1513" spans="1:18" ht="15" customHeight="1" x14ac:dyDescent="0.2">
      <c r="A1513" s="249" t="s">
        <v>387</v>
      </c>
      <c r="B1513" s="147" t="s">
        <v>387</v>
      </c>
      <c r="C1513" s="148"/>
      <c r="D1513" s="148"/>
      <c r="E1513" s="260"/>
      <c r="F1513" s="260"/>
      <c r="G1513" s="261"/>
      <c r="H1513" s="261"/>
      <c r="O1513" s="258"/>
      <c r="P1513" s="259"/>
      <c r="Q1513" s="147" t="s">
        <v>592</v>
      </c>
      <c r="R1513" s="259">
        <f>+H1512-P1513</f>
        <v>159029</v>
      </c>
    </row>
    <row r="1514" spans="1:18" ht="15" customHeight="1" x14ac:dyDescent="0.2">
      <c r="A1514" s="249" t="s">
        <v>387</v>
      </c>
      <c r="B1514" s="147" t="s">
        <v>387</v>
      </c>
      <c r="C1514" s="368"/>
      <c r="D1514" s="368"/>
      <c r="E1514" s="367"/>
      <c r="F1514" s="367"/>
      <c r="G1514" s="366"/>
      <c r="H1514" s="366"/>
      <c r="O1514" s="258"/>
    </row>
    <row r="1515" spans="1:18" ht="15" customHeight="1" x14ac:dyDescent="0.2">
      <c r="A1515" s="249" t="s">
        <v>387</v>
      </c>
      <c r="B1515" s="147" t="s">
        <v>387</v>
      </c>
      <c r="C1515" s="427" t="s">
        <v>119</v>
      </c>
      <c r="D1515" s="427"/>
      <c r="E1515" s="427"/>
      <c r="F1515" s="427"/>
      <c r="G1515" s="427"/>
      <c r="H1515" s="427"/>
    </row>
    <row r="1516" spans="1:18" ht="15" customHeight="1" x14ac:dyDescent="0.2">
      <c r="A1516" s="249" t="s">
        <v>387</v>
      </c>
      <c r="B1516" s="147" t="s">
        <v>387</v>
      </c>
      <c r="C1516" s="428" t="str">
        <f>C3</f>
        <v xml:space="preserve"> PRESUPUESTO AÑO 2024</v>
      </c>
      <c r="D1516" s="428"/>
      <c r="E1516" s="428"/>
      <c r="F1516" s="428"/>
      <c r="G1516" s="428"/>
      <c r="H1516" s="428"/>
    </row>
    <row r="1517" spans="1:18" ht="15" customHeight="1" x14ac:dyDescent="0.2">
      <c r="A1517" s="249" t="s">
        <v>387</v>
      </c>
      <c r="B1517" s="147" t="s">
        <v>387</v>
      </c>
      <c r="C1517" s="428" t="str">
        <f>C4</f>
        <v>PRESUPUESTO EXTRA CONTABLE</v>
      </c>
      <c r="D1517" s="428"/>
      <c r="E1517" s="428"/>
      <c r="F1517" s="428"/>
      <c r="G1517" s="428"/>
      <c r="H1517" s="428"/>
    </row>
    <row r="1518" spans="1:18" ht="15" customHeight="1" x14ac:dyDescent="0.2">
      <c r="A1518" s="249" t="s">
        <v>387</v>
      </c>
      <c r="B1518" s="147" t="s">
        <v>387</v>
      </c>
      <c r="C1518" s="427" t="s">
        <v>117</v>
      </c>
      <c r="D1518" s="427"/>
      <c r="E1518" s="427"/>
      <c r="F1518" s="427"/>
      <c r="G1518" s="427"/>
      <c r="H1518" s="427"/>
    </row>
    <row r="1519" spans="1:18" ht="15" customHeight="1" x14ac:dyDescent="0.2">
      <c r="A1519" s="249" t="s">
        <v>387</v>
      </c>
      <c r="B1519" s="147" t="s">
        <v>387</v>
      </c>
      <c r="C1519" s="427" t="s">
        <v>709</v>
      </c>
      <c r="D1519" s="427"/>
      <c r="E1519" s="427"/>
      <c r="F1519" s="427"/>
      <c r="G1519" s="427"/>
      <c r="H1519" s="427"/>
    </row>
    <row r="1520" spans="1:18" ht="15" customHeight="1" x14ac:dyDescent="0.2">
      <c r="A1520" s="249" t="s">
        <v>387</v>
      </c>
      <c r="B1520" s="147" t="s">
        <v>387</v>
      </c>
      <c r="C1520" s="430" t="s">
        <v>1</v>
      </c>
      <c r="D1520" s="430" t="s">
        <v>0</v>
      </c>
      <c r="E1520" s="255" t="s">
        <v>56</v>
      </c>
      <c r="F1520" s="255" t="str">
        <f>F7</f>
        <v>REFORMA</v>
      </c>
      <c r="G1520" s="255" t="s">
        <v>56</v>
      </c>
      <c r="H1520" s="432" t="str">
        <f>$H$7</f>
        <v>TOTAL 2024</v>
      </c>
    </row>
    <row r="1521" spans="1:15" ht="15" customHeight="1" x14ac:dyDescent="0.2">
      <c r="A1521" s="249" t="s">
        <v>387</v>
      </c>
      <c r="B1521" s="147" t="s">
        <v>387</v>
      </c>
      <c r="C1521" s="431"/>
      <c r="D1521" s="431"/>
      <c r="E1521" s="255" t="s">
        <v>139</v>
      </c>
      <c r="F1521" s="255"/>
      <c r="G1521" s="255" t="s">
        <v>140</v>
      </c>
      <c r="H1521" s="433"/>
    </row>
    <row r="1522" spans="1:15" ht="15" customHeight="1" x14ac:dyDescent="0.2">
      <c r="A1522" s="249">
        <v>8</v>
      </c>
      <c r="B1522" s="147">
        <v>46</v>
      </c>
      <c r="C1522" s="61">
        <v>51101</v>
      </c>
      <c r="D1522" s="73" t="s">
        <v>15</v>
      </c>
      <c r="E1522" s="74"/>
      <c r="F1522" s="74"/>
      <c r="G1522" s="290">
        <v>16500</v>
      </c>
      <c r="H1522" s="76">
        <f t="shared" ref="H1522:H1546" si="59">E1522+F1522+G1522</f>
        <v>16500</v>
      </c>
    </row>
    <row r="1523" spans="1:15" ht="15" customHeight="1" x14ac:dyDescent="0.2">
      <c r="A1523" s="249">
        <v>8</v>
      </c>
      <c r="B1523" s="147">
        <v>46</v>
      </c>
      <c r="C1523" s="61">
        <v>51103</v>
      </c>
      <c r="D1523" s="73" t="s">
        <v>16</v>
      </c>
      <c r="E1523" s="76"/>
      <c r="F1523" s="76"/>
      <c r="G1523" s="290">
        <v>1375</v>
      </c>
      <c r="H1523" s="76">
        <f t="shared" si="59"/>
        <v>1375</v>
      </c>
    </row>
    <row r="1524" spans="1:15" ht="15" customHeight="1" x14ac:dyDescent="0.2">
      <c r="A1524" s="249">
        <v>8</v>
      </c>
      <c r="B1524" s="147">
        <v>46</v>
      </c>
      <c r="C1524" s="61">
        <v>51107</v>
      </c>
      <c r="D1524" s="73" t="s">
        <v>34</v>
      </c>
      <c r="E1524" s="76"/>
      <c r="F1524" s="76"/>
      <c r="G1524" s="290">
        <v>600</v>
      </c>
      <c r="H1524" s="76">
        <f t="shared" si="59"/>
        <v>600</v>
      </c>
    </row>
    <row r="1525" spans="1:15" ht="15" customHeight="1" x14ac:dyDescent="0.2">
      <c r="A1525" s="249">
        <v>8</v>
      </c>
      <c r="B1525" s="147">
        <v>46</v>
      </c>
      <c r="C1525" s="61">
        <v>51401</v>
      </c>
      <c r="D1525" s="62" t="s">
        <v>47</v>
      </c>
      <c r="E1525" s="74"/>
      <c r="F1525" s="74"/>
      <c r="G1525" s="290">
        <v>1402.5</v>
      </c>
      <c r="H1525" s="76">
        <f t="shared" si="59"/>
        <v>1402.5</v>
      </c>
      <c r="O1525" s="257"/>
    </row>
    <row r="1526" spans="1:15" ht="15" customHeight="1" x14ac:dyDescent="0.2">
      <c r="A1526" s="249">
        <v>8</v>
      </c>
      <c r="B1526" s="147">
        <v>46</v>
      </c>
      <c r="C1526" s="61">
        <v>51501</v>
      </c>
      <c r="D1526" s="73" t="s">
        <v>29</v>
      </c>
      <c r="E1526" s="74"/>
      <c r="F1526" s="74"/>
      <c r="G1526" s="290">
        <v>1443.75</v>
      </c>
      <c r="H1526" s="76">
        <f t="shared" si="59"/>
        <v>1443.75</v>
      </c>
    </row>
    <row r="1527" spans="1:15" ht="15" customHeight="1" x14ac:dyDescent="0.2">
      <c r="A1527" s="249">
        <v>8</v>
      </c>
      <c r="B1527" s="147">
        <v>46</v>
      </c>
      <c r="C1527" s="61">
        <v>54101</v>
      </c>
      <c r="D1527" s="73" t="s">
        <v>38</v>
      </c>
      <c r="E1527" s="74"/>
      <c r="F1527" s="74"/>
      <c r="G1527" s="140">
        <v>1000</v>
      </c>
      <c r="H1527" s="76">
        <f t="shared" si="59"/>
        <v>1000</v>
      </c>
    </row>
    <row r="1528" spans="1:15" ht="15" customHeight="1" x14ac:dyDescent="0.2">
      <c r="A1528" s="249">
        <v>8</v>
      </c>
      <c r="B1528" s="147">
        <v>46</v>
      </c>
      <c r="C1528" s="61">
        <v>54104</v>
      </c>
      <c r="D1528" s="73" t="s">
        <v>17</v>
      </c>
      <c r="E1528" s="74"/>
      <c r="F1528" s="74"/>
      <c r="G1528" s="140">
        <v>300</v>
      </c>
      <c r="H1528" s="76">
        <f t="shared" si="59"/>
        <v>300</v>
      </c>
    </row>
    <row r="1529" spans="1:15" ht="15" customHeight="1" x14ac:dyDescent="0.2">
      <c r="A1529" s="249">
        <v>8</v>
      </c>
      <c r="B1529" s="147">
        <v>46</v>
      </c>
      <c r="C1529" s="61">
        <v>54105</v>
      </c>
      <c r="D1529" s="73" t="s">
        <v>131</v>
      </c>
      <c r="E1529" s="74"/>
      <c r="F1529" s="74"/>
      <c r="G1529" s="140">
        <v>300</v>
      </c>
      <c r="H1529" s="76">
        <f t="shared" si="59"/>
        <v>300</v>
      </c>
    </row>
    <row r="1530" spans="1:15" ht="15" customHeight="1" x14ac:dyDescent="0.2">
      <c r="A1530" s="249">
        <v>8</v>
      </c>
      <c r="B1530" s="147">
        <v>46</v>
      </c>
      <c r="C1530" s="61">
        <v>54107</v>
      </c>
      <c r="D1530" s="73" t="s">
        <v>43</v>
      </c>
      <c r="E1530" s="74"/>
      <c r="F1530" s="74"/>
      <c r="G1530" s="140">
        <v>400</v>
      </c>
      <c r="H1530" s="76">
        <f t="shared" si="59"/>
        <v>400</v>
      </c>
    </row>
    <row r="1531" spans="1:15" ht="15" customHeight="1" x14ac:dyDescent="0.2">
      <c r="A1531" s="249">
        <v>8</v>
      </c>
      <c r="B1531" s="147">
        <v>46</v>
      </c>
      <c r="C1531" s="61">
        <v>54111</v>
      </c>
      <c r="D1531" s="73" t="s">
        <v>162</v>
      </c>
      <c r="E1531" s="74"/>
      <c r="F1531" s="74"/>
      <c r="G1531" s="140">
        <v>100</v>
      </c>
      <c r="H1531" s="76">
        <f t="shared" si="59"/>
        <v>100</v>
      </c>
    </row>
    <row r="1532" spans="1:15" ht="15" customHeight="1" x14ac:dyDescent="0.2">
      <c r="A1532" s="249">
        <v>8</v>
      </c>
      <c r="B1532" s="147">
        <v>46</v>
      </c>
      <c r="C1532" s="61">
        <v>54112</v>
      </c>
      <c r="D1532" s="73" t="s">
        <v>42</v>
      </c>
      <c r="E1532" s="74"/>
      <c r="F1532" s="74"/>
      <c r="G1532" s="140">
        <v>100</v>
      </c>
      <c r="H1532" s="76">
        <f t="shared" si="59"/>
        <v>100</v>
      </c>
    </row>
    <row r="1533" spans="1:15" ht="15" customHeight="1" x14ac:dyDescent="0.2">
      <c r="A1533" s="249">
        <v>8</v>
      </c>
      <c r="B1533" s="147">
        <v>46</v>
      </c>
      <c r="C1533" s="61">
        <v>54114</v>
      </c>
      <c r="D1533" s="73" t="s">
        <v>5</v>
      </c>
      <c r="E1533" s="74"/>
      <c r="F1533" s="74"/>
      <c r="G1533" s="140">
        <v>200</v>
      </c>
      <c r="H1533" s="76">
        <f t="shared" si="59"/>
        <v>200</v>
      </c>
    </row>
    <row r="1534" spans="1:15" ht="15" customHeight="1" x14ac:dyDescent="0.2">
      <c r="A1534" s="249">
        <v>8</v>
      </c>
      <c r="B1534" s="147">
        <v>46</v>
      </c>
      <c r="C1534" s="61">
        <v>54115</v>
      </c>
      <c r="D1534" s="73" t="s">
        <v>49</v>
      </c>
      <c r="E1534" s="74"/>
      <c r="F1534" s="74"/>
      <c r="G1534" s="140">
        <v>250</v>
      </c>
      <c r="H1534" s="76">
        <f t="shared" si="59"/>
        <v>250</v>
      </c>
    </row>
    <row r="1535" spans="1:15" ht="15" customHeight="1" x14ac:dyDescent="0.2">
      <c r="A1535" s="249">
        <v>8</v>
      </c>
      <c r="B1535" s="147">
        <v>46</v>
      </c>
      <c r="C1535" s="61">
        <v>54116</v>
      </c>
      <c r="D1535" s="62" t="s">
        <v>167</v>
      </c>
      <c r="E1535" s="74"/>
      <c r="F1535" s="74"/>
      <c r="G1535" s="140">
        <v>100</v>
      </c>
      <c r="H1535" s="76">
        <f t="shared" si="59"/>
        <v>100</v>
      </c>
    </row>
    <row r="1536" spans="1:15" ht="15" customHeight="1" x14ac:dyDescent="0.2">
      <c r="A1536" s="249">
        <v>8</v>
      </c>
      <c r="B1536" s="147">
        <v>46</v>
      </c>
      <c r="C1536" s="61">
        <v>54119</v>
      </c>
      <c r="D1536" s="73" t="s">
        <v>44</v>
      </c>
      <c r="E1536" s="74"/>
      <c r="F1536" s="74"/>
      <c r="G1536" s="140">
        <v>150</v>
      </c>
      <c r="H1536" s="76">
        <f t="shared" si="59"/>
        <v>150</v>
      </c>
    </row>
    <row r="1537" spans="1:18" ht="15" customHeight="1" x14ac:dyDescent="0.2">
      <c r="A1537" s="249">
        <v>8</v>
      </c>
      <c r="B1537" s="147">
        <v>46</v>
      </c>
      <c r="C1537" s="61">
        <v>54199</v>
      </c>
      <c r="D1537" s="62" t="s">
        <v>318</v>
      </c>
      <c r="E1537" s="74"/>
      <c r="F1537" s="74"/>
      <c r="G1537" s="140">
        <v>200</v>
      </c>
      <c r="H1537" s="76">
        <f t="shared" si="59"/>
        <v>200</v>
      </c>
    </row>
    <row r="1538" spans="1:18" ht="15" customHeight="1" x14ac:dyDescent="0.2">
      <c r="A1538" s="249">
        <v>8</v>
      </c>
      <c r="B1538" s="147">
        <v>46</v>
      </c>
      <c r="C1538" s="61">
        <v>54301</v>
      </c>
      <c r="D1538" s="62" t="s">
        <v>8</v>
      </c>
      <c r="E1538" s="74"/>
      <c r="F1538" s="74"/>
      <c r="G1538" s="140">
        <v>100</v>
      </c>
      <c r="H1538" s="76">
        <f t="shared" si="59"/>
        <v>100</v>
      </c>
    </row>
    <row r="1539" spans="1:18" ht="15" customHeight="1" x14ac:dyDescent="0.2">
      <c r="A1539" s="249">
        <v>8</v>
      </c>
      <c r="B1539" s="147">
        <v>46</v>
      </c>
      <c r="C1539" s="61">
        <v>54313</v>
      </c>
      <c r="D1539" s="62" t="s">
        <v>11</v>
      </c>
      <c r="E1539" s="74"/>
      <c r="F1539" s="74"/>
      <c r="G1539" s="140">
        <v>200</v>
      </c>
      <c r="H1539" s="76">
        <f t="shared" si="59"/>
        <v>200</v>
      </c>
    </row>
    <row r="1540" spans="1:18" ht="15" customHeight="1" x14ac:dyDescent="0.2">
      <c r="A1540" s="249">
        <v>8</v>
      </c>
      <c r="B1540" s="147">
        <v>46</v>
      </c>
      <c r="C1540" s="61">
        <v>54399</v>
      </c>
      <c r="D1540" s="62" t="s">
        <v>526</v>
      </c>
      <c r="E1540" s="74"/>
      <c r="F1540" s="74"/>
      <c r="G1540" s="140">
        <v>200</v>
      </c>
      <c r="H1540" s="76">
        <f t="shared" si="59"/>
        <v>200</v>
      </c>
    </row>
    <row r="1541" spans="1:18" ht="15" customHeight="1" x14ac:dyDescent="0.2">
      <c r="A1541" s="249">
        <v>8</v>
      </c>
      <c r="B1541" s="147">
        <v>46</v>
      </c>
      <c r="C1541" s="61">
        <v>54401</v>
      </c>
      <c r="D1541" s="62" t="s">
        <v>143</v>
      </c>
      <c r="E1541" s="74"/>
      <c r="F1541" s="74"/>
      <c r="G1541" s="140">
        <v>100</v>
      </c>
      <c r="H1541" s="76">
        <f t="shared" si="59"/>
        <v>100</v>
      </c>
    </row>
    <row r="1542" spans="1:18" ht="15" customHeight="1" x14ac:dyDescent="0.2">
      <c r="A1542" s="249">
        <v>8</v>
      </c>
      <c r="B1542" s="147">
        <v>46</v>
      </c>
      <c r="C1542" s="61">
        <v>61101</v>
      </c>
      <c r="D1542" s="73" t="s">
        <v>144</v>
      </c>
      <c r="E1542" s="74"/>
      <c r="F1542" s="74"/>
      <c r="G1542" s="140">
        <v>500</v>
      </c>
      <c r="H1542" s="76">
        <f t="shared" si="59"/>
        <v>500</v>
      </c>
    </row>
    <row r="1543" spans="1:18" ht="15" customHeight="1" x14ac:dyDescent="0.2">
      <c r="A1543" s="249">
        <v>8</v>
      </c>
      <c r="B1543" s="147">
        <v>46</v>
      </c>
      <c r="C1543" s="61">
        <v>61102</v>
      </c>
      <c r="D1543" s="62" t="s">
        <v>28</v>
      </c>
      <c r="E1543" s="74"/>
      <c r="F1543" s="74"/>
      <c r="G1543" s="140">
        <v>500</v>
      </c>
      <c r="H1543" s="76">
        <f t="shared" si="59"/>
        <v>500</v>
      </c>
    </row>
    <row r="1544" spans="1:18" ht="15" customHeight="1" x14ac:dyDescent="0.2">
      <c r="A1544" s="249">
        <v>8</v>
      </c>
      <c r="B1544" s="147">
        <v>46</v>
      </c>
      <c r="C1544" s="61">
        <v>61104</v>
      </c>
      <c r="D1544" s="73" t="s">
        <v>46</v>
      </c>
      <c r="E1544" s="74"/>
      <c r="F1544" s="74"/>
      <c r="G1544" s="140">
        <v>700</v>
      </c>
      <c r="H1544" s="76">
        <f t="shared" si="59"/>
        <v>700</v>
      </c>
    </row>
    <row r="1545" spans="1:18" ht="15" customHeight="1" x14ac:dyDescent="0.2">
      <c r="A1545" s="249">
        <v>8</v>
      </c>
      <c r="B1545" s="147">
        <v>46</v>
      </c>
      <c r="C1545" s="61" t="s">
        <v>621</v>
      </c>
      <c r="D1545" s="73" t="s">
        <v>54</v>
      </c>
      <c r="E1545" s="74"/>
      <c r="F1545" s="74"/>
      <c r="G1545" s="140">
        <v>200</v>
      </c>
      <c r="H1545" s="76">
        <f>E1545+F1545+G1545</f>
        <v>200</v>
      </c>
    </row>
    <row r="1546" spans="1:18" ht="15" customHeight="1" x14ac:dyDescent="0.2">
      <c r="A1546" s="249">
        <v>8</v>
      </c>
      <c r="B1546" s="147" t="s">
        <v>412</v>
      </c>
      <c r="C1546" s="61"/>
      <c r="D1546" s="61" t="s">
        <v>14</v>
      </c>
      <c r="E1546" s="138">
        <f>SUM(E1522:E1544)</f>
        <v>0</v>
      </c>
      <c r="F1546" s="138">
        <f>SUM(F1522:F1542)</f>
        <v>0</v>
      </c>
      <c r="G1546" s="138">
        <f>SUM(G1522:G1545)</f>
        <v>26921.25</v>
      </c>
      <c r="H1546" s="83">
        <f t="shared" si="59"/>
        <v>26921.25</v>
      </c>
      <c r="O1546" s="258"/>
      <c r="P1546" s="259"/>
    </row>
    <row r="1547" spans="1:18" ht="15" customHeight="1" x14ac:dyDescent="0.2">
      <c r="A1547" s="249" t="s">
        <v>387</v>
      </c>
      <c r="B1547" s="147" t="s">
        <v>387</v>
      </c>
      <c r="H1547" s="261"/>
      <c r="O1547" s="258"/>
      <c r="P1547" s="259"/>
      <c r="Q1547" s="147" t="s">
        <v>592</v>
      </c>
      <c r="R1547" s="259">
        <f>+H1546-P1547</f>
        <v>26921.25</v>
      </c>
    </row>
    <row r="1548" spans="1:18" ht="15" customHeight="1" x14ac:dyDescent="0.2">
      <c r="A1548" s="249" t="s">
        <v>387</v>
      </c>
      <c r="B1548" s="147" t="s">
        <v>387</v>
      </c>
      <c r="C1548" s="148"/>
      <c r="D1548" s="148"/>
      <c r="E1548" s="260"/>
      <c r="F1548" s="260"/>
      <c r="G1548" s="261"/>
      <c r="H1548" s="261"/>
      <c r="O1548" s="258"/>
    </row>
    <row r="1549" spans="1:18" ht="15" customHeight="1" x14ac:dyDescent="0.2">
      <c r="A1549" s="249" t="s">
        <v>387</v>
      </c>
      <c r="B1549" s="147" t="s">
        <v>387</v>
      </c>
      <c r="C1549" s="368"/>
      <c r="D1549" s="363"/>
      <c r="E1549" s="371"/>
      <c r="F1549" s="371"/>
      <c r="G1549" s="372"/>
      <c r="H1549" s="372"/>
    </row>
    <row r="1550" spans="1:18" ht="15" customHeight="1" x14ac:dyDescent="0.2">
      <c r="A1550" s="249" t="s">
        <v>387</v>
      </c>
      <c r="B1550" s="147" t="s">
        <v>387</v>
      </c>
      <c r="C1550" s="427" t="s">
        <v>119</v>
      </c>
      <c r="D1550" s="427"/>
      <c r="E1550" s="427"/>
      <c r="F1550" s="427"/>
      <c r="G1550" s="427"/>
      <c r="H1550" s="427"/>
    </row>
    <row r="1551" spans="1:18" ht="15" customHeight="1" x14ac:dyDescent="0.2">
      <c r="A1551" s="249" t="s">
        <v>387</v>
      </c>
      <c r="B1551" s="147" t="s">
        <v>387</v>
      </c>
      <c r="C1551" s="428" t="str">
        <f>C3</f>
        <v xml:space="preserve"> PRESUPUESTO AÑO 2024</v>
      </c>
      <c r="D1551" s="428"/>
      <c r="E1551" s="428"/>
      <c r="F1551" s="428"/>
      <c r="G1551" s="428"/>
      <c r="H1551" s="428"/>
    </row>
    <row r="1552" spans="1:18" ht="15" customHeight="1" x14ac:dyDescent="0.2">
      <c r="A1552" s="249" t="s">
        <v>387</v>
      </c>
      <c r="B1552" s="147" t="s">
        <v>387</v>
      </c>
      <c r="C1552" s="428" t="str">
        <f>C4</f>
        <v>PRESUPUESTO EXTRA CONTABLE</v>
      </c>
      <c r="D1552" s="428"/>
      <c r="E1552" s="428"/>
      <c r="F1552" s="428"/>
      <c r="G1552" s="428"/>
      <c r="H1552" s="428"/>
    </row>
    <row r="1553" spans="1:16" ht="15" customHeight="1" x14ac:dyDescent="0.2">
      <c r="A1553" s="249" t="s">
        <v>387</v>
      </c>
      <c r="B1553" s="147" t="s">
        <v>387</v>
      </c>
      <c r="C1553" s="427" t="s">
        <v>117</v>
      </c>
      <c r="D1553" s="427"/>
      <c r="E1553" s="427"/>
      <c r="F1553" s="427"/>
      <c r="G1553" s="427"/>
      <c r="H1553" s="427"/>
    </row>
    <row r="1554" spans="1:16" ht="15" customHeight="1" x14ac:dyDescent="0.2">
      <c r="A1554" s="249" t="s">
        <v>387</v>
      </c>
      <c r="B1554" s="147" t="s">
        <v>387</v>
      </c>
      <c r="C1554" s="427" t="s">
        <v>664</v>
      </c>
      <c r="D1554" s="427"/>
      <c r="E1554" s="427"/>
      <c r="F1554" s="427"/>
      <c r="G1554" s="427"/>
      <c r="H1554" s="427"/>
    </row>
    <row r="1555" spans="1:16" ht="15" customHeight="1" x14ac:dyDescent="0.2">
      <c r="A1555" s="249" t="s">
        <v>387</v>
      </c>
      <c r="B1555" s="147" t="s">
        <v>387</v>
      </c>
      <c r="C1555" s="430" t="s">
        <v>1</v>
      </c>
      <c r="D1555" s="430" t="s">
        <v>0</v>
      </c>
      <c r="E1555" s="255" t="s">
        <v>56</v>
      </c>
      <c r="F1555" s="255" t="str">
        <f>F7</f>
        <v>REFORMA</v>
      </c>
      <c r="G1555" s="255" t="s">
        <v>56</v>
      </c>
      <c r="H1555" s="432" t="str">
        <f>$H$7</f>
        <v>TOTAL 2024</v>
      </c>
      <c r="I1555" s="153" t="s">
        <v>285</v>
      </c>
      <c r="J1555" s="153"/>
      <c r="K1555" s="153"/>
      <c r="L1555" s="153"/>
      <c r="M1555" s="153"/>
      <c r="N1555" s="269" t="s">
        <v>295</v>
      </c>
    </row>
    <row r="1556" spans="1:16" ht="15" customHeight="1" x14ac:dyDescent="0.2">
      <c r="A1556" s="249" t="s">
        <v>387</v>
      </c>
      <c r="B1556" s="147" t="s">
        <v>387</v>
      </c>
      <c r="C1556" s="431"/>
      <c r="D1556" s="431"/>
      <c r="E1556" s="255" t="s">
        <v>139</v>
      </c>
      <c r="F1556" s="255"/>
      <c r="G1556" s="255" t="s">
        <v>140</v>
      </c>
      <c r="H1556" s="433"/>
      <c r="I1556" s="153" t="s">
        <v>286</v>
      </c>
      <c r="J1556" s="153" t="s">
        <v>290</v>
      </c>
      <c r="K1556" s="153" t="s">
        <v>291</v>
      </c>
      <c r="L1556" s="153" t="s">
        <v>293</v>
      </c>
      <c r="M1556" s="153" t="s">
        <v>292</v>
      </c>
    </row>
    <row r="1557" spans="1:16" ht="15" customHeight="1" x14ac:dyDescent="0.2">
      <c r="A1557" s="249">
        <v>48</v>
      </c>
      <c r="B1557" s="147" t="s">
        <v>450</v>
      </c>
      <c r="C1557" s="61">
        <v>51101</v>
      </c>
      <c r="D1557" s="73" t="s">
        <v>15</v>
      </c>
      <c r="E1557" s="74"/>
      <c r="F1557" s="74"/>
      <c r="G1557" s="272">
        <v>63960</v>
      </c>
      <c r="H1557" s="76">
        <f t="shared" ref="H1557:H1590" si="60">E1557+F1557+G1557</f>
        <v>63960</v>
      </c>
      <c r="I1557" s="256"/>
      <c r="J1557" s="256"/>
      <c r="K1557" s="256"/>
      <c r="L1557" s="256"/>
      <c r="M1557" s="256"/>
    </row>
    <row r="1558" spans="1:16" ht="15" customHeight="1" x14ac:dyDescent="0.2">
      <c r="A1558" s="249">
        <v>48</v>
      </c>
      <c r="B1558" s="147" t="s">
        <v>450</v>
      </c>
      <c r="C1558" s="61">
        <v>51103</v>
      </c>
      <c r="D1558" s="73" t="s">
        <v>16</v>
      </c>
      <c r="E1558" s="76"/>
      <c r="F1558" s="76"/>
      <c r="G1558" s="272">
        <v>5330</v>
      </c>
      <c r="H1558" s="76">
        <f t="shared" si="60"/>
        <v>5330</v>
      </c>
      <c r="I1558" s="256"/>
      <c r="J1558" s="256"/>
      <c r="K1558" s="256"/>
      <c r="L1558" s="256"/>
      <c r="M1558" s="256"/>
    </row>
    <row r="1559" spans="1:16" ht="15" customHeight="1" x14ac:dyDescent="0.2">
      <c r="A1559" s="249">
        <v>48</v>
      </c>
      <c r="B1559" s="147" t="s">
        <v>450</v>
      </c>
      <c r="C1559" s="61">
        <v>51107</v>
      </c>
      <c r="D1559" s="73" t="s">
        <v>34</v>
      </c>
      <c r="E1559" s="76"/>
      <c r="F1559" s="76"/>
      <c r="G1559" s="272">
        <v>2400</v>
      </c>
      <c r="H1559" s="76">
        <f t="shared" si="60"/>
        <v>2400</v>
      </c>
      <c r="I1559" s="256"/>
      <c r="J1559" s="256"/>
      <c r="K1559" s="256"/>
      <c r="L1559" s="256"/>
      <c r="M1559" s="256"/>
    </row>
    <row r="1560" spans="1:16" ht="15" customHeight="1" x14ac:dyDescent="0.2">
      <c r="A1560" s="249">
        <v>48</v>
      </c>
      <c r="B1560" s="147" t="s">
        <v>450</v>
      </c>
      <c r="C1560" s="61">
        <v>51401</v>
      </c>
      <c r="D1560" s="62" t="s">
        <v>47</v>
      </c>
      <c r="E1560" s="74"/>
      <c r="F1560" s="74"/>
      <c r="G1560" s="272">
        <v>5436.6</v>
      </c>
      <c r="H1560" s="76">
        <f t="shared" si="60"/>
        <v>5436.6</v>
      </c>
      <c r="I1560" s="256"/>
      <c r="J1560" s="256"/>
      <c r="K1560" s="256"/>
      <c r="L1560" s="256"/>
      <c r="M1560" s="256"/>
      <c r="O1560" s="257"/>
    </row>
    <row r="1561" spans="1:16" ht="15" customHeight="1" x14ac:dyDescent="0.2">
      <c r="A1561" s="249">
        <v>48</v>
      </c>
      <c r="B1561" s="147" t="s">
        <v>450</v>
      </c>
      <c r="C1561" s="61">
        <v>51501</v>
      </c>
      <c r="D1561" s="62" t="s">
        <v>29</v>
      </c>
      <c r="E1561" s="74"/>
      <c r="F1561" s="74"/>
      <c r="G1561" s="272">
        <v>5596.5</v>
      </c>
      <c r="H1561" s="76">
        <f t="shared" si="60"/>
        <v>5596.5</v>
      </c>
      <c r="I1561" s="256"/>
      <c r="J1561" s="256"/>
      <c r="K1561" s="256"/>
      <c r="L1561" s="256"/>
      <c r="M1561" s="256"/>
    </row>
    <row r="1562" spans="1:16" ht="15" customHeight="1" x14ac:dyDescent="0.2">
      <c r="A1562" s="249">
        <v>48</v>
      </c>
      <c r="B1562" s="147" t="s">
        <v>450</v>
      </c>
      <c r="C1562" s="61">
        <v>54101</v>
      </c>
      <c r="D1562" s="73" t="s">
        <v>38</v>
      </c>
      <c r="E1562" s="74"/>
      <c r="F1562" s="74"/>
      <c r="G1562" s="76">
        <v>31450</v>
      </c>
      <c r="H1562" s="76">
        <f t="shared" si="60"/>
        <v>31450</v>
      </c>
      <c r="I1562" s="256"/>
      <c r="J1562" s="256"/>
      <c r="K1562" s="256"/>
      <c r="L1562" s="256"/>
      <c r="M1562" s="256"/>
    </row>
    <row r="1563" spans="1:16" ht="15" customHeight="1" x14ac:dyDescent="0.2">
      <c r="A1563" s="249">
        <v>48</v>
      </c>
      <c r="B1563" s="147" t="s">
        <v>450</v>
      </c>
      <c r="C1563" s="61">
        <v>54104</v>
      </c>
      <c r="D1563" s="73" t="s">
        <v>17</v>
      </c>
      <c r="E1563" s="74"/>
      <c r="F1563" s="74"/>
      <c r="G1563" s="272">
        <v>3600</v>
      </c>
      <c r="H1563" s="76">
        <f t="shared" si="60"/>
        <v>3600</v>
      </c>
      <c r="I1563" s="256"/>
      <c r="J1563" s="256"/>
      <c r="K1563" s="256"/>
      <c r="L1563" s="256"/>
      <c r="M1563" s="256"/>
      <c r="P1563" s="274"/>
    </row>
    <row r="1564" spans="1:16" ht="15" customHeight="1" x14ac:dyDescent="0.2">
      <c r="A1564" s="249">
        <v>48</v>
      </c>
      <c r="B1564" s="147" t="s">
        <v>450</v>
      </c>
      <c r="C1564" s="61">
        <v>54105</v>
      </c>
      <c r="D1564" s="73" t="s">
        <v>131</v>
      </c>
      <c r="E1564" s="74"/>
      <c r="F1564" s="74"/>
      <c r="G1564" s="76">
        <v>3405</v>
      </c>
      <c r="H1564" s="76">
        <f t="shared" si="60"/>
        <v>3405</v>
      </c>
      <c r="I1564" s="256"/>
      <c r="J1564" s="256"/>
      <c r="K1564" s="256"/>
      <c r="L1564" s="256"/>
      <c r="M1564" s="256"/>
    </row>
    <row r="1565" spans="1:16" ht="15" customHeight="1" x14ac:dyDescent="0.2">
      <c r="A1565" s="249">
        <v>48</v>
      </c>
      <c r="B1565" s="147" t="s">
        <v>450</v>
      </c>
      <c r="C1565" s="61">
        <v>54106</v>
      </c>
      <c r="D1565" s="73" t="s">
        <v>18</v>
      </c>
      <c r="E1565" s="74"/>
      <c r="F1565" s="74"/>
      <c r="G1565" s="76">
        <v>570</v>
      </c>
      <c r="H1565" s="76">
        <f t="shared" si="60"/>
        <v>570</v>
      </c>
      <c r="I1565" s="256"/>
      <c r="J1565" s="256"/>
      <c r="K1565" s="256"/>
      <c r="L1565" s="256"/>
      <c r="M1565" s="256"/>
    </row>
    <row r="1566" spans="1:16" ht="15" customHeight="1" x14ac:dyDescent="0.2">
      <c r="A1566" s="249">
        <v>48</v>
      </c>
      <c r="B1566" s="147" t="s">
        <v>450</v>
      </c>
      <c r="C1566" s="61">
        <v>54107</v>
      </c>
      <c r="D1566" s="73" t="s">
        <v>43</v>
      </c>
      <c r="E1566" s="74"/>
      <c r="F1566" s="74"/>
      <c r="G1566" s="76">
        <v>3750</v>
      </c>
      <c r="H1566" s="76">
        <f t="shared" si="60"/>
        <v>3750</v>
      </c>
      <c r="I1566" s="256"/>
      <c r="J1566" s="256"/>
      <c r="K1566" s="256"/>
      <c r="L1566" s="256"/>
      <c r="M1566" s="256"/>
    </row>
    <row r="1567" spans="1:16" ht="15" customHeight="1" x14ac:dyDescent="0.2">
      <c r="A1567" s="249">
        <v>48</v>
      </c>
      <c r="B1567" s="147" t="s">
        <v>450</v>
      </c>
      <c r="C1567" s="61">
        <v>54108</v>
      </c>
      <c r="D1567" s="73" t="s">
        <v>169</v>
      </c>
      <c r="E1567" s="74"/>
      <c r="F1567" s="74"/>
      <c r="G1567" s="76">
        <v>1850</v>
      </c>
      <c r="H1567" s="76">
        <f t="shared" si="60"/>
        <v>1850</v>
      </c>
      <c r="I1567" s="256"/>
      <c r="J1567" s="256"/>
      <c r="K1567" s="256"/>
      <c r="L1567" s="256"/>
      <c r="M1567" s="256"/>
    </row>
    <row r="1568" spans="1:16" ht="15" customHeight="1" x14ac:dyDescent="0.2">
      <c r="A1568" s="249">
        <v>48</v>
      </c>
      <c r="B1568" s="147" t="s">
        <v>450</v>
      </c>
      <c r="C1568" s="61" t="s">
        <v>535</v>
      </c>
      <c r="D1568" s="73" t="s">
        <v>147</v>
      </c>
      <c r="E1568" s="74"/>
      <c r="F1568" s="74"/>
      <c r="G1568" s="76">
        <v>100</v>
      </c>
      <c r="H1568" s="76">
        <f t="shared" si="60"/>
        <v>100</v>
      </c>
      <c r="I1568" s="256"/>
      <c r="J1568" s="256"/>
      <c r="K1568" s="256"/>
      <c r="L1568" s="256"/>
      <c r="M1568" s="256"/>
    </row>
    <row r="1569" spans="1:16" ht="15" customHeight="1" x14ac:dyDescent="0.2">
      <c r="A1569" s="249">
        <v>48</v>
      </c>
      <c r="B1569" s="147" t="s">
        <v>450</v>
      </c>
      <c r="C1569" s="61">
        <v>54111</v>
      </c>
      <c r="D1569" s="73" t="s">
        <v>162</v>
      </c>
      <c r="E1569" s="74"/>
      <c r="F1569" s="74"/>
      <c r="G1569" s="76">
        <v>260</v>
      </c>
      <c r="H1569" s="76">
        <f t="shared" si="60"/>
        <v>260</v>
      </c>
      <c r="I1569" s="256"/>
      <c r="J1569" s="256"/>
      <c r="K1569" s="256"/>
      <c r="L1569" s="256"/>
      <c r="M1569" s="256"/>
    </row>
    <row r="1570" spans="1:16" ht="15" customHeight="1" x14ac:dyDescent="0.2">
      <c r="A1570" s="249">
        <v>48</v>
      </c>
      <c r="B1570" s="147" t="s">
        <v>450</v>
      </c>
      <c r="C1570" s="61">
        <v>54112</v>
      </c>
      <c r="D1570" s="73" t="s">
        <v>42</v>
      </c>
      <c r="E1570" s="74"/>
      <c r="F1570" s="74"/>
      <c r="G1570" s="76">
        <v>645</v>
      </c>
      <c r="H1570" s="76">
        <f t="shared" si="60"/>
        <v>645</v>
      </c>
      <c r="I1570" s="256"/>
      <c r="J1570" s="256"/>
      <c r="K1570" s="256"/>
      <c r="L1570" s="256"/>
      <c r="M1570" s="256"/>
    </row>
    <row r="1571" spans="1:16" ht="15" customHeight="1" x14ac:dyDescent="0.2">
      <c r="A1571" s="249">
        <v>48</v>
      </c>
      <c r="B1571" s="147" t="s">
        <v>450</v>
      </c>
      <c r="C1571" s="61">
        <v>54113</v>
      </c>
      <c r="D1571" s="62" t="s">
        <v>148</v>
      </c>
      <c r="E1571" s="74"/>
      <c r="F1571" s="74"/>
      <c r="G1571" s="76">
        <v>700</v>
      </c>
      <c r="H1571" s="76">
        <f t="shared" si="60"/>
        <v>700</v>
      </c>
      <c r="I1571" s="256"/>
      <c r="J1571" s="256"/>
      <c r="K1571" s="256"/>
      <c r="L1571" s="256"/>
      <c r="M1571" s="256"/>
    </row>
    <row r="1572" spans="1:16" ht="15" customHeight="1" x14ac:dyDescent="0.2">
      <c r="A1572" s="249">
        <v>48</v>
      </c>
      <c r="B1572" s="147" t="s">
        <v>450</v>
      </c>
      <c r="C1572" s="61">
        <v>54114</v>
      </c>
      <c r="D1572" s="73" t="s">
        <v>5</v>
      </c>
      <c r="E1572" s="74"/>
      <c r="F1572" s="74"/>
      <c r="G1572" s="272">
        <v>1060</v>
      </c>
      <c r="H1572" s="76">
        <f t="shared" si="60"/>
        <v>1060</v>
      </c>
      <c r="I1572" s="256"/>
      <c r="J1572" s="256"/>
      <c r="K1572" s="256"/>
      <c r="L1572" s="256"/>
      <c r="M1572" s="256"/>
      <c r="P1572" s="274">
        <f>G2235-O2325</f>
        <v>5343</v>
      </c>
    </row>
    <row r="1573" spans="1:16" ht="15" customHeight="1" x14ac:dyDescent="0.2">
      <c r="A1573" s="249">
        <v>48</v>
      </c>
      <c r="B1573" s="147" t="s">
        <v>450</v>
      </c>
      <c r="C1573" s="61">
        <v>54115</v>
      </c>
      <c r="D1573" s="73" t="s">
        <v>49</v>
      </c>
      <c r="E1573" s="74"/>
      <c r="F1573" s="74"/>
      <c r="G1573" s="76">
        <v>1230</v>
      </c>
      <c r="H1573" s="76">
        <f t="shared" si="60"/>
        <v>1230</v>
      </c>
      <c r="I1573" s="256"/>
      <c r="J1573" s="256"/>
      <c r="K1573" s="256"/>
      <c r="L1573" s="256"/>
      <c r="M1573" s="256"/>
    </row>
    <row r="1574" spans="1:16" ht="15" customHeight="1" x14ac:dyDescent="0.2">
      <c r="A1574" s="249">
        <v>48</v>
      </c>
      <c r="B1574" s="147" t="s">
        <v>450</v>
      </c>
      <c r="C1574" s="61">
        <v>54116</v>
      </c>
      <c r="D1574" s="62" t="s">
        <v>155</v>
      </c>
      <c r="E1574" s="74"/>
      <c r="F1574" s="74"/>
      <c r="G1574" s="76">
        <v>200</v>
      </c>
      <c r="H1574" s="76">
        <f t="shared" si="60"/>
        <v>200</v>
      </c>
      <c r="I1574" s="256"/>
      <c r="J1574" s="256"/>
      <c r="K1574" s="256"/>
      <c r="L1574" s="256"/>
      <c r="M1574" s="256"/>
    </row>
    <row r="1575" spans="1:16" ht="15" customHeight="1" x14ac:dyDescent="0.2">
      <c r="A1575" s="249">
        <v>48</v>
      </c>
      <c r="B1575" s="147" t="s">
        <v>450</v>
      </c>
      <c r="C1575" s="61">
        <v>54118</v>
      </c>
      <c r="D1575" s="62" t="s">
        <v>35</v>
      </c>
      <c r="E1575" s="74"/>
      <c r="F1575" s="74"/>
      <c r="G1575" s="76">
        <v>0</v>
      </c>
      <c r="H1575" s="76">
        <f t="shared" si="60"/>
        <v>0</v>
      </c>
      <c r="I1575" s="256"/>
      <c r="J1575" s="256"/>
      <c r="K1575" s="256"/>
      <c r="L1575" s="256"/>
      <c r="M1575" s="256"/>
    </row>
    <row r="1576" spans="1:16" ht="15" customHeight="1" x14ac:dyDescent="0.2">
      <c r="A1576" s="249">
        <v>48</v>
      </c>
      <c r="B1576" s="147" t="s">
        <v>450</v>
      </c>
      <c r="C1576" s="61">
        <v>54119</v>
      </c>
      <c r="D1576" s="62" t="s">
        <v>44</v>
      </c>
      <c r="E1576" s="74"/>
      <c r="F1576" s="74"/>
      <c r="G1576" s="76">
        <v>1150</v>
      </c>
      <c r="H1576" s="76">
        <f t="shared" si="60"/>
        <v>1150</v>
      </c>
      <c r="I1576" s="256"/>
      <c r="J1576" s="256"/>
      <c r="K1576" s="256"/>
      <c r="L1576" s="256"/>
      <c r="M1576" s="256"/>
    </row>
    <row r="1577" spans="1:16" ht="15" customHeight="1" x14ac:dyDescent="0.2">
      <c r="A1577" s="249">
        <v>48</v>
      </c>
      <c r="B1577" s="147" t="s">
        <v>450</v>
      </c>
      <c r="C1577" s="61">
        <v>54199</v>
      </c>
      <c r="D1577" s="73" t="s">
        <v>26</v>
      </c>
      <c r="E1577" s="74"/>
      <c r="F1577" s="74"/>
      <c r="G1577" s="76">
        <v>4200</v>
      </c>
      <c r="H1577" s="76">
        <f t="shared" si="60"/>
        <v>4200</v>
      </c>
      <c r="I1577" s="256"/>
      <c r="J1577" s="256"/>
      <c r="K1577" s="256"/>
      <c r="L1577" s="256"/>
      <c r="M1577" s="256"/>
    </row>
    <row r="1578" spans="1:16" ht="15" customHeight="1" x14ac:dyDescent="0.2">
      <c r="A1578" s="249">
        <v>48</v>
      </c>
      <c r="B1578" s="147" t="s">
        <v>450</v>
      </c>
      <c r="C1578" s="61">
        <v>54301</v>
      </c>
      <c r="D1578" s="62" t="s">
        <v>8</v>
      </c>
      <c r="E1578" s="74"/>
      <c r="F1578" s="74"/>
      <c r="G1578" s="76">
        <v>1000</v>
      </c>
      <c r="H1578" s="76">
        <f t="shared" si="60"/>
        <v>1000</v>
      </c>
      <c r="I1578" s="256"/>
      <c r="J1578" s="256"/>
      <c r="K1578" s="256"/>
      <c r="L1578" s="256"/>
      <c r="M1578" s="256"/>
    </row>
    <row r="1579" spans="1:16" ht="15" customHeight="1" x14ac:dyDescent="0.2">
      <c r="A1579" s="249">
        <v>48</v>
      </c>
      <c r="B1579" s="147" t="s">
        <v>450</v>
      </c>
      <c r="C1579" s="61">
        <v>54313</v>
      </c>
      <c r="D1579" s="62" t="s">
        <v>11</v>
      </c>
      <c r="E1579" s="74"/>
      <c r="F1579" s="74"/>
      <c r="G1579" s="76">
        <v>500</v>
      </c>
      <c r="H1579" s="76">
        <f t="shared" si="60"/>
        <v>500</v>
      </c>
      <c r="I1579" s="256"/>
      <c r="J1579" s="256"/>
      <c r="K1579" s="256"/>
      <c r="L1579" s="256"/>
      <c r="M1579" s="256"/>
    </row>
    <row r="1580" spans="1:16" ht="15" customHeight="1" x14ac:dyDescent="0.2">
      <c r="A1580" s="249">
        <v>48</v>
      </c>
      <c r="B1580" s="147" t="s">
        <v>450</v>
      </c>
      <c r="C1580" s="106">
        <v>54314</v>
      </c>
      <c r="D1580" s="107" t="s">
        <v>783</v>
      </c>
      <c r="E1580" s="271"/>
      <c r="F1580" s="136"/>
      <c r="G1580" s="272">
        <v>21500</v>
      </c>
      <c r="H1580" s="272">
        <f t="shared" si="60"/>
        <v>21500</v>
      </c>
      <c r="I1580" s="256"/>
      <c r="J1580" s="256"/>
      <c r="K1580" s="256"/>
      <c r="L1580" s="256"/>
      <c r="M1580" s="256"/>
    </row>
    <row r="1581" spans="1:16" ht="15" customHeight="1" x14ac:dyDescent="0.2">
      <c r="A1581" s="249">
        <v>48</v>
      </c>
      <c r="B1581" s="147" t="s">
        <v>450</v>
      </c>
      <c r="C1581" s="61">
        <v>54399</v>
      </c>
      <c r="D1581" s="62" t="s">
        <v>153</v>
      </c>
      <c r="E1581" s="74"/>
      <c r="F1581" s="74"/>
      <c r="G1581" s="76">
        <v>450</v>
      </c>
      <c r="H1581" s="76">
        <f t="shared" si="60"/>
        <v>450</v>
      </c>
      <c r="I1581" s="256"/>
      <c r="J1581" s="256"/>
      <c r="K1581" s="256"/>
      <c r="L1581" s="256"/>
      <c r="M1581" s="256"/>
    </row>
    <row r="1582" spans="1:16" ht="15" customHeight="1" x14ac:dyDescent="0.2">
      <c r="A1582" s="249">
        <v>48</v>
      </c>
      <c r="B1582" s="147" t="s">
        <v>450</v>
      </c>
      <c r="C1582" s="61">
        <v>54401</v>
      </c>
      <c r="D1582" s="73" t="s">
        <v>143</v>
      </c>
      <c r="E1582" s="74"/>
      <c r="F1582" s="74"/>
      <c r="G1582" s="76">
        <v>800</v>
      </c>
      <c r="H1582" s="76">
        <f t="shared" si="60"/>
        <v>800</v>
      </c>
      <c r="I1582" s="256"/>
      <c r="J1582" s="256"/>
      <c r="K1582" s="256"/>
      <c r="L1582" s="256"/>
      <c r="M1582" s="256"/>
    </row>
    <row r="1583" spans="1:16" ht="15" customHeight="1" x14ac:dyDescent="0.2">
      <c r="A1583" s="249">
        <v>48</v>
      </c>
      <c r="B1583" s="147" t="s">
        <v>450</v>
      </c>
      <c r="C1583" s="106">
        <v>54505</v>
      </c>
      <c r="D1583" s="107" t="s">
        <v>40</v>
      </c>
      <c r="E1583" s="271"/>
      <c r="F1583" s="271"/>
      <c r="G1583" s="272">
        <v>10000</v>
      </c>
      <c r="H1583" s="76">
        <f t="shared" si="60"/>
        <v>10000</v>
      </c>
      <c r="I1583" s="256"/>
      <c r="J1583" s="256"/>
      <c r="K1583" s="256"/>
      <c r="L1583" s="256"/>
      <c r="M1583" s="256"/>
    </row>
    <row r="1584" spans="1:16" ht="15" customHeight="1" x14ac:dyDescent="0.2">
      <c r="A1584" s="249">
        <v>48</v>
      </c>
      <c r="B1584" s="147" t="s">
        <v>450</v>
      </c>
      <c r="C1584" s="106">
        <v>54507</v>
      </c>
      <c r="D1584" s="107" t="s">
        <v>294</v>
      </c>
      <c r="E1584" s="271"/>
      <c r="F1584" s="271"/>
      <c r="G1584" s="272">
        <v>0</v>
      </c>
      <c r="H1584" s="76">
        <f t="shared" si="60"/>
        <v>0</v>
      </c>
      <c r="I1584" s="256"/>
      <c r="J1584" s="256"/>
      <c r="K1584" s="256"/>
      <c r="L1584" s="256"/>
      <c r="M1584" s="256"/>
    </row>
    <row r="1585" spans="1:18" ht="15" customHeight="1" x14ac:dyDescent="0.2">
      <c r="A1585" s="249">
        <v>48</v>
      </c>
      <c r="B1585" s="147" t="s">
        <v>450</v>
      </c>
      <c r="C1585" s="106">
        <v>55601</v>
      </c>
      <c r="D1585" s="107" t="s">
        <v>191</v>
      </c>
      <c r="E1585" s="271"/>
      <c r="F1585" s="271"/>
      <c r="G1585" s="272">
        <v>15000</v>
      </c>
      <c r="H1585" s="76">
        <f t="shared" si="60"/>
        <v>15000</v>
      </c>
      <c r="I1585" s="256"/>
      <c r="J1585" s="256"/>
      <c r="K1585" s="256"/>
      <c r="L1585" s="256"/>
      <c r="M1585" s="256"/>
    </row>
    <row r="1586" spans="1:18" ht="15" customHeight="1" x14ac:dyDescent="0.2">
      <c r="A1586" s="249">
        <v>48</v>
      </c>
      <c r="B1586" s="147" t="s">
        <v>450</v>
      </c>
      <c r="C1586" s="61">
        <v>61101</v>
      </c>
      <c r="D1586" s="73" t="s">
        <v>144</v>
      </c>
      <c r="E1586" s="74"/>
      <c r="F1586" s="74"/>
      <c r="G1586" s="76">
        <v>2700</v>
      </c>
      <c r="H1586" s="76">
        <f t="shared" si="60"/>
        <v>2700</v>
      </c>
      <c r="I1586" s="256"/>
      <c r="J1586" s="256"/>
      <c r="K1586" s="256"/>
      <c r="L1586" s="256"/>
      <c r="M1586" s="256"/>
    </row>
    <row r="1587" spans="1:18" ht="15" customHeight="1" x14ac:dyDescent="0.2">
      <c r="A1587" s="249">
        <v>48</v>
      </c>
      <c r="B1587" s="147" t="s">
        <v>450</v>
      </c>
      <c r="C1587" s="61">
        <v>61102</v>
      </c>
      <c r="D1587" s="62" t="s">
        <v>28</v>
      </c>
      <c r="E1587" s="74"/>
      <c r="F1587" s="74"/>
      <c r="G1587" s="76">
        <v>600</v>
      </c>
      <c r="H1587" s="76">
        <f t="shared" si="60"/>
        <v>600</v>
      </c>
      <c r="I1587" s="256"/>
      <c r="J1587" s="256"/>
      <c r="K1587" s="256"/>
      <c r="L1587" s="256"/>
      <c r="M1587" s="256"/>
    </row>
    <row r="1588" spans="1:18" ht="15" customHeight="1" x14ac:dyDescent="0.2">
      <c r="A1588" s="249">
        <v>48</v>
      </c>
      <c r="B1588" s="147" t="s">
        <v>450</v>
      </c>
      <c r="C1588" s="61">
        <v>61104</v>
      </c>
      <c r="D1588" s="73" t="s">
        <v>46</v>
      </c>
      <c r="E1588" s="74"/>
      <c r="F1588" s="74"/>
      <c r="G1588" s="76">
        <v>2200</v>
      </c>
      <c r="H1588" s="76">
        <f t="shared" si="60"/>
        <v>2200</v>
      </c>
      <c r="I1588" s="256"/>
      <c r="J1588" s="256"/>
      <c r="K1588" s="256"/>
      <c r="L1588" s="256"/>
      <c r="M1588" s="256"/>
    </row>
    <row r="1589" spans="1:18" ht="15" customHeight="1" x14ac:dyDescent="0.2">
      <c r="A1589" s="249">
        <v>48</v>
      </c>
      <c r="B1589" s="147" t="s">
        <v>450</v>
      </c>
      <c r="C1589" s="61">
        <v>61199</v>
      </c>
      <c r="D1589" s="73" t="s">
        <v>135</v>
      </c>
      <c r="E1589" s="74"/>
      <c r="F1589" s="74"/>
      <c r="G1589" s="76">
        <v>0</v>
      </c>
      <c r="H1589" s="76">
        <f t="shared" si="60"/>
        <v>0</v>
      </c>
      <c r="I1589" s="256"/>
      <c r="J1589" s="256"/>
      <c r="K1589" s="256"/>
      <c r="L1589" s="256"/>
      <c r="M1589" s="256"/>
    </row>
    <row r="1590" spans="1:18" ht="15" customHeight="1" x14ac:dyDescent="0.2">
      <c r="A1590" s="249">
        <v>48</v>
      </c>
      <c r="B1590" s="147" t="s">
        <v>453</v>
      </c>
      <c r="C1590" s="61"/>
      <c r="D1590" s="61" t="s">
        <v>14</v>
      </c>
      <c r="E1590" s="83">
        <f>SUM(E1557:E1589)</f>
        <v>0</v>
      </c>
      <c r="F1590" s="83">
        <f>SUM(F1557:F1589)</f>
        <v>0</v>
      </c>
      <c r="G1590" s="83">
        <f>SUM(G1557:G1589)</f>
        <v>191643.1</v>
      </c>
      <c r="H1590" s="83">
        <f t="shared" si="60"/>
        <v>191643.1</v>
      </c>
      <c r="I1590" s="256"/>
      <c r="J1590" s="256"/>
      <c r="K1590" s="256"/>
      <c r="L1590" s="256"/>
      <c r="M1590" s="256"/>
      <c r="O1590" s="258"/>
      <c r="P1590" s="259"/>
    </row>
    <row r="1591" spans="1:18" ht="15" customHeight="1" x14ac:dyDescent="0.2">
      <c r="A1591" s="249" t="s">
        <v>387</v>
      </c>
      <c r="B1591" s="147" t="s">
        <v>387</v>
      </c>
      <c r="C1591" s="148"/>
      <c r="D1591" s="148"/>
      <c r="E1591" s="260"/>
      <c r="F1591" s="260"/>
      <c r="G1591" s="261"/>
      <c r="H1591" s="261"/>
      <c r="O1591" s="258"/>
      <c r="P1591" s="259"/>
      <c r="Q1591" s="147" t="s">
        <v>592</v>
      </c>
      <c r="R1591" s="259">
        <f>+H1590-P1591</f>
        <v>191643.1</v>
      </c>
    </row>
    <row r="1592" spans="1:18" ht="15" customHeight="1" x14ac:dyDescent="0.2">
      <c r="A1592" s="249" t="s">
        <v>387</v>
      </c>
      <c r="B1592" s="147" t="s">
        <v>387</v>
      </c>
      <c r="C1592" s="148"/>
      <c r="D1592" s="148"/>
      <c r="E1592" s="260"/>
      <c r="F1592" s="260"/>
      <c r="G1592" s="261"/>
      <c r="H1592" s="261"/>
      <c r="O1592" s="258"/>
    </row>
    <row r="1593" spans="1:18" ht="15" customHeight="1" x14ac:dyDescent="0.2">
      <c r="A1593" s="249" t="s">
        <v>387</v>
      </c>
      <c r="B1593" s="147" t="s">
        <v>387</v>
      </c>
      <c r="C1593" s="368"/>
      <c r="D1593" s="363"/>
      <c r="E1593" s="371"/>
      <c r="F1593" s="371"/>
      <c r="G1593" s="372"/>
      <c r="H1593" s="372"/>
    </row>
    <row r="1594" spans="1:18" ht="15" customHeight="1" x14ac:dyDescent="0.2">
      <c r="A1594" s="249" t="s">
        <v>387</v>
      </c>
      <c r="B1594" s="147" t="s">
        <v>387</v>
      </c>
      <c r="C1594" s="427" t="s">
        <v>119</v>
      </c>
      <c r="D1594" s="427"/>
      <c r="E1594" s="427"/>
      <c r="F1594" s="427"/>
      <c r="G1594" s="427"/>
      <c r="H1594" s="427"/>
    </row>
    <row r="1595" spans="1:18" ht="15" customHeight="1" x14ac:dyDescent="0.2">
      <c r="A1595" s="249" t="s">
        <v>387</v>
      </c>
      <c r="B1595" s="147" t="s">
        <v>387</v>
      </c>
      <c r="C1595" s="428" t="str">
        <f>C3</f>
        <v xml:space="preserve"> PRESUPUESTO AÑO 2024</v>
      </c>
      <c r="D1595" s="428"/>
      <c r="E1595" s="428"/>
      <c r="F1595" s="428"/>
      <c r="G1595" s="428"/>
      <c r="H1595" s="428"/>
    </row>
    <row r="1596" spans="1:18" ht="15" customHeight="1" x14ac:dyDescent="0.2">
      <c r="A1596" s="249" t="s">
        <v>387</v>
      </c>
      <c r="B1596" s="147" t="s">
        <v>387</v>
      </c>
      <c r="C1596" s="428" t="str">
        <f>C4</f>
        <v>PRESUPUESTO EXTRA CONTABLE</v>
      </c>
      <c r="D1596" s="428"/>
      <c r="E1596" s="428"/>
      <c r="F1596" s="428"/>
      <c r="G1596" s="428"/>
      <c r="H1596" s="428"/>
    </row>
    <row r="1597" spans="1:18" ht="15" customHeight="1" x14ac:dyDescent="0.2">
      <c r="A1597" s="249" t="s">
        <v>387</v>
      </c>
      <c r="B1597" s="147" t="s">
        <v>387</v>
      </c>
      <c r="C1597" s="427" t="s">
        <v>117</v>
      </c>
      <c r="D1597" s="427"/>
      <c r="E1597" s="427"/>
      <c r="F1597" s="427"/>
      <c r="G1597" s="427"/>
      <c r="H1597" s="427"/>
    </row>
    <row r="1598" spans="1:18" ht="15" customHeight="1" x14ac:dyDescent="0.2">
      <c r="A1598" s="249" t="s">
        <v>387</v>
      </c>
      <c r="B1598" s="147" t="s">
        <v>387</v>
      </c>
      <c r="C1598" s="427" t="s">
        <v>595</v>
      </c>
      <c r="D1598" s="427"/>
      <c r="E1598" s="427"/>
      <c r="F1598" s="427"/>
      <c r="G1598" s="427"/>
      <c r="H1598" s="427"/>
    </row>
    <row r="1599" spans="1:18" ht="15" customHeight="1" x14ac:dyDescent="0.2">
      <c r="A1599" s="249" t="s">
        <v>387</v>
      </c>
      <c r="B1599" s="147" t="s">
        <v>387</v>
      </c>
      <c r="C1599" s="430" t="s">
        <v>1</v>
      </c>
      <c r="D1599" s="430" t="s">
        <v>0</v>
      </c>
      <c r="E1599" s="255" t="s">
        <v>56</v>
      </c>
      <c r="F1599" s="255" t="str">
        <f>F7</f>
        <v>REFORMA</v>
      </c>
      <c r="G1599" s="255" t="s">
        <v>56</v>
      </c>
      <c r="H1599" s="432" t="str">
        <f>$H$7</f>
        <v>TOTAL 2024</v>
      </c>
      <c r="I1599" s="153" t="s">
        <v>285</v>
      </c>
      <c r="J1599" s="153"/>
      <c r="K1599" s="153"/>
      <c r="L1599" s="153"/>
      <c r="M1599" s="153"/>
    </row>
    <row r="1600" spans="1:18" ht="15" customHeight="1" x14ac:dyDescent="0.2">
      <c r="A1600" s="249" t="s">
        <v>387</v>
      </c>
      <c r="B1600" s="147" t="s">
        <v>387</v>
      </c>
      <c r="C1600" s="431"/>
      <c r="D1600" s="431"/>
      <c r="E1600" s="255" t="s">
        <v>139</v>
      </c>
      <c r="F1600" s="255"/>
      <c r="G1600" s="255" t="s">
        <v>140</v>
      </c>
      <c r="H1600" s="433"/>
      <c r="I1600" s="153" t="s">
        <v>286</v>
      </c>
      <c r="J1600" s="153" t="s">
        <v>290</v>
      </c>
      <c r="K1600" s="153" t="s">
        <v>291</v>
      </c>
      <c r="L1600" s="153" t="s">
        <v>293</v>
      </c>
      <c r="M1600" s="153" t="s">
        <v>292</v>
      </c>
    </row>
    <row r="1601" spans="1:15" ht="15" customHeight="1" x14ac:dyDescent="0.2">
      <c r="A1601" s="249">
        <v>50</v>
      </c>
      <c r="B1601" s="147">
        <v>50</v>
      </c>
      <c r="C1601" s="61">
        <v>51101</v>
      </c>
      <c r="D1601" s="73" t="s">
        <v>15</v>
      </c>
      <c r="E1601" s="74"/>
      <c r="F1601" s="74"/>
      <c r="G1601" s="272">
        <v>19200</v>
      </c>
      <c r="H1601" s="76">
        <f t="shared" ref="H1601:H1638" si="61">E1601+F1601+G1601</f>
        <v>19200</v>
      </c>
      <c r="I1601" s="256"/>
      <c r="J1601" s="256"/>
      <c r="K1601" s="256"/>
      <c r="L1601" s="256"/>
      <c r="M1601" s="256"/>
    </row>
    <row r="1602" spans="1:15" ht="15" customHeight="1" x14ac:dyDescent="0.2">
      <c r="A1602" s="249">
        <v>50</v>
      </c>
      <c r="B1602" s="147">
        <v>50</v>
      </c>
      <c r="C1602" s="61">
        <v>51103</v>
      </c>
      <c r="D1602" s="73" t="s">
        <v>16</v>
      </c>
      <c r="E1602" s="74"/>
      <c r="F1602" s="74"/>
      <c r="G1602" s="272">
        <v>1600</v>
      </c>
      <c r="H1602" s="76">
        <f t="shared" si="61"/>
        <v>1600</v>
      </c>
      <c r="I1602" s="256"/>
      <c r="J1602" s="256"/>
      <c r="K1602" s="256"/>
      <c r="L1602" s="256"/>
      <c r="M1602" s="256"/>
    </row>
    <row r="1603" spans="1:15" ht="15" customHeight="1" x14ac:dyDescent="0.2">
      <c r="A1603" s="249">
        <v>50</v>
      </c>
      <c r="B1603" s="147">
        <v>50</v>
      </c>
      <c r="C1603" s="61">
        <v>51107</v>
      </c>
      <c r="D1603" s="73" t="s">
        <v>34</v>
      </c>
      <c r="E1603" s="74"/>
      <c r="F1603" s="74"/>
      <c r="G1603" s="272">
        <v>600</v>
      </c>
      <c r="H1603" s="76">
        <f t="shared" si="61"/>
        <v>600</v>
      </c>
      <c r="I1603" s="256"/>
      <c r="J1603" s="256"/>
      <c r="K1603" s="256"/>
      <c r="L1603" s="256"/>
      <c r="M1603" s="256"/>
    </row>
    <row r="1604" spans="1:15" ht="15" customHeight="1" x14ac:dyDescent="0.2">
      <c r="A1604" s="249">
        <v>50</v>
      </c>
      <c r="B1604" s="147">
        <v>50</v>
      </c>
      <c r="C1604" s="61">
        <v>51401</v>
      </c>
      <c r="D1604" s="62" t="s">
        <v>47</v>
      </c>
      <c r="E1604" s="74"/>
      <c r="F1604" s="74"/>
      <c r="G1604" s="272">
        <v>1632.0000000000002</v>
      </c>
      <c r="H1604" s="76">
        <f t="shared" si="61"/>
        <v>1632.0000000000002</v>
      </c>
      <c r="I1604" s="256"/>
      <c r="J1604" s="256"/>
      <c r="K1604" s="256"/>
      <c r="L1604" s="256"/>
      <c r="M1604" s="256"/>
      <c r="O1604" s="257"/>
    </row>
    <row r="1605" spans="1:15" ht="15" customHeight="1" x14ac:dyDescent="0.2">
      <c r="A1605" s="249">
        <v>50</v>
      </c>
      <c r="B1605" s="147">
        <v>50</v>
      </c>
      <c r="C1605" s="61">
        <v>51501</v>
      </c>
      <c r="D1605" s="62" t="s">
        <v>29</v>
      </c>
      <c r="E1605" s="74"/>
      <c r="F1605" s="74"/>
      <c r="G1605" s="272">
        <v>1680</v>
      </c>
      <c r="H1605" s="76">
        <f t="shared" si="61"/>
        <v>1680</v>
      </c>
      <c r="I1605" s="256"/>
      <c r="J1605" s="256"/>
      <c r="K1605" s="256"/>
      <c r="L1605" s="256"/>
      <c r="M1605" s="256"/>
    </row>
    <row r="1606" spans="1:15" ht="15" customHeight="1" x14ac:dyDescent="0.2">
      <c r="A1606" s="249">
        <v>50</v>
      </c>
      <c r="B1606" s="147">
        <v>50</v>
      </c>
      <c r="C1606" s="61" t="s">
        <v>777</v>
      </c>
      <c r="D1606" s="62" t="s">
        <v>778</v>
      </c>
      <c r="E1606" s="74"/>
      <c r="F1606" s="74"/>
      <c r="G1606" s="76">
        <v>1020</v>
      </c>
      <c r="H1606" s="76">
        <f>E1606+F1606+G1606</f>
        <v>1020</v>
      </c>
      <c r="I1606" s="256"/>
      <c r="J1606" s="256"/>
      <c r="K1606" s="256"/>
      <c r="L1606" s="256"/>
      <c r="M1606" s="256"/>
    </row>
    <row r="1607" spans="1:15" ht="15" customHeight="1" x14ac:dyDescent="0.2">
      <c r="A1607" s="249">
        <v>50</v>
      </c>
      <c r="B1607" s="147">
        <v>50</v>
      </c>
      <c r="C1607" s="61" t="s">
        <v>779</v>
      </c>
      <c r="D1607" s="62" t="s">
        <v>780</v>
      </c>
      <c r="E1607" s="74"/>
      <c r="F1607" s="74"/>
      <c r="G1607" s="76">
        <v>1380</v>
      </c>
      <c r="H1607" s="76">
        <f t="shared" si="61"/>
        <v>1380</v>
      </c>
      <c r="I1607" s="256"/>
      <c r="J1607" s="256"/>
      <c r="K1607" s="256"/>
      <c r="L1607" s="256"/>
      <c r="M1607" s="256"/>
    </row>
    <row r="1608" spans="1:15" ht="15" customHeight="1" x14ac:dyDescent="0.2">
      <c r="A1608" s="249">
        <v>50</v>
      </c>
      <c r="B1608" s="147">
        <v>50</v>
      </c>
      <c r="C1608" s="61">
        <v>54104</v>
      </c>
      <c r="D1608" s="73" t="s">
        <v>17</v>
      </c>
      <c r="E1608" s="74"/>
      <c r="F1608" s="74"/>
      <c r="G1608" s="76">
        <v>4690</v>
      </c>
      <c r="H1608" s="76">
        <f t="shared" si="61"/>
        <v>4690</v>
      </c>
      <c r="I1608" s="256"/>
      <c r="J1608" s="256"/>
      <c r="K1608" s="256"/>
      <c r="L1608" s="256"/>
      <c r="M1608" s="256"/>
    </row>
    <row r="1609" spans="1:15" ht="15" customHeight="1" x14ac:dyDescent="0.2">
      <c r="A1609" s="249">
        <v>50</v>
      </c>
      <c r="B1609" s="147">
        <v>50</v>
      </c>
      <c r="C1609" s="61">
        <v>54105</v>
      </c>
      <c r="D1609" s="73" t="s">
        <v>3</v>
      </c>
      <c r="E1609" s="74"/>
      <c r="F1609" s="74"/>
      <c r="G1609" s="76">
        <v>4120</v>
      </c>
      <c r="H1609" s="76">
        <f t="shared" si="61"/>
        <v>4120</v>
      </c>
      <c r="I1609" s="256"/>
      <c r="J1609" s="256"/>
      <c r="K1609" s="256"/>
      <c r="L1609" s="256"/>
      <c r="M1609" s="256"/>
    </row>
    <row r="1610" spans="1:15" ht="15" customHeight="1" x14ac:dyDescent="0.2">
      <c r="A1610" s="249">
        <v>50</v>
      </c>
      <c r="B1610" s="147">
        <v>50</v>
      </c>
      <c r="C1610" s="61">
        <v>54106</v>
      </c>
      <c r="D1610" s="73" t="s">
        <v>838</v>
      </c>
      <c r="E1610" s="73"/>
      <c r="F1610" s="136"/>
      <c r="G1610" s="76">
        <v>600</v>
      </c>
      <c r="H1610" s="76">
        <f t="shared" si="61"/>
        <v>600</v>
      </c>
      <c r="I1610" s="256"/>
      <c r="J1610" s="256"/>
      <c r="K1610" s="256"/>
      <c r="L1610" s="256"/>
      <c r="M1610" s="256"/>
    </row>
    <row r="1611" spans="1:15" ht="15" customHeight="1" x14ac:dyDescent="0.2">
      <c r="A1611" s="249">
        <v>50</v>
      </c>
      <c r="B1611" s="147">
        <v>50</v>
      </c>
      <c r="C1611" s="61">
        <v>54107</v>
      </c>
      <c r="D1611" s="73" t="s">
        <v>43</v>
      </c>
      <c r="E1611" s="74"/>
      <c r="F1611" s="74"/>
      <c r="G1611" s="76">
        <v>2215</v>
      </c>
      <c r="H1611" s="76">
        <f t="shared" si="61"/>
        <v>2215</v>
      </c>
      <c r="I1611" s="256"/>
      <c r="J1611" s="256"/>
      <c r="K1611" s="256"/>
      <c r="L1611" s="256"/>
      <c r="M1611" s="256"/>
    </row>
    <row r="1612" spans="1:15" ht="15" customHeight="1" x14ac:dyDescent="0.2">
      <c r="A1612" s="249">
        <v>50</v>
      </c>
      <c r="B1612" s="147">
        <v>50</v>
      </c>
      <c r="C1612" s="61">
        <v>54108</v>
      </c>
      <c r="D1612" s="73" t="s">
        <v>782</v>
      </c>
      <c r="E1612" s="74"/>
      <c r="F1612" s="136"/>
      <c r="G1612" s="76">
        <v>200</v>
      </c>
      <c r="H1612" s="76">
        <f t="shared" si="61"/>
        <v>200</v>
      </c>
      <c r="I1612" s="256"/>
      <c r="J1612" s="256"/>
      <c r="K1612" s="256"/>
      <c r="L1612" s="256"/>
      <c r="M1612" s="256"/>
    </row>
    <row r="1613" spans="1:15" ht="15" customHeight="1" x14ac:dyDescent="0.2">
      <c r="A1613" s="249">
        <v>50</v>
      </c>
      <c r="B1613" s="147">
        <v>50</v>
      </c>
      <c r="C1613" s="61">
        <v>54110</v>
      </c>
      <c r="D1613" s="73" t="s">
        <v>147</v>
      </c>
      <c r="E1613" s="74"/>
      <c r="F1613" s="74"/>
      <c r="G1613" s="76">
        <v>800</v>
      </c>
      <c r="H1613" s="76">
        <f t="shared" si="61"/>
        <v>800</v>
      </c>
      <c r="I1613" s="256"/>
      <c r="J1613" s="256"/>
      <c r="K1613" s="256"/>
      <c r="L1613" s="256"/>
      <c r="M1613" s="256"/>
    </row>
    <row r="1614" spans="1:15" ht="15" customHeight="1" x14ac:dyDescent="0.2">
      <c r="A1614" s="249">
        <v>50</v>
      </c>
      <c r="B1614" s="147">
        <v>50</v>
      </c>
      <c r="C1614" s="61">
        <v>54111</v>
      </c>
      <c r="D1614" s="73" t="s">
        <v>162</v>
      </c>
      <c r="E1614" s="74"/>
      <c r="F1614" s="74"/>
      <c r="G1614" s="76">
        <v>2350</v>
      </c>
      <c r="H1614" s="76">
        <f t="shared" si="61"/>
        <v>2350</v>
      </c>
      <c r="I1614" s="256"/>
      <c r="J1614" s="256"/>
      <c r="K1614" s="256"/>
      <c r="L1614" s="256"/>
      <c r="M1614" s="256"/>
    </row>
    <row r="1615" spans="1:15" ht="15" customHeight="1" x14ac:dyDescent="0.2">
      <c r="A1615" s="249">
        <v>50</v>
      </c>
      <c r="B1615" s="147">
        <v>50</v>
      </c>
      <c r="C1615" s="61">
        <v>54112</v>
      </c>
      <c r="D1615" s="73" t="s">
        <v>42</v>
      </c>
      <c r="E1615" s="74"/>
      <c r="F1615" s="74"/>
      <c r="G1615" s="76">
        <v>925</v>
      </c>
      <c r="H1615" s="76">
        <f t="shared" si="61"/>
        <v>925</v>
      </c>
      <c r="I1615" s="256"/>
      <c r="J1615" s="256"/>
      <c r="K1615" s="256"/>
      <c r="L1615" s="256"/>
      <c r="M1615" s="256"/>
    </row>
    <row r="1616" spans="1:15" ht="15" customHeight="1" x14ac:dyDescent="0.2">
      <c r="A1616" s="249">
        <v>50</v>
      </c>
      <c r="B1616" s="147">
        <v>50</v>
      </c>
      <c r="C1616" s="61">
        <v>54114</v>
      </c>
      <c r="D1616" s="73" t="s">
        <v>5</v>
      </c>
      <c r="E1616" s="74"/>
      <c r="F1616" s="74"/>
      <c r="G1616" s="76">
        <v>1065</v>
      </c>
      <c r="H1616" s="76">
        <f t="shared" si="61"/>
        <v>1065</v>
      </c>
      <c r="I1616" s="256"/>
      <c r="J1616" s="256"/>
      <c r="K1616" s="256"/>
      <c r="L1616" s="256"/>
      <c r="M1616" s="256"/>
    </row>
    <row r="1617" spans="1:13" ht="15" customHeight="1" x14ac:dyDescent="0.2">
      <c r="A1617" s="249">
        <v>50</v>
      </c>
      <c r="B1617" s="147">
        <v>50</v>
      </c>
      <c r="C1617" s="61">
        <v>54115</v>
      </c>
      <c r="D1617" s="73" t="s">
        <v>49</v>
      </c>
      <c r="E1617" s="74"/>
      <c r="F1617" s="74"/>
      <c r="G1617" s="76">
        <v>2280</v>
      </c>
      <c r="H1617" s="76">
        <f t="shared" si="61"/>
        <v>2280</v>
      </c>
      <c r="I1617" s="256"/>
      <c r="J1617" s="256"/>
      <c r="K1617" s="256"/>
      <c r="L1617" s="256"/>
      <c r="M1617" s="256"/>
    </row>
    <row r="1618" spans="1:13" ht="15" customHeight="1" x14ac:dyDescent="0.2">
      <c r="A1618" s="249">
        <v>50</v>
      </c>
      <c r="B1618" s="147">
        <v>50</v>
      </c>
      <c r="C1618" s="61">
        <v>54116</v>
      </c>
      <c r="D1618" s="62" t="s">
        <v>167</v>
      </c>
      <c r="E1618" s="74"/>
      <c r="F1618" s="74"/>
      <c r="G1618" s="76">
        <v>100</v>
      </c>
      <c r="H1618" s="76">
        <f t="shared" si="61"/>
        <v>100</v>
      </c>
      <c r="I1618" s="256"/>
      <c r="J1618" s="256"/>
      <c r="K1618" s="256"/>
      <c r="L1618" s="256"/>
      <c r="M1618" s="256"/>
    </row>
    <row r="1619" spans="1:13" ht="15" customHeight="1" x14ac:dyDescent="0.2">
      <c r="A1619" s="249">
        <v>50</v>
      </c>
      <c r="B1619" s="147">
        <v>50</v>
      </c>
      <c r="C1619" s="61">
        <v>54119</v>
      </c>
      <c r="D1619" s="73" t="s">
        <v>44</v>
      </c>
      <c r="E1619" s="74"/>
      <c r="F1619" s="74"/>
      <c r="G1619" s="76">
        <v>600</v>
      </c>
      <c r="H1619" s="76">
        <f t="shared" si="61"/>
        <v>600</v>
      </c>
      <c r="I1619" s="256"/>
      <c r="J1619" s="256"/>
      <c r="K1619" s="256"/>
      <c r="L1619" s="256"/>
      <c r="M1619" s="256"/>
    </row>
    <row r="1620" spans="1:13" ht="15" customHeight="1" x14ac:dyDescent="0.2">
      <c r="A1620" s="249">
        <v>50</v>
      </c>
      <c r="B1620" s="147">
        <v>50</v>
      </c>
      <c r="C1620" s="61">
        <v>54199</v>
      </c>
      <c r="D1620" s="73" t="s">
        <v>26</v>
      </c>
      <c r="E1620" s="74"/>
      <c r="F1620" s="74"/>
      <c r="G1620" s="76">
        <v>800</v>
      </c>
      <c r="H1620" s="76">
        <f t="shared" si="61"/>
        <v>800</v>
      </c>
      <c r="I1620" s="256"/>
      <c r="J1620" s="256"/>
      <c r="K1620" s="256"/>
      <c r="L1620" s="256"/>
      <c r="M1620" s="256"/>
    </row>
    <row r="1621" spans="1:13" ht="15" customHeight="1" x14ac:dyDescent="0.2">
      <c r="A1621" s="249">
        <v>50</v>
      </c>
      <c r="B1621" s="147">
        <v>50</v>
      </c>
      <c r="C1621" s="61">
        <v>54301</v>
      </c>
      <c r="D1621" s="62" t="s">
        <v>8</v>
      </c>
      <c r="E1621" s="74"/>
      <c r="F1621" s="74"/>
      <c r="G1621" s="76">
        <v>300</v>
      </c>
      <c r="H1621" s="76">
        <f t="shared" si="61"/>
        <v>300</v>
      </c>
      <c r="I1621" s="256"/>
      <c r="J1621" s="256"/>
      <c r="K1621" s="256"/>
      <c r="L1621" s="256"/>
      <c r="M1621" s="256"/>
    </row>
    <row r="1622" spans="1:13" ht="15" customHeight="1" x14ac:dyDescent="0.2">
      <c r="A1622" s="249">
        <v>50</v>
      </c>
      <c r="B1622" s="147">
        <v>50</v>
      </c>
      <c r="C1622" s="61">
        <v>54305</v>
      </c>
      <c r="D1622" s="62" t="s">
        <v>33</v>
      </c>
      <c r="E1622" s="74"/>
      <c r="F1622" s="74"/>
      <c r="G1622" s="76">
        <v>1500</v>
      </c>
      <c r="H1622" s="76">
        <f t="shared" si="61"/>
        <v>1500</v>
      </c>
      <c r="I1622" s="256"/>
      <c r="J1622" s="256"/>
      <c r="K1622" s="256"/>
      <c r="L1622" s="256"/>
      <c r="M1622" s="256"/>
    </row>
    <row r="1623" spans="1:13" ht="15" customHeight="1" x14ac:dyDescent="0.2">
      <c r="A1623" s="249">
        <v>50</v>
      </c>
      <c r="B1623" s="147">
        <v>50</v>
      </c>
      <c r="C1623" s="61">
        <v>54313</v>
      </c>
      <c r="D1623" s="62" t="s">
        <v>11</v>
      </c>
      <c r="E1623" s="74"/>
      <c r="F1623" s="74"/>
      <c r="G1623" s="76">
        <v>4000</v>
      </c>
      <c r="H1623" s="76">
        <f t="shared" si="61"/>
        <v>4000</v>
      </c>
      <c r="I1623" s="256"/>
      <c r="J1623" s="256"/>
      <c r="K1623" s="256"/>
      <c r="L1623" s="256"/>
      <c r="M1623" s="256"/>
    </row>
    <row r="1624" spans="1:13" ht="15" customHeight="1" x14ac:dyDescent="0.2">
      <c r="A1624" s="249">
        <v>50</v>
      </c>
      <c r="B1624" s="147">
        <v>50</v>
      </c>
      <c r="C1624" s="61">
        <v>54314</v>
      </c>
      <c r="D1624" s="62" t="s">
        <v>783</v>
      </c>
      <c r="E1624" s="74"/>
      <c r="F1624" s="74"/>
      <c r="G1624" s="76">
        <v>400</v>
      </c>
      <c r="H1624" s="76">
        <f t="shared" si="61"/>
        <v>400</v>
      </c>
      <c r="I1624" s="256"/>
      <c r="J1624" s="256"/>
      <c r="K1624" s="256"/>
      <c r="L1624" s="256"/>
      <c r="M1624" s="256"/>
    </row>
    <row r="1625" spans="1:13" ht="15" customHeight="1" x14ac:dyDescent="0.2">
      <c r="A1625" s="249">
        <v>50</v>
      </c>
      <c r="B1625" s="147">
        <v>50</v>
      </c>
      <c r="C1625" s="61">
        <v>54316</v>
      </c>
      <c r="D1625" s="62" t="s">
        <v>784</v>
      </c>
      <c r="E1625" s="74"/>
      <c r="F1625" s="74"/>
      <c r="G1625" s="76">
        <v>2800</v>
      </c>
      <c r="H1625" s="76">
        <f t="shared" si="61"/>
        <v>2800</v>
      </c>
      <c r="I1625" s="256"/>
      <c r="J1625" s="256"/>
      <c r="K1625" s="256"/>
      <c r="L1625" s="256"/>
      <c r="M1625" s="256"/>
    </row>
    <row r="1626" spans="1:13" ht="15" customHeight="1" x14ac:dyDescent="0.2">
      <c r="A1626" s="249">
        <v>50</v>
      </c>
      <c r="B1626" s="147">
        <v>50</v>
      </c>
      <c r="C1626" s="61">
        <v>54399</v>
      </c>
      <c r="D1626" s="62" t="s">
        <v>153</v>
      </c>
      <c r="E1626" s="74"/>
      <c r="F1626" s="74"/>
      <c r="G1626" s="76">
        <v>200</v>
      </c>
      <c r="H1626" s="76">
        <f t="shared" si="61"/>
        <v>200</v>
      </c>
      <c r="I1626" s="256"/>
      <c r="J1626" s="256"/>
      <c r="K1626" s="256"/>
      <c r="L1626" s="256"/>
      <c r="M1626" s="256"/>
    </row>
    <row r="1627" spans="1:13" ht="15" customHeight="1" x14ac:dyDescent="0.2">
      <c r="A1627" s="249">
        <v>50</v>
      </c>
      <c r="B1627" s="147">
        <v>50</v>
      </c>
      <c r="C1627" s="61">
        <v>54402</v>
      </c>
      <c r="D1627" s="62" t="s">
        <v>184</v>
      </c>
      <c r="E1627" s="74"/>
      <c r="F1627" s="74"/>
      <c r="G1627" s="76">
        <v>60</v>
      </c>
      <c r="H1627" s="76">
        <f t="shared" si="61"/>
        <v>60</v>
      </c>
      <c r="I1627" s="256"/>
      <c r="J1627" s="256"/>
      <c r="K1627" s="256"/>
      <c r="L1627" s="256"/>
      <c r="M1627" s="256"/>
    </row>
    <row r="1628" spans="1:13" ht="15" customHeight="1" x14ac:dyDescent="0.2">
      <c r="A1628" s="249">
        <v>50</v>
      </c>
      <c r="B1628" s="147">
        <v>50</v>
      </c>
      <c r="C1628" s="61">
        <v>54505</v>
      </c>
      <c r="D1628" s="62" t="s">
        <v>40</v>
      </c>
      <c r="E1628" s="74"/>
      <c r="F1628" s="74"/>
      <c r="G1628" s="76">
        <v>700</v>
      </c>
      <c r="H1628" s="76">
        <f t="shared" si="61"/>
        <v>700</v>
      </c>
      <c r="I1628" s="256"/>
      <c r="J1628" s="256"/>
      <c r="K1628" s="256"/>
      <c r="L1628" s="256"/>
      <c r="M1628" s="256"/>
    </row>
    <row r="1629" spans="1:13" ht="15" customHeight="1" x14ac:dyDescent="0.2">
      <c r="A1629" s="249">
        <v>50</v>
      </c>
      <c r="B1629" s="147">
        <v>50</v>
      </c>
      <c r="C1629" s="61">
        <v>54599</v>
      </c>
      <c r="D1629" s="62" t="s">
        <v>527</v>
      </c>
      <c r="E1629" s="74"/>
      <c r="F1629" s="74"/>
      <c r="G1629" s="76">
        <v>700</v>
      </c>
      <c r="H1629" s="76">
        <f t="shared" si="61"/>
        <v>700</v>
      </c>
      <c r="I1629" s="256"/>
      <c r="J1629" s="256"/>
      <c r="K1629" s="256"/>
      <c r="L1629" s="256"/>
      <c r="M1629" s="256"/>
    </row>
    <row r="1630" spans="1:13" ht="15" customHeight="1" x14ac:dyDescent="0.2">
      <c r="A1630" s="249">
        <v>50</v>
      </c>
      <c r="B1630" s="147">
        <v>50</v>
      </c>
      <c r="C1630" s="61">
        <v>61101</v>
      </c>
      <c r="D1630" s="73" t="s">
        <v>144</v>
      </c>
      <c r="E1630" s="74"/>
      <c r="F1630" s="74"/>
      <c r="G1630" s="76">
        <v>2300</v>
      </c>
      <c r="H1630" s="76">
        <f t="shared" si="61"/>
        <v>2300</v>
      </c>
      <c r="I1630" s="256"/>
      <c r="J1630" s="256"/>
      <c r="K1630" s="256"/>
      <c r="L1630" s="256"/>
      <c r="M1630" s="256"/>
    </row>
    <row r="1631" spans="1:13" ht="15" customHeight="1" x14ac:dyDescent="0.2">
      <c r="A1631" s="249">
        <v>50</v>
      </c>
      <c r="B1631" s="147">
        <v>50</v>
      </c>
      <c r="C1631" s="61">
        <v>61102</v>
      </c>
      <c r="D1631" s="62" t="s">
        <v>28</v>
      </c>
      <c r="E1631" s="74"/>
      <c r="F1631" s="74"/>
      <c r="G1631" s="76">
        <v>5505</v>
      </c>
      <c r="H1631" s="76">
        <f t="shared" si="61"/>
        <v>5505</v>
      </c>
      <c r="I1631" s="256"/>
      <c r="J1631" s="256"/>
      <c r="K1631" s="256"/>
      <c r="L1631" s="256"/>
      <c r="M1631" s="256"/>
    </row>
    <row r="1632" spans="1:13" ht="15" customHeight="1" x14ac:dyDescent="0.2">
      <c r="A1632" s="249">
        <v>50</v>
      </c>
      <c r="B1632" s="147">
        <v>50</v>
      </c>
      <c r="C1632" s="61">
        <v>61104</v>
      </c>
      <c r="D1632" s="73" t="s">
        <v>46</v>
      </c>
      <c r="E1632" s="74"/>
      <c r="F1632" s="74"/>
      <c r="G1632" s="76">
        <v>2600</v>
      </c>
      <c r="H1632" s="76">
        <f t="shared" si="61"/>
        <v>2600</v>
      </c>
      <c r="I1632" s="256"/>
      <c r="J1632" s="256"/>
      <c r="K1632" s="256"/>
      <c r="L1632" s="256"/>
      <c r="M1632" s="256"/>
    </row>
    <row r="1633" spans="1:18" ht="15" customHeight="1" x14ac:dyDescent="0.2">
      <c r="A1633" s="249">
        <v>50</v>
      </c>
      <c r="B1633" s="147">
        <v>50</v>
      </c>
      <c r="C1633" s="61" t="s">
        <v>621</v>
      </c>
      <c r="D1633" s="73" t="s">
        <v>54</v>
      </c>
      <c r="E1633" s="74"/>
      <c r="F1633" s="74"/>
      <c r="G1633" s="76">
        <v>500</v>
      </c>
      <c r="H1633" s="76">
        <f t="shared" si="61"/>
        <v>500</v>
      </c>
      <c r="I1633" s="256"/>
      <c r="J1633" s="256"/>
      <c r="K1633" s="256"/>
      <c r="L1633" s="256"/>
      <c r="M1633" s="256"/>
    </row>
    <row r="1634" spans="1:18" ht="15" customHeight="1" x14ac:dyDescent="0.2">
      <c r="A1634" s="249">
        <v>50</v>
      </c>
      <c r="B1634" s="147">
        <v>50</v>
      </c>
      <c r="C1634" s="61" t="s">
        <v>785</v>
      </c>
      <c r="D1634" s="73" t="s">
        <v>786</v>
      </c>
      <c r="E1634" s="74"/>
      <c r="F1634" s="74"/>
      <c r="G1634" s="76">
        <v>27000</v>
      </c>
      <c r="H1634" s="76">
        <f t="shared" si="61"/>
        <v>27000</v>
      </c>
      <c r="I1634" s="256"/>
      <c r="J1634" s="256"/>
      <c r="K1634" s="256"/>
      <c r="L1634" s="256"/>
      <c r="M1634" s="256"/>
    </row>
    <row r="1635" spans="1:18" ht="15" customHeight="1" x14ac:dyDescent="0.2">
      <c r="A1635" s="249">
        <v>50</v>
      </c>
      <c r="B1635" s="147">
        <v>50</v>
      </c>
      <c r="C1635" s="61" t="s">
        <v>787</v>
      </c>
      <c r="D1635" s="73" t="s">
        <v>788</v>
      </c>
      <c r="E1635" s="74"/>
      <c r="F1635" s="74"/>
      <c r="G1635" s="76">
        <v>100</v>
      </c>
      <c r="H1635" s="76">
        <f t="shared" si="61"/>
        <v>100</v>
      </c>
      <c r="I1635" s="256"/>
      <c r="J1635" s="256"/>
      <c r="K1635" s="256"/>
      <c r="L1635" s="256"/>
      <c r="M1635" s="256"/>
    </row>
    <row r="1636" spans="1:18" ht="15" customHeight="1" x14ac:dyDescent="0.2">
      <c r="A1636" s="249">
        <v>50</v>
      </c>
      <c r="B1636" s="147">
        <v>50</v>
      </c>
      <c r="C1636" s="61" t="s">
        <v>789</v>
      </c>
      <c r="D1636" s="73" t="s">
        <v>545</v>
      </c>
      <c r="E1636" s="74"/>
      <c r="F1636" s="74"/>
      <c r="G1636" s="76">
        <v>200</v>
      </c>
      <c r="H1636" s="76">
        <f t="shared" si="61"/>
        <v>200</v>
      </c>
      <c r="I1636" s="256"/>
      <c r="J1636" s="256"/>
      <c r="K1636" s="256"/>
      <c r="L1636" s="256"/>
      <c r="M1636" s="256"/>
    </row>
    <row r="1637" spans="1:18" ht="15" customHeight="1" x14ac:dyDescent="0.2">
      <c r="A1637" s="249">
        <v>50</v>
      </c>
      <c r="B1637" s="147">
        <v>50</v>
      </c>
      <c r="C1637" s="61" t="s">
        <v>621</v>
      </c>
      <c r="D1637" s="73" t="s">
        <v>54</v>
      </c>
      <c r="E1637" s="74"/>
      <c r="F1637" s="74"/>
      <c r="G1637" s="76">
        <v>500</v>
      </c>
      <c r="H1637" s="76">
        <f t="shared" si="61"/>
        <v>500</v>
      </c>
      <c r="I1637" s="256"/>
      <c r="J1637" s="256"/>
      <c r="K1637" s="256"/>
      <c r="L1637" s="256"/>
      <c r="M1637" s="256"/>
    </row>
    <row r="1638" spans="1:18" ht="15" customHeight="1" x14ac:dyDescent="0.2">
      <c r="A1638" s="249">
        <v>50</v>
      </c>
      <c r="B1638" s="147" t="s">
        <v>408</v>
      </c>
      <c r="C1638" s="61"/>
      <c r="D1638" s="61" t="s">
        <v>14</v>
      </c>
      <c r="E1638" s="138">
        <f>SUM(E1601:E1632)</f>
        <v>0</v>
      </c>
      <c r="F1638" s="138">
        <f>SUM(F1601:F1632)</f>
        <v>0</v>
      </c>
      <c r="G1638" s="138">
        <f>SUM(G1601:G1637)</f>
        <v>97222</v>
      </c>
      <c r="H1638" s="83">
        <f t="shared" si="61"/>
        <v>97222</v>
      </c>
      <c r="I1638" s="73"/>
      <c r="J1638" s="73"/>
      <c r="K1638" s="73"/>
      <c r="L1638" s="73"/>
      <c r="M1638" s="73"/>
      <c r="O1638" s="258"/>
      <c r="P1638" s="259"/>
    </row>
    <row r="1639" spans="1:18" ht="15" customHeight="1" x14ac:dyDescent="0.2">
      <c r="A1639" s="249" t="s">
        <v>387</v>
      </c>
      <c r="B1639" s="147" t="s">
        <v>387</v>
      </c>
      <c r="C1639" s="148"/>
      <c r="D1639" s="148"/>
      <c r="E1639" s="260"/>
      <c r="F1639" s="260"/>
      <c r="G1639" s="261"/>
      <c r="H1639" s="261"/>
      <c r="O1639" s="258"/>
      <c r="P1639" s="259"/>
      <c r="Q1639" s="147" t="s">
        <v>591</v>
      </c>
      <c r="R1639" s="259">
        <f>+H1638-P1639</f>
        <v>97222</v>
      </c>
    </row>
    <row r="1640" spans="1:18" ht="15" customHeight="1" x14ac:dyDescent="0.2">
      <c r="A1640" s="249" t="s">
        <v>387</v>
      </c>
      <c r="B1640" s="147" t="s">
        <v>387</v>
      </c>
      <c r="C1640" s="368"/>
      <c r="D1640" s="363"/>
      <c r="E1640" s="371"/>
      <c r="F1640" s="371"/>
      <c r="G1640" s="372"/>
      <c r="H1640" s="372"/>
    </row>
    <row r="1641" spans="1:18" ht="15" customHeight="1" x14ac:dyDescent="0.2">
      <c r="A1641" s="249" t="s">
        <v>387</v>
      </c>
      <c r="B1641" s="147" t="s">
        <v>387</v>
      </c>
      <c r="C1641" s="427" t="s">
        <v>119</v>
      </c>
      <c r="D1641" s="427"/>
      <c r="E1641" s="427"/>
      <c r="F1641" s="427"/>
      <c r="G1641" s="427"/>
      <c r="H1641" s="427"/>
    </row>
    <row r="1642" spans="1:18" ht="15" customHeight="1" x14ac:dyDescent="0.2">
      <c r="A1642" s="249" t="s">
        <v>387</v>
      </c>
      <c r="B1642" s="147" t="s">
        <v>387</v>
      </c>
      <c r="C1642" s="428" t="str">
        <f>C3</f>
        <v xml:space="preserve"> PRESUPUESTO AÑO 2024</v>
      </c>
      <c r="D1642" s="428"/>
      <c r="E1642" s="428"/>
      <c r="F1642" s="428"/>
      <c r="G1642" s="428"/>
      <c r="H1642" s="428"/>
    </row>
    <row r="1643" spans="1:18" ht="15" customHeight="1" x14ac:dyDescent="0.2">
      <c r="A1643" s="249" t="s">
        <v>387</v>
      </c>
      <c r="B1643" s="147" t="s">
        <v>387</v>
      </c>
      <c r="C1643" s="428" t="str">
        <f>C4</f>
        <v>PRESUPUESTO EXTRA CONTABLE</v>
      </c>
      <c r="D1643" s="428"/>
      <c r="E1643" s="428"/>
      <c r="F1643" s="428"/>
      <c r="G1643" s="428"/>
      <c r="H1643" s="428"/>
    </row>
    <row r="1644" spans="1:18" ht="15" customHeight="1" x14ac:dyDescent="0.2">
      <c r="A1644" s="249" t="s">
        <v>387</v>
      </c>
      <c r="B1644" s="147" t="s">
        <v>387</v>
      </c>
      <c r="C1644" s="427" t="s">
        <v>117</v>
      </c>
      <c r="D1644" s="427"/>
      <c r="E1644" s="427"/>
      <c r="F1644" s="427"/>
      <c r="G1644" s="427"/>
      <c r="H1644" s="427"/>
    </row>
    <row r="1645" spans="1:18" ht="15" customHeight="1" x14ac:dyDescent="0.2">
      <c r="A1645" s="249" t="s">
        <v>387</v>
      </c>
      <c r="B1645" s="147" t="s">
        <v>387</v>
      </c>
      <c r="C1645" s="427" t="s">
        <v>665</v>
      </c>
      <c r="D1645" s="427"/>
      <c r="E1645" s="427"/>
      <c r="F1645" s="427"/>
      <c r="G1645" s="427"/>
      <c r="H1645" s="427"/>
    </row>
    <row r="1646" spans="1:18" ht="15" customHeight="1" x14ac:dyDescent="0.2">
      <c r="A1646" s="249" t="s">
        <v>387</v>
      </c>
      <c r="B1646" s="147" t="s">
        <v>387</v>
      </c>
      <c r="C1646" s="430" t="s">
        <v>1</v>
      </c>
      <c r="D1646" s="430" t="s">
        <v>0</v>
      </c>
      <c r="E1646" s="255" t="s">
        <v>56</v>
      </c>
      <c r="F1646" s="255" t="str">
        <f>F7</f>
        <v>REFORMA</v>
      </c>
      <c r="G1646" s="255" t="s">
        <v>151</v>
      </c>
      <c r="H1646" s="432" t="str">
        <f>$H$7</f>
        <v>TOTAL 2024</v>
      </c>
      <c r="I1646" s="153" t="s">
        <v>285</v>
      </c>
      <c r="J1646" s="153"/>
      <c r="K1646" s="153"/>
      <c r="L1646" s="153"/>
      <c r="M1646" s="153"/>
      <c r="N1646" s="269" t="s">
        <v>295</v>
      </c>
    </row>
    <row r="1647" spans="1:18" ht="15" customHeight="1" x14ac:dyDescent="0.2">
      <c r="A1647" s="249" t="s">
        <v>387</v>
      </c>
      <c r="B1647" s="147" t="s">
        <v>387</v>
      </c>
      <c r="C1647" s="431"/>
      <c r="D1647" s="431"/>
      <c r="E1647" s="255" t="s">
        <v>139</v>
      </c>
      <c r="F1647" s="255"/>
      <c r="G1647" s="255" t="s">
        <v>140</v>
      </c>
      <c r="H1647" s="433"/>
      <c r="I1647" s="153" t="s">
        <v>286</v>
      </c>
      <c r="J1647" s="153" t="s">
        <v>290</v>
      </c>
      <c r="K1647" s="153" t="s">
        <v>291</v>
      </c>
      <c r="L1647" s="153" t="s">
        <v>293</v>
      </c>
      <c r="M1647" s="153" t="s">
        <v>292</v>
      </c>
    </row>
    <row r="1648" spans="1:18" ht="15" customHeight="1" x14ac:dyDescent="0.2">
      <c r="A1648" s="249">
        <v>48</v>
      </c>
      <c r="B1648" s="147" t="s">
        <v>451</v>
      </c>
      <c r="C1648" s="61">
        <v>51101</v>
      </c>
      <c r="D1648" s="73" t="s">
        <v>15</v>
      </c>
      <c r="E1648" s="74"/>
      <c r="F1648" s="74"/>
      <c r="G1648" s="272">
        <v>12900</v>
      </c>
      <c r="H1648" s="76">
        <f t="shared" ref="H1648:H1671" si="62">E1648+F1648+G1648</f>
        <v>12900</v>
      </c>
      <c r="I1648" s="73"/>
      <c r="J1648" s="73"/>
      <c r="K1648" s="256"/>
      <c r="L1648" s="256"/>
      <c r="M1648" s="256"/>
    </row>
    <row r="1649" spans="1:16" ht="15" customHeight="1" x14ac:dyDescent="0.2">
      <c r="A1649" s="249">
        <v>48</v>
      </c>
      <c r="B1649" s="147" t="s">
        <v>451</v>
      </c>
      <c r="C1649" s="61">
        <v>51103</v>
      </c>
      <c r="D1649" s="73" t="s">
        <v>16</v>
      </c>
      <c r="E1649" s="76"/>
      <c r="F1649" s="76"/>
      <c r="G1649" s="272">
        <v>1075</v>
      </c>
      <c r="H1649" s="76">
        <f t="shared" si="62"/>
        <v>1075</v>
      </c>
      <c r="I1649" s="73"/>
      <c r="J1649" s="73"/>
      <c r="K1649" s="256"/>
      <c r="L1649" s="256"/>
      <c r="M1649" s="256"/>
    </row>
    <row r="1650" spans="1:16" ht="15" customHeight="1" x14ac:dyDescent="0.2">
      <c r="A1650" s="249">
        <v>48</v>
      </c>
      <c r="B1650" s="147" t="s">
        <v>451</v>
      </c>
      <c r="C1650" s="61">
        <v>51107</v>
      </c>
      <c r="D1650" s="73" t="s">
        <v>34</v>
      </c>
      <c r="E1650" s="76"/>
      <c r="F1650" s="76"/>
      <c r="G1650" s="272">
        <v>400</v>
      </c>
      <c r="H1650" s="76">
        <f t="shared" si="62"/>
        <v>400</v>
      </c>
      <c r="I1650" s="73"/>
      <c r="J1650" s="73"/>
      <c r="K1650" s="256"/>
      <c r="L1650" s="256"/>
      <c r="M1650" s="256"/>
    </row>
    <row r="1651" spans="1:16" ht="15" customHeight="1" x14ac:dyDescent="0.2">
      <c r="A1651" s="249">
        <v>48</v>
      </c>
      <c r="B1651" s="147" t="s">
        <v>451</v>
      </c>
      <c r="C1651" s="61">
        <v>51401</v>
      </c>
      <c r="D1651" s="62" t="s">
        <v>47</v>
      </c>
      <c r="E1651" s="74"/>
      <c r="F1651" s="74"/>
      <c r="G1651" s="272">
        <v>1096.56</v>
      </c>
      <c r="H1651" s="76">
        <f t="shared" si="62"/>
        <v>1096.56</v>
      </c>
      <c r="I1651" s="73"/>
      <c r="J1651" s="73"/>
      <c r="K1651" s="256"/>
      <c r="L1651" s="256"/>
      <c r="M1651" s="256"/>
      <c r="O1651" s="257"/>
    </row>
    <row r="1652" spans="1:16" ht="15" customHeight="1" x14ac:dyDescent="0.2">
      <c r="A1652" s="249">
        <v>48</v>
      </c>
      <c r="B1652" s="147" t="s">
        <v>451</v>
      </c>
      <c r="C1652" s="61">
        <v>51501</v>
      </c>
      <c r="D1652" s="62" t="s">
        <v>29</v>
      </c>
      <c r="E1652" s="74"/>
      <c r="F1652" s="74"/>
      <c r="G1652" s="272">
        <v>1128.75</v>
      </c>
      <c r="H1652" s="76">
        <f t="shared" si="62"/>
        <v>1128.75</v>
      </c>
      <c r="I1652" s="73"/>
      <c r="J1652" s="73"/>
      <c r="K1652" s="256"/>
      <c r="L1652" s="256"/>
      <c r="M1652" s="256"/>
    </row>
    <row r="1653" spans="1:16" ht="15" customHeight="1" x14ac:dyDescent="0.2">
      <c r="A1653" s="249">
        <v>48</v>
      </c>
      <c r="B1653" s="147" t="s">
        <v>451</v>
      </c>
      <c r="C1653" s="61">
        <v>54104</v>
      </c>
      <c r="D1653" s="73" t="s">
        <v>17</v>
      </c>
      <c r="E1653" s="74"/>
      <c r="F1653" s="74"/>
      <c r="G1653" s="76">
        <v>500</v>
      </c>
      <c r="H1653" s="76">
        <f t="shared" si="62"/>
        <v>500</v>
      </c>
      <c r="I1653" s="73"/>
      <c r="J1653" s="73"/>
      <c r="K1653" s="256"/>
      <c r="L1653" s="256"/>
      <c r="M1653" s="256"/>
    </row>
    <row r="1654" spans="1:16" ht="15" customHeight="1" x14ac:dyDescent="0.2">
      <c r="A1654" s="249">
        <v>48</v>
      </c>
      <c r="B1654" s="147" t="s">
        <v>451</v>
      </c>
      <c r="C1654" s="61">
        <v>54105</v>
      </c>
      <c r="D1654" s="73" t="s">
        <v>131</v>
      </c>
      <c r="E1654" s="74"/>
      <c r="F1654" s="74"/>
      <c r="G1654" s="76">
        <v>400</v>
      </c>
      <c r="H1654" s="76">
        <f t="shared" si="62"/>
        <v>400</v>
      </c>
      <c r="I1654" s="73"/>
      <c r="J1654" s="73"/>
      <c r="K1654" s="256"/>
      <c r="L1654" s="256"/>
      <c r="M1654" s="256"/>
    </row>
    <row r="1655" spans="1:16" ht="15" customHeight="1" x14ac:dyDescent="0.2">
      <c r="A1655" s="249">
        <v>48</v>
      </c>
      <c r="B1655" s="147" t="s">
        <v>451</v>
      </c>
      <c r="C1655" s="61">
        <v>54107</v>
      </c>
      <c r="D1655" s="73" t="s">
        <v>43</v>
      </c>
      <c r="E1655" s="74"/>
      <c r="F1655" s="74"/>
      <c r="G1655" s="76">
        <v>800</v>
      </c>
      <c r="H1655" s="76">
        <f t="shared" si="62"/>
        <v>800</v>
      </c>
      <c r="I1655" s="73"/>
      <c r="J1655" s="73"/>
      <c r="K1655" s="256"/>
      <c r="L1655" s="256"/>
      <c r="M1655" s="256"/>
    </row>
    <row r="1656" spans="1:16" ht="15" customHeight="1" x14ac:dyDescent="0.2">
      <c r="A1656" s="249">
        <v>48</v>
      </c>
      <c r="B1656" s="147" t="s">
        <v>451</v>
      </c>
      <c r="C1656" s="61">
        <v>54111</v>
      </c>
      <c r="D1656" s="73" t="s">
        <v>162</v>
      </c>
      <c r="E1656" s="74"/>
      <c r="F1656" s="74"/>
      <c r="G1656" s="76">
        <v>200</v>
      </c>
      <c r="H1656" s="76">
        <f t="shared" si="62"/>
        <v>200</v>
      </c>
      <c r="I1656" s="73"/>
      <c r="J1656" s="73"/>
      <c r="K1656" s="256"/>
      <c r="L1656" s="256"/>
      <c r="M1656" s="256"/>
    </row>
    <row r="1657" spans="1:16" ht="15" customHeight="1" x14ac:dyDescent="0.2">
      <c r="A1657" s="249">
        <v>48</v>
      </c>
      <c r="B1657" s="147" t="s">
        <v>451</v>
      </c>
      <c r="C1657" s="61" t="s">
        <v>546</v>
      </c>
      <c r="D1657" s="73" t="s">
        <v>42</v>
      </c>
      <c r="E1657" s="74"/>
      <c r="F1657" s="74"/>
      <c r="G1657" s="76">
        <v>175</v>
      </c>
      <c r="H1657" s="76">
        <f t="shared" si="62"/>
        <v>175</v>
      </c>
      <c r="I1657" s="73"/>
      <c r="J1657" s="73"/>
      <c r="K1657" s="256"/>
      <c r="L1657" s="256"/>
      <c r="M1657" s="256"/>
    </row>
    <row r="1658" spans="1:16" ht="15" customHeight="1" x14ac:dyDescent="0.2">
      <c r="A1658" s="249">
        <v>48</v>
      </c>
      <c r="B1658" s="147" t="s">
        <v>451</v>
      </c>
      <c r="C1658" s="61">
        <v>54114</v>
      </c>
      <c r="D1658" s="73" t="s">
        <v>5</v>
      </c>
      <c r="E1658" s="74"/>
      <c r="F1658" s="74"/>
      <c r="G1658" s="76">
        <v>250</v>
      </c>
      <c r="H1658" s="76">
        <f t="shared" si="62"/>
        <v>250</v>
      </c>
      <c r="I1658" s="73"/>
      <c r="J1658" s="73"/>
      <c r="K1658" s="256"/>
      <c r="L1658" s="256"/>
      <c r="M1658" s="256"/>
    </row>
    <row r="1659" spans="1:16" ht="15" customHeight="1" x14ac:dyDescent="0.2">
      <c r="A1659" s="249">
        <v>48</v>
      </c>
      <c r="B1659" s="147" t="s">
        <v>451</v>
      </c>
      <c r="C1659" s="61">
        <v>54115</v>
      </c>
      <c r="D1659" s="73" t="s">
        <v>49</v>
      </c>
      <c r="E1659" s="74"/>
      <c r="F1659" s="74"/>
      <c r="G1659" s="272">
        <v>2920</v>
      </c>
      <c r="H1659" s="76">
        <f t="shared" si="62"/>
        <v>2920</v>
      </c>
      <c r="I1659" s="73"/>
      <c r="J1659" s="73"/>
      <c r="K1659" s="256"/>
      <c r="L1659" s="256"/>
      <c r="M1659" s="256"/>
      <c r="P1659" s="274"/>
    </row>
    <row r="1660" spans="1:16" ht="15" customHeight="1" x14ac:dyDescent="0.2">
      <c r="A1660" s="249">
        <v>48</v>
      </c>
      <c r="B1660" s="147" t="s">
        <v>451</v>
      </c>
      <c r="C1660" s="61">
        <v>54118</v>
      </c>
      <c r="D1660" s="62" t="s">
        <v>35</v>
      </c>
      <c r="E1660" s="74"/>
      <c r="F1660" s="74"/>
      <c r="G1660" s="76">
        <v>2000</v>
      </c>
      <c r="H1660" s="76">
        <f t="shared" si="62"/>
        <v>2000</v>
      </c>
      <c r="I1660" s="73"/>
      <c r="J1660" s="73"/>
      <c r="K1660" s="256"/>
      <c r="L1660" s="256"/>
      <c r="M1660" s="256"/>
    </row>
    <row r="1661" spans="1:16" ht="15" customHeight="1" x14ac:dyDescent="0.2">
      <c r="A1661" s="249">
        <v>48</v>
      </c>
      <c r="B1661" s="147" t="s">
        <v>451</v>
      </c>
      <c r="C1661" s="61">
        <v>54119</v>
      </c>
      <c r="D1661" s="73" t="s">
        <v>44</v>
      </c>
      <c r="E1661" s="74"/>
      <c r="F1661" s="74"/>
      <c r="G1661" s="76">
        <v>455</v>
      </c>
      <c r="H1661" s="76">
        <f t="shared" si="62"/>
        <v>455</v>
      </c>
      <c r="I1661" s="73"/>
      <c r="J1661" s="73"/>
      <c r="K1661" s="256"/>
      <c r="L1661" s="256"/>
      <c r="M1661" s="256"/>
    </row>
    <row r="1662" spans="1:16" ht="15" customHeight="1" x14ac:dyDescent="0.2">
      <c r="A1662" s="249">
        <v>48</v>
      </c>
      <c r="B1662" s="147" t="s">
        <v>451</v>
      </c>
      <c r="C1662" s="61">
        <v>54301</v>
      </c>
      <c r="D1662" s="73" t="s">
        <v>158</v>
      </c>
      <c r="E1662" s="74"/>
      <c r="F1662" s="74"/>
      <c r="G1662" s="76">
        <v>1000</v>
      </c>
      <c r="H1662" s="76">
        <f t="shared" si="62"/>
        <v>1000</v>
      </c>
      <c r="I1662" s="73"/>
      <c r="J1662" s="73"/>
      <c r="K1662" s="256"/>
      <c r="L1662" s="256"/>
      <c r="M1662" s="256"/>
      <c r="P1662" s="274"/>
    </row>
    <row r="1663" spans="1:16" ht="15" customHeight="1" x14ac:dyDescent="0.2">
      <c r="A1663" s="249">
        <v>48</v>
      </c>
      <c r="B1663" s="147" t="s">
        <v>451</v>
      </c>
      <c r="C1663" s="61">
        <v>54399</v>
      </c>
      <c r="D1663" s="73" t="s">
        <v>153</v>
      </c>
      <c r="E1663" s="74"/>
      <c r="F1663" s="74"/>
      <c r="G1663" s="76">
        <v>1600</v>
      </c>
      <c r="H1663" s="76">
        <f>E1663+F1663+G1663</f>
        <v>1600</v>
      </c>
      <c r="I1663" s="73"/>
      <c r="J1663" s="73"/>
      <c r="K1663" s="256"/>
      <c r="L1663" s="256"/>
      <c r="M1663" s="256"/>
    </row>
    <row r="1664" spans="1:16" ht="15" customHeight="1" x14ac:dyDescent="0.2">
      <c r="A1664" s="249">
        <v>48</v>
      </c>
      <c r="B1664" s="147" t="s">
        <v>451</v>
      </c>
      <c r="C1664" s="61">
        <v>54401</v>
      </c>
      <c r="D1664" s="73" t="s">
        <v>143</v>
      </c>
      <c r="E1664" s="74"/>
      <c r="F1664" s="74"/>
      <c r="G1664" s="76">
        <v>400</v>
      </c>
      <c r="H1664" s="76">
        <f t="shared" si="62"/>
        <v>400</v>
      </c>
      <c r="I1664" s="73"/>
      <c r="J1664" s="73"/>
      <c r="K1664" s="256"/>
      <c r="L1664" s="256"/>
      <c r="M1664" s="256"/>
    </row>
    <row r="1665" spans="1:18" ht="15" customHeight="1" x14ac:dyDescent="0.2">
      <c r="A1665" s="249">
        <v>48</v>
      </c>
      <c r="B1665" s="147" t="s">
        <v>451</v>
      </c>
      <c r="C1665" s="106">
        <v>54505</v>
      </c>
      <c r="D1665" s="270" t="s">
        <v>40</v>
      </c>
      <c r="E1665" s="271"/>
      <c r="F1665" s="271"/>
      <c r="G1665" s="272">
        <v>200</v>
      </c>
      <c r="H1665" s="76">
        <f t="shared" si="62"/>
        <v>200</v>
      </c>
      <c r="I1665" s="73"/>
      <c r="J1665" s="73"/>
      <c r="K1665" s="256"/>
      <c r="L1665" s="256"/>
      <c r="M1665" s="256"/>
    </row>
    <row r="1666" spans="1:18" ht="15" customHeight="1" x14ac:dyDescent="0.2">
      <c r="A1666" s="249">
        <v>48</v>
      </c>
      <c r="B1666" s="147" t="s">
        <v>451</v>
      </c>
      <c r="C1666" s="106">
        <v>54507</v>
      </c>
      <c r="D1666" s="270" t="s">
        <v>294</v>
      </c>
      <c r="E1666" s="271"/>
      <c r="F1666" s="271"/>
      <c r="G1666" s="272">
        <v>5000</v>
      </c>
      <c r="H1666" s="76">
        <f t="shared" si="62"/>
        <v>5000</v>
      </c>
      <c r="I1666" s="73"/>
      <c r="J1666" s="73"/>
      <c r="K1666" s="256"/>
      <c r="L1666" s="256"/>
      <c r="M1666" s="256"/>
    </row>
    <row r="1667" spans="1:18" ht="15" customHeight="1" x14ac:dyDescent="0.2">
      <c r="A1667" s="249">
        <v>48</v>
      </c>
      <c r="B1667" s="147" t="s">
        <v>451</v>
      </c>
      <c r="C1667" s="61">
        <v>61101</v>
      </c>
      <c r="D1667" s="62" t="s">
        <v>144</v>
      </c>
      <c r="E1667" s="74"/>
      <c r="F1667" s="74"/>
      <c r="G1667" s="76">
        <v>650</v>
      </c>
      <c r="H1667" s="76">
        <f t="shared" si="62"/>
        <v>650</v>
      </c>
      <c r="I1667" s="73"/>
      <c r="J1667" s="73"/>
      <c r="K1667" s="256"/>
      <c r="L1667" s="256"/>
      <c r="M1667" s="256"/>
    </row>
    <row r="1668" spans="1:18" ht="15" customHeight="1" x14ac:dyDescent="0.2">
      <c r="A1668" s="249">
        <v>48</v>
      </c>
      <c r="B1668" s="147" t="s">
        <v>451</v>
      </c>
      <c r="C1668" s="61">
        <v>61102</v>
      </c>
      <c r="D1668" s="62" t="s">
        <v>28</v>
      </c>
      <c r="E1668" s="74"/>
      <c r="F1668" s="74"/>
      <c r="G1668" s="76">
        <v>300</v>
      </c>
      <c r="H1668" s="76">
        <f t="shared" si="62"/>
        <v>300</v>
      </c>
      <c r="I1668" s="73"/>
      <c r="J1668" s="73"/>
      <c r="K1668" s="256"/>
      <c r="L1668" s="256"/>
      <c r="M1668" s="256"/>
    </row>
    <row r="1669" spans="1:18" ht="15" customHeight="1" x14ac:dyDescent="0.2">
      <c r="A1669" s="249">
        <v>48</v>
      </c>
      <c r="B1669" s="147" t="s">
        <v>451</v>
      </c>
      <c r="C1669" s="61">
        <v>61104</v>
      </c>
      <c r="D1669" s="73" t="s">
        <v>46</v>
      </c>
      <c r="E1669" s="74"/>
      <c r="F1669" s="74"/>
      <c r="G1669" s="262">
        <v>12900</v>
      </c>
      <c r="H1669" s="76">
        <f t="shared" si="62"/>
        <v>12900</v>
      </c>
      <c r="I1669" s="73"/>
      <c r="J1669" s="73"/>
      <c r="K1669" s="256"/>
      <c r="L1669" s="256"/>
      <c r="M1669" s="256"/>
      <c r="P1669" s="274"/>
    </row>
    <row r="1670" spans="1:18" ht="15" customHeight="1" x14ac:dyDescent="0.2">
      <c r="A1670" s="249">
        <v>48</v>
      </c>
      <c r="B1670" s="147" t="s">
        <v>451</v>
      </c>
      <c r="C1670" s="61">
        <v>61108</v>
      </c>
      <c r="D1670" s="73" t="s">
        <v>554</v>
      </c>
      <c r="E1670" s="74"/>
      <c r="F1670" s="74"/>
      <c r="G1670" s="76">
        <v>6000</v>
      </c>
      <c r="H1670" s="76">
        <f t="shared" si="62"/>
        <v>6000</v>
      </c>
      <c r="I1670" s="73"/>
      <c r="J1670" s="73"/>
      <c r="K1670" s="256"/>
      <c r="L1670" s="256"/>
      <c r="M1670" s="256"/>
    </row>
    <row r="1671" spans="1:18" ht="15" customHeight="1" x14ac:dyDescent="0.2">
      <c r="A1671" s="249">
        <v>48</v>
      </c>
      <c r="B1671" s="147" t="s">
        <v>451</v>
      </c>
      <c r="C1671" s="61">
        <v>61403</v>
      </c>
      <c r="D1671" s="73" t="s">
        <v>54</v>
      </c>
      <c r="E1671" s="74"/>
      <c r="F1671" s="74"/>
      <c r="G1671" s="76">
        <v>4000</v>
      </c>
      <c r="H1671" s="76">
        <f t="shared" si="62"/>
        <v>4000</v>
      </c>
      <c r="I1671" s="73"/>
      <c r="J1671" s="73"/>
      <c r="K1671" s="256"/>
      <c r="L1671" s="256"/>
      <c r="M1671" s="256"/>
    </row>
    <row r="1672" spans="1:18" ht="15" customHeight="1" x14ac:dyDescent="0.2">
      <c r="A1672" s="249">
        <v>48</v>
      </c>
      <c r="B1672" s="147" t="s">
        <v>452</v>
      </c>
      <c r="C1672" s="61"/>
      <c r="D1672" s="61" t="s">
        <v>14</v>
      </c>
      <c r="E1672" s="83">
        <f>SUM(E1648:E1671)</f>
        <v>0</v>
      </c>
      <c r="F1672" s="83">
        <f>SUM(F1648:F1671)</f>
        <v>0</v>
      </c>
      <c r="G1672" s="83">
        <f>SUM(G1648:G1671)</f>
        <v>56350.31</v>
      </c>
      <c r="H1672" s="83">
        <f>E1672+F1672+G1672</f>
        <v>56350.31</v>
      </c>
      <c r="I1672" s="73"/>
      <c r="J1672" s="73"/>
      <c r="K1672" s="256"/>
      <c r="L1672" s="256"/>
      <c r="M1672" s="256"/>
      <c r="O1672" s="258"/>
      <c r="P1672" s="259"/>
    </row>
    <row r="1673" spans="1:18" ht="15" customHeight="1" x14ac:dyDescent="0.2">
      <c r="A1673" s="249" t="s">
        <v>387</v>
      </c>
      <c r="B1673" s="147" t="s">
        <v>387</v>
      </c>
      <c r="C1673" s="148"/>
      <c r="D1673" s="148"/>
      <c r="E1673" s="260"/>
      <c r="F1673" s="260"/>
      <c r="G1673" s="261"/>
      <c r="H1673" s="261"/>
      <c r="O1673" s="258"/>
      <c r="P1673" s="259"/>
      <c r="Q1673" s="147" t="s">
        <v>592</v>
      </c>
      <c r="R1673" s="259">
        <f>+H1672-P1673</f>
        <v>56350.31</v>
      </c>
    </row>
    <row r="1674" spans="1:18" ht="15" customHeight="1" x14ac:dyDescent="0.2">
      <c r="A1674" s="249" t="s">
        <v>387</v>
      </c>
      <c r="B1674" s="147" t="s">
        <v>387</v>
      </c>
      <c r="C1674" s="148"/>
      <c r="D1674" s="148"/>
      <c r="E1674" s="260"/>
      <c r="F1674" s="260"/>
      <c r="G1674" s="261"/>
      <c r="H1674" s="261"/>
    </row>
    <row r="1675" spans="1:18" ht="15" customHeight="1" x14ac:dyDescent="0.2">
      <c r="A1675" s="249" t="s">
        <v>387</v>
      </c>
      <c r="B1675" s="147" t="s">
        <v>387</v>
      </c>
      <c r="C1675" s="368"/>
      <c r="D1675" s="363"/>
      <c r="E1675" s="371"/>
      <c r="F1675" s="371"/>
      <c r="G1675" s="372"/>
      <c r="H1675" s="372"/>
    </row>
    <row r="1676" spans="1:18" ht="15" customHeight="1" x14ac:dyDescent="0.2">
      <c r="A1676" s="249" t="s">
        <v>387</v>
      </c>
      <c r="B1676" s="147" t="s">
        <v>387</v>
      </c>
      <c r="C1676" s="427" t="s">
        <v>119</v>
      </c>
      <c r="D1676" s="427"/>
      <c r="E1676" s="427"/>
      <c r="F1676" s="427"/>
      <c r="G1676" s="427"/>
      <c r="H1676" s="427"/>
    </row>
    <row r="1677" spans="1:18" ht="15" customHeight="1" x14ac:dyDescent="0.2">
      <c r="A1677" s="249" t="s">
        <v>387</v>
      </c>
      <c r="B1677" s="147" t="s">
        <v>387</v>
      </c>
      <c r="C1677" s="428" t="str">
        <f>C3</f>
        <v xml:space="preserve"> PRESUPUESTO AÑO 2024</v>
      </c>
      <c r="D1677" s="428"/>
      <c r="E1677" s="428"/>
      <c r="F1677" s="428"/>
      <c r="G1677" s="428"/>
      <c r="H1677" s="428"/>
    </row>
    <row r="1678" spans="1:18" ht="15" customHeight="1" x14ac:dyDescent="0.2">
      <c r="A1678" s="249" t="s">
        <v>387</v>
      </c>
      <c r="B1678" s="147" t="s">
        <v>387</v>
      </c>
      <c r="C1678" s="428" t="str">
        <f>C4</f>
        <v>PRESUPUESTO EXTRA CONTABLE</v>
      </c>
      <c r="D1678" s="428"/>
      <c r="E1678" s="428"/>
      <c r="F1678" s="428"/>
      <c r="G1678" s="428"/>
      <c r="H1678" s="428"/>
    </row>
    <row r="1679" spans="1:18" ht="15" customHeight="1" x14ac:dyDescent="0.2">
      <c r="A1679" s="249" t="s">
        <v>387</v>
      </c>
      <c r="B1679" s="147" t="s">
        <v>387</v>
      </c>
      <c r="C1679" s="427" t="s">
        <v>117</v>
      </c>
      <c r="D1679" s="427"/>
      <c r="E1679" s="427"/>
      <c r="F1679" s="427"/>
      <c r="G1679" s="427"/>
      <c r="H1679" s="427"/>
    </row>
    <row r="1680" spans="1:18" ht="15" customHeight="1" x14ac:dyDescent="0.2">
      <c r="A1680" s="249" t="s">
        <v>387</v>
      </c>
      <c r="B1680" s="147" t="s">
        <v>387</v>
      </c>
      <c r="C1680" s="427" t="s">
        <v>708</v>
      </c>
      <c r="D1680" s="427"/>
      <c r="E1680" s="427"/>
      <c r="F1680" s="427"/>
      <c r="G1680" s="427"/>
      <c r="H1680" s="427"/>
    </row>
    <row r="1681" spans="1:15" ht="15" customHeight="1" x14ac:dyDescent="0.2">
      <c r="A1681" s="249" t="s">
        <v>387</v>
      </c>
      <c r="B1681" s="147" t="s">
        <v>387</v>
      </c>
      <c r="C1681" s="430" t="s">
        <v>1</v>
      </c>
      <c r="D1681" s="430" t="s">
        <v>0</v>
      </c>
      <c r="E1681" s="255" t="s">
        <v>56</v>
      </c>
      <c r="F1681" s="255" t="str">
        <f>F7</f>
        <v>REFORMA</v>
      </c>
      <c r="G1681" s="255" t="s">
        <v>56</v>
      </c>
      <c r="H1681" s="432" t="str">
        <f>$H$7</f>
        <v>TOTAL 2024</v>
      </c>
      <c r="I1681" s="153" t="s">
        <v>285</v>
      </c>
      <c r="J1681" s="153"/>
      <c r="K1681" s="153"/>
      <c r="L1681" s="153"/>
      <c r="M1681" s="153"/>
    </row>
    <row r="1682" spans="1:15" ht="15" customHeight="1" x14ac:dyDescent="0.2">
      <c r="A1682" s="249" t="s">
        <v>387</v>
      </c>
      <c r="B1682" s="147" t="s">
        <v>387</v>
      </c>
      <c r="C1682" s="431"/>
      <c r="D1682" s="431"/>
      <c r="E1682" s="255" t="s">
        <v>139</v>
      </c>
      <c r="F1682" s="255"/>
      <c r="G1682" s="255" t="s">
        <v>140</v>
      </c>
      <c r="H1682" s="433"/>
      <c r="I1682" s="153" t="s">
        <v>286</v>
      </c>
      <c r="J1682" s="153" t="s">
        <v>290</v>
      </c>
      <c r="K1682" s="153" t="s">
        <v>291</v>
      </c>
      <c r="L1682" s="153" t="s">
        <v>293</v>
      </c>
      <c r="M1682" s="153" t="s">
        <v>292</v>
      </c>
    </row>
    <row r="1683" spans="1:15" ht="15" customHeight="1" x14ac:dyDescent="0.2">
      <c r="A1683" s="249">
        <v>10</v>
      </c>
      <c r="B1683" s="147">
        <v>54</v>
      </c>
      <c r="C1683" s="61">
        <v>51101</v>
      </c>
      <c r="D1683" s="73" t="s">
        <v>15</v>
      </c>
      <c r="E1683" s="74"/>
      <c r="F1683" s="74"/>
      <c r="G1683" s="272">
        <v>30000</v>
      </c>
      <c r="H1683" s="76">
        <f t="shared" ref="H1683:H1713" si="63">E1683+F1683+G1683</f>
        <v>30000</v>
      </c>
      <c r="I1683" s="73"/>
      <c r="J1683" s="73"/>
      <c r="K1683" s="73"/>
      <c r="L1683" s="73"/>
      <c r="M1683" s="73"/>
    </row>
    <row r="1684" spans="1:15" ht="15" customHeight="1" x14ac:dyDescent="0.2">
      <c r="A1684" s="249">
        <v>10</v>
      </c>
      <c r="B1684" s="147">
        <v>54</v>
      </c>
      <c r="C1684" s="61">
        <v>51103</v>
      </c>
      <c r="D1684" s="73" t="s">
        <v>16</v>
      </c>
      <c r="E1684" s="76"/>
      <c r="F1684" s="76"/>
      <c r="G1684" s="272">
        <v>2500</v>
      </c>
      <c r="H1684" s="76">
        <f t="shared" si="63"/>
        <v>2500</v>
      </c>
      <c r="I1684" s="73"/>
      <c r="J1684" s="73"/>
      <c r="K1684" s="73"/>
      <c r="L1684" s="73"/>
      <c r="M1684" s="73"/>
    </row>
    <row r="1685" spans="1:15" ht="15" customHeight="1" x14ac:dyDescent="0.2">
      <c r="A1685" s="249">
        <v>10</v>
      </c>
      <c r="B1685" s="147">
        <v>54</v>
      </c>
      <c r="C1685" s="61">
        <v>51107</v>
      </c>
      <c r="D1685" s="73" t="s">
        <v>34</v>
      </c>
      <c r="E1685" s="76"/>
      <c r="F1685" s="76"/>
      <c r="G1685" s="272">
        <v>1200</v>
      </c>
      <c r="H1685" s="76">
        <f t="shared" si="63"/>
        <v>1200</v>
      </c>
      <c r="I1685" s="73"/>
      <c r="J1685" s="73"/>
      <c r="K1685" s="73"/>
      <c r="L1685" s="73"/>
      <c r="M1685" s="73"/>
    </row>
    <row r="1686" spans="1:15" ht="15" customHeight="1" x14ac:dyDescent="0.2">
      <c r="A1686" s="249">
        <v>10</v>
      </c>
      <c r="B1686" s="147">
        <v>54</v>
      </c>
      <c r="C1686" s="61">
        <v>51401</v>
      </c>
      <c r="D1686" s="62" t="s">
        <v>47</v>
      </c>
      <c r="E1686" s="74"/>
      <c r="F1686" s="74"/>
      <c r="G1686" s="272">
        <v>2550</v>
      </c>
      <c r="H1686" s="76">
        <f t="shared" si="63"/>
        <v>2550</v>
      </c>
      <c r="I1686" s="73"/>
      <c r="J1686" s="73"/>
      <c r="K1686" s="73"/>
      <c r="L1686" s="73"/>
      <c r="M1686" s="73"/>
      <c r="O1686" s="257"/>
    </row>
    <row r="1687" spans="1:15" ht="15" customHeight="1" x14ac:dyDescent="0.2">
      <c r="A1687" s="249">
        <v>10</v>
      </c>
      <c r="B1687" s="147">
        <v>54</v>
      </c>
      <c r="C1687" s="61">
        <v>51501</v>
      </c>
      <c r="D1687" s="62" t="s">
        <v>29</v>
      </c>
      <c r="E1687" s="74"/>
      <c r="F1687" s="74"/>
      <c r="G1687" s="272">
        <v>2625</v>
      </c>
      <c r="H1687" s="76">
        <f t="shared" si="63"/>
        <v>2625</v>
      </c>
      <c r="I1687" s="73"/>
      <c r="J1687" s="73"/>
      <c r="K1687" s="73"/>
      <c r="L1687" s="73"/>
      <c r="M1687" s="73"/>
    </row>
    <row r="1688" spans="1:15" ht="15" customHeight="1" x14ac:dyDescent="0.2">
      <c r="A1688" s="249">
        <v>10</v>
      </c>
      <c r="B1688" s="147">
        <v>54</v>
      </c>
      <c r="C1688" s="61">
        <v>54101</v>
      </c>
      <c r="D1688" s="73" t="s">
        <v>38</v>
      </c>
      <c r="E1688" s="74"/>
      <c r="F1688" s="74"/>
      <c r="G1688" s="76">
        <v>260</v>
      </c>
      <c r="H1688" s="76">
        <f t="shared" si="63"/>
        <v>260</v>
      </c>
      <c r="I1688" s="73"/>
      <c r="J1688" s="73"/>
      <c r="K1688" s="73"/>
      <c r="L1688" s="73"/>
      <c r="M1688" s="73"/>
    </row>
    <row r="1689" spans="1:15" ht="15" customHeight="1" x14ac:dyDescent="0.2">
      <c r="A1689" s="249">
        <v>10</v>
      </c>
      <c r="B1689" s="147">
        <v>54</v>
      </c>
      <c r="C1689" s="61">
        <v>54102</v>
      </c>
      <c r="D1689" s="73" t="s">
        <v>37</v>
      </c>
      <c r="E1689" s="74"/>
      <c r="F1689" s="74"/>
      <c r="G1689" s="76">
        <v>500</v>
      </c>
      <c r="H1689" s="76">
        <f t="shared" si="63"/>
        <v>500</v>
      </c>
      <c r="I1689" s="73"/>
      <c r="J1689" s="73"/>
      <c r="K1689" s="73"/>
      <c r="L1689" s="73"/>
      <c r="M1689" s="73"/>
    </row>
    <row r="1690" spans="1:15" ht="15" customHeight="1" x14ac:dyDescent="0.2">
      <c r="A1690" s="249">
        <v>10</v>
      </c>
      <c r="B1690" s="147">
        <v>54</v>
      </c>
      <c r="C1690" s="61">
        <v>54103</v>
      </c>
      <c r="D1690" s="62" t="s">
        <v>41</v>
      </c>
      <c r="E1690" s="74"/>
      <c r="F1690" s="74"/>
      <c r="G1690" s="76">
        <v>1600</v>
      </c>
      <c r="H1690" s="76">
        <f t="shared" si="63"/>
        <v>1600</v>
      </c>
      <c r="I1690" s="73"/>
      <c r="J1690" s="73"/>
      <c r="K1690" s="73"/>
      <c r="L1690" s="73"/>
      <c r="M1690" s="73"/>
    </row>
    <row r="1691" spans="1:15" ht="15" customHeight="1" x14ac:dyDescent="0.2">
      <c r="A1691" s="249">
        <v>10</v>
      </c>
      <c r="B1691" s="147">
        <v>54</v>
      </c>
      <c r="C1691" s="61">
        <v>54104</v>
      </c>
      <c r="D1691" s="73" t="s">
        <v>17</v>
      </c>
      <c r="E1691" s="74"/>
      <c r="F1691" s="74"/>
      <c r="G1691" s="76">
        <v>1900</v>
      </c>
      <c r="H1691" s="76">
        <f t="shared" si="63"/>
        <v>1900</v>
      </c>
      <c r="I1691" s="73"/>
      <c r="J1691" s="73"/>
      <c r="K1691" s="73"/>
      <c r="L1691" s="73"/>
      <c r="M1691" s="73"/>
    </row>
    <row r="1692" spans="1:15" ht="15" customHeight="1" x14ac:dyDescent="0.2">
      <c r="A1692" s="249">
        <v>10</v>
      </c>
      <c r="B1692" s="147">
        <v>54</v>
      </c>
      <c r="C1692" s="61">
        <v>54105</v>
      </c>
      <c r="D1692" s="73" t="s">
        <v>3</v>
      </c>
      <c r="E1692" s="74"/>
      <c r="F1692" s="74"/>
      <c r="G1692" s="76">
        <v>1000</v>
      </c>
      <c r="H1692" s="76">
        <f t="shared" si="63"/>
        <v>1000</v>
      </c>
      <c r="I1692" s="73"/>
      <c r="J1692" s="73"/>
      <c r="K1692" s="73"/>
      <c r="L1692" s="73"/>
      <c r="M1692" s="73"/>
    </row>
    <row r="1693" spans="1:15" ht="15" customHeight="1" x14ac:dyDescent="0.2">
      <c r="A1693" s="249">
        <v>10</v>
      </c>
      <c r="B1693" s="147">
        <v>54</v>
      </c>
      <c r="C1693" s="61">
        <v>54106</v>
      </c>
      <c r="D1693" s="73" t="s">
        <v>18</v>
      </c>
      <c r="E1693" s="74"/>
      <c r="F1693" s="74"/>
      <c r="G1693" s="76">
        <v>1400</v>
      </c>
      <c r="H1693" s="76">
        <f t="shared" si="63"/>
        <v>1400</v>
      </c>
      <c r="I1693" s="73"/>
      <c r="J1693" s="73"/>
      <c r="K1693" s="73"/>
      <c r="L1693" s="73"/>
      <c r="M1693" s="73"/>
    </row>
    <row r="1694" spans="1:15" ht="15" customHeight="1" x14ac:dyDescent="0.2">
      <c r="A1694" s="249">
        <v>10</v>
      </c>
      <c r="B1694" s="147">
        <v>54</v>
      </c>
      <c r="C1694" s="61">
        <v>54107</v>
      </c>
      <c r="D1694" s="73" t="s">
        <v>43</v>
      </c>
      <c r="E1694" s="74"/>
      <c r="F1694" s="74"/>
      <c r="G1694" s="76">
        <v>3400</v>
      </c>
      <c r="H1694" s="76">
        <f t="shared" si="63"/>
        <v>3400</v>
      </c>
      <c r="I1694" s="73"/>
      <c r="J1694" s="73"/>
      <c r="K1694" s="73"/>
      <c r="L1694" s="73"/>
      <c r="M1694" s="73"/>
    </row>
    <row r="1695" spans="1:15" ht="15" customHeight="1" x14ac:dyDescent="0.2">
      <c r="A1695" s="249">
        <v>10</v>
      </c>
      <c r="B1695" s="147">
        <v>54</v>
      </c>
      <c r="C1695" s="61">
        <v>54109</v>
      </c>
      <c r="D1695" s="73" t="s">
        <v>146</v>
      </c>
      <c r="E1695" s="74"/>
      <c r="F1695" s="74"/>
      <c r="G1695" s="76">
        <v>500</v>
      </c>
      <c r="H1695" s="76">
        <f>E1695+F1695+G1695</f>
        <v>500</v>
      </c>
      <c r="I1695" s="73"/>
      <c r="J1695" s="73"/>
      <c r="K1695" s="73"/>
      <c r="L1695" s="73"/>
      <c r="M1695" s="73"/>
    </row>
    <row r="1696" spans="1:15" ht="15" customHeight="1" x14ac:dyDescent="0.2">
      <c r="A1696" s="249">
        <v>10</v>
      </c>
      <c r="B1696" s="147">
        <v>54</v>
      </c>
      <c r="C1696" s="61">
        <v>54110</v>
      </c>
      <c r="D1696" s="73" t="s">
        <v>519</v>
      </c>
      <c r="E1696" s="74"/>
      <c r="F1696" s="74"/>
      <c r="G1696" s="76">
        <v>3200</v>
      </c>
      <c r="H1696" s="76">
        <f t="shared" si="63"/>
        <v>3200</v>
      </c>
      <c r="I1696" s="73"/>
      <c r="J1696" s="73"/>
      <c r="K1696" s="73"/>
      <c r="L1696" s="73"/>
      <c r="M1696" s="73"/>
    </row>
    <row r="1697" spans="1:13" ht="15" customHeight="1" x14ac:dyDescent="0.2">
      <c r="A1697" s="249">
        <v>10</v>
      </c>
      <c r="B1697" s="147">
        <v>54</v>
      </c>
      <c r="C1697" s="61">
        <v>54111</v>
      </c>
      <c r="D1697" s="73" t="s">
        <v>162</v>
      </c>
      <c r="E1697" s="74"/>
      <c r="F1697" s="74"/>
      <c r="G1697" s="76">
        <v>1900</v>
      </c>
      <c r="H1697" s="76">
        <f t="shared" si="63"/>
        <v>1900</v>
      </c>
      <c r="I1697" s="73"/>
      <c r="J1697" s="73"/>
      <c r="K1697" s="73"/>
      <c r="L1697" s="73"/>
      <c r="M1697" s="73"/>
    </row>
    <row r="1698" spans="1:13" ht="15" customHeight="1" x14ac:dyDescent="0.2">
      <c r="A1698" s="249">
        <v>10</v>
      </c>
      <c r="B1698" s="147">
        <v>54</v>
      </c>
      <c r="C1698" s="61">
        <v>54112</v>
      </c>
      <c r="D1698" s="73" t="s">
        <v>42</v>
      </c>
      <c r="E1698" s="74"/>
      <c r="F1698" s="74"/>
      <c r="G1698" s="76">
        <v>1700</v>
      </c>
      <c r="H1698" s="76">
        <f t="shared" si="63"/>
        <v>1700</v>
      </c>
      <c r="I1698" s="73"/>
      <c r="J1698" s="73"/>
      <c r="K1698" s="73"/>
      <c r="L1698" s="73"/>
      <c r="M1698" s="73"/>
    </row>
    <row r="1699" spans="1:13" ht="15" customHeight="1" x14ac:dyDescent="0.2">
      <c r="A1699" s="249">
        <v>10</v>
      </c>
      <c r="B1699" s="147">
        <v>54</v>
      </c>
      <c r="C1699" s="61">
        <v>54114</v>
      </c>
      <c r="D1699" s="73" t="s">
        <v>5</v>
      </c>
      <c r="E1699" s="74"/>
      <c r="F1699" s="74"/>
      <c r="G1699" s="76">
        <v>1000</v>
      </c>
      <c r="H1699" s="76">
        <f t="shared" si="63"/>
        <v>1000</v>
      </c>
      <c r="I1699" s="73"/>
      <c r="J1699" s="73"/>
      <c r="K1699" s="73"/>
      <c r="L1699" s="73"/>
      <c r="M1699" s="73"/>
    </row>
    <row r="1700" spans="1:13" ht="15" customHeight="1" x14ac:dyDescent="0.2">
      <c r="A1700" s="249">
        <v>10</v>
      </c>
      <c r="B1700" s="147">
        <v>54</v>
      </c>
      <c r="C1700" s="61">
        <v>54115</v>
      </c>
      <c r="D1700" s="73" t="s">
        <v>528</v>
      </c>
      <c r="E1700" s="74"/>
      <c r="F1700" s="74"/>
      <c r="G1700" s="76">
        <v>1000</v>
      </c>
      <c r="H1700" s="76">
        <f t="shared" si="63"/>
        <v>1000</v>
      </c>
      <c r="I1700" s="73"/>
      <c r="J1700" s="73"/>
      <c r="K1700" s="73"/>
      <c r="L1700" s="73"/>
      <c r="M1700" s="73"/>
    </row>
    <row r="1701" spans="1:13" ht="15" customHeight="1" x14ac:dyDescent="0.2">
      <c r="A1701" s="249">
        <v>10</v>
      </c>
      <c r="B1701" s="147">
        <v>54</v>
      </c>
      <c r="C1701" s="61">
        <v>54116</v>
      </c>
      <c r="D1701" s="73" t="s">
        <v>167</v>
      </c>
      <c r="E1701" s="74"/>
      <c r="F1701" s="74"/>
      <c r="G1701" s="76">
        <v>450</v>
      </c>
      <c r="H1701" s="76">
        <f>E1701+F1701+G1701</f>
        <v>450</v>
      </c>
      <c r="I1701" s="73"/>
      <c r="J1701" s="73"/>
      <c r="K1701" s="73"/>
      <c r="L1701" s="73"/>
      <c r="M1701" s="73"/>
    </row>
    <row r="1702" spans="1:13" ht="15" customHeight="1" x14ac:dyDescent="0.2">
      <c r="A1702" s="249">
        <v>10</v>
      </c>
      <c r="B1702" s="147">
        <v>54</v>
      </c>
      <c r="C1702" s="61">
        <v>54118</v>
      </c>
      <c r="D1702" s="73" t="s">
        <v>35</v>
      </c>
      <c r="E1702" s="74"/>
      <c r="F1702" s="74"/>
      <c r="G1702" s="76">
        <v>5200</v>
      </c>
      <c r="H1702" s="76">
        <f t="shared" si="63"/>
        <v>5200</v>
      </c>
      <c r="I1702" s="73"/>
      <c r="J1702" s="73"/>
      <c r="K1702" s="73"/>
      <c r="L1702" s="73"/>
      <c r="M1702" s="73"/>
    </row>
    <row r="1703" spans="1:13" ht="15" customHeight="1" x14ac:dyDescent="0.2">
      <c r="A1703" s="249">
        <v>10</v>
      </c>
      <c r="B1703" s="147">
        <v>54</v>
      </c>
      <c r="C1703" s="61">
        <v>54119</v>
      </c>
      <c r="D1703" s="73" t="s">
        <v>530</v>
      </c>
      <c r="E1703" s="74"/>
      <c r="F1703" s="74"/>
      <c r="G1703" s="76">
        <v>250</v>
      </c>
      <c r="H1703" s="76">
        <f t="shared" si="63"/>
        <v>250</v>
      </c>
      <c r="I1703" s="73"/>
      <c r="J1703" s="73"/>
      <c r="K1703" s="73"/>
      <c r="L1703" s="73"/>
      <c r="M1703" s="73"/>
    </row>
    <row r="1704" spans="1:13" ht="15" customHeight="1" x14ac:dyDescent="0.2">
      <c r="A1704" s="249">
        <v>10</v>
      </c>
      <c r="B1704" s="147">
        <v>54</v>
      </c>
      <c r="C1704" s="61">
        <v>54199</v>
      </c>
      <c r="D1704" s="73" t="s">
        <v>26</v>
      </c>
      <c r="E1704" s="74"/>
      <c r="F1704" s="74"/>
      <c r="G1704" s="76">
        <v>250</v>
      </c>
      <c r="H1704" s="76">
        <f t="shared" si="63"/>
        <v>250</v>
      </c>
      <c r="I1704" s="73"/>
      <c r="J1704" s="73"/>
      <c r="K1704" s="73"/>
      <c r="L1704" s="73"/>
      <c r="M1704" s="73"/>
    </row>
    <row r="1705" spans="1:13" ht="15" customHeight="1" x14ac:dyDescent="0.2">
      <c r="A1705" s="249">
        <v>10</v>
      </c>
      <c r="B1705" s="147">
        <v>54</v>
      </c>
      <c r="C1705" s="61">
        <v>54301</v>
      </c>
      <c r="D1705" s="73" t="s">
        <v>158</v>
      </c>
      <c r="E1705" s="74"/>
      <c r="F1705" s="74"/>
      <c r="G1705" s="76">
        <v>200</v>
      </c>
      <c r="H1705" s="76">
        <f t="shared" si="63"/>
        <v>200</v>
      </c>
      <c r="I1705" s="73"/>
      <c r="J1705" s="73"/>
      <c r="K1705" s="73"/>
      <c r="L1705" s="73"/>
      <c r="M1705" s="73"/>
    </row>
    <row r="1706" spans="1:13" ht="15" customHeight="1" x14ac:dyDescent="0.2">
      <c r="A1706" s="249">
        <v>10</v>
      </c>
      <c r="B1706" s="147">
        <v>54</v>
      </c>
      <c r="C1706" s="61">
        <v>54303</v>
      </c>
      <c r="D1706" s="73" t="s">
        <v>183</v>
      </c>
      <c r="E1706" s="74"/>
      <c r="F1706" s="74"/>
      <c r="G1706" s="76">
        <v>200</v>
      </c>
      <c r="H1706" s="76">
        <f t="shared" si="63"/>
        <v>200</v>
      </c>
      <c r="I1706" s="73"/>
      <c r="J1706" s="73"/>
      <c r="K1706" s="73"/>
      <c r="L1706" s="73"/>
      <c r="M1706" s="73"/>
    </row>
    <row r="1707" spans="1:13" ht="15" customHeight="1" x14ac:dyDescent="0.2">
      <c r="A1707" s="249">
        <v>10</v>
      </c>
      <c r="B1707" s="147">
        <v>54</v>
      </c>
      <c r="C1707" s="61">
        <v>54313</v>
      </c>
      <c r="D1707" s="73" t="s">
        <v>11</v>
      </c>
      <c r="E1707" s="74"/>
      <c r="F1707" s="74"/>
      <c r="G1707" s="76">
        <v>0</v>
      </c>
      <c r="H1707" s="76">
        <f t="shared" si="63"/>
        <v>0</v>
      </c>
      <c r="I1707" s="73"/>
      <c r="J1707" s="73"/>
      <c r="K1707" s="73"/>
      <c r="L1707" s="73"/>
      <c r="M1707" s="73"/>
    </row>
    <row r="1708" spans="1:13" ht="15" customHeight="1" x14ac:dyDescent="0.2">
      <c r="A1708" s="249">
        <v>10</v>
      </c>
      <c r="B1708" s="147">
        <v>54</v>
      </c>
      <c r="C1708" s="61">
        <v>54399</v>
      </c>
      <c r="D1708" s="73" t="s">
        <v>153</v>
      </c>
      <c r="E1708" s="74"/>
      <c r="F1708" s="74"/>
      <c r="G1708" s="76">
        <v>500</v>
      </c>
      <c r="H1708" s="76">
        <f t="shared" si="63"/>
        <v>500</v>
      </c>
      <c r="I1708" s="73"/>
      <c r="J1708" s="73"/>
      <c r="K1708" s="73"/>
      <c r="L1708" s="73"/>
      <c r="M1708" s="73"/>
    </row>
    <row r="1709" spans="1:13" ht="15" customHeight="1" x14ac:dyDescent="0.2">
      <c r="A1709" s="249">
        <v>10</v>
      </c>
      <c r="B1709" s="147">
        <v>54</v>
      </c>
      <c r="C1709" s="106">
        <v>54501</v>
      </c>
      <c r="D1709" s="270" t="s">
        <v>633</v>
      </c>
      <c r="E1709" s="271"/>
      <c r="F1709" s="271"/>
      <c r="G1709" s="272">
        <v>100</v>
      </c>
      <c r="H1709" s="272">
        <f t="shared" si="63"/>
        <v>100</v>
      </c>
      <c r="I1709" s="73"/>
      <c r="J1709" s="73"/>
      <c r="K1709" s="73"/>
      <c r="L1709" s="73"/>
      <c r="M1709" s="73"/>
    </row>
    <row r="1710" spans="1:13" ht="15" customHeight="1" x14ac:dyDescent="0.2">
      <c r="A1710" s="249">
        <v>10</v>
      </c>
      <c r="B1710" s="147">
        <v>54</v>
      </c>
      <c r="C1710" s="61">
        <v>61101</v>
      </c>
      <c r="D1710" s="73" t="s">
        <v>144</v>
      </c>
      <c r="E1710" s="74"/>
      <c r="F1710" s="74"/>
      <c r="G1710" s="76">
        <v>1200</v>
      </c>
      <c r="H1710" s="76">
        <f t="shared" si="63"/>
        <v>1200</v>
      </c>
      <c r="I1710" s="73"/>
      <c r="J1710" s="73"/>
      <c r="K1710" s="73"/>
      <c r="L1710" s="73"/>
      <c r="M1710" s="73"/>
    </row>
    <row r="1711" spans="1:13" ht="15" customHeight="1" x14ac:dyDescent="0.2">
      <c r="A1711" s="249">
        <v>10</v>
      </c>
      <c r="B1711" s="147">
        <v>54</v>
      </c>
      <c r="C1711" s="61">
        <v>61102</v>
      </c>
      <c r="D1711" s="73" t="s">
        <v>28</v>
      </c>
      <c r="E1711" s="74"/>
      <c r="F1711" s="74"/>
      <c r="G1711" s="76">
        <v>5970</v>
      </c>
      <c r="H1711" s="76">
        <f t="shared" si="63"/>
        <v>5970</v>
      </c>
      <c r="I1711" s="73"/>
      <c r="J1711" s="73"/>
      <c r="K1711" s="73"/>
      <c r="L1711" s="73"/>
      <c r="M1711" s="73"/>
    </row>
    <row r="1712" spans="1:13" ht="15" customHeight="1" x14ac:dyDescent="0.2">
      <c r="A1712" s="249">
        <v>10</v>
      </c>
      <c r="B1712" s="147">
        <v>54</v>
      </c>
      <c r="C1712" s="61">
        <v>61104</v>
      </c>
      <c r="D1712" s="73" t="s">
        <v>46</v>
      </c>
      <c r="E1712" s="74"/>
      <c r="F1712" s="74"/>
      <c r="G1712" s="76">
        <v>1200</v>
      </c>
      <c r="H1712" s="76">
        <f t="shared" si="63"/>
        <v>1200</v>
      </c>
      <c r="I1712" s="73"/>
      <c r="J1712" s="73"/>
      <c r="K1712" s="73"/>
      <c r="L1712" s="73"/>
      <c r="M1712" s="73"/>
    </row>
    <row r="1713" spans="1:18" ht="15" customHeight="1" x14ac:dyDescent="0.2">
      <c r="A1713" s="249">
        <v>10</v>
      </c>
      <c r="B1713" s="147">
        <v>54</v>
      </c>
      <c r="C1713" s="61">
        <v>61105</v>
      </c>
      <c r="D1713" s="73" t="s">
        <v>132</v>
      </c>
      <c r="E1713" s="74"/>
      <c r="F1713" s="74"/>
      <c r="G1713" s="76">
        <v>0</v>
      </c>
      <c r="H1713" s="76">
        <f t="shared" si="63"/>
        <v>0</v>
      </c>
      <c r="I1713" s="73"/>
      <c r="J1713" s="73"/>
      <c r="K1713" s="73"/>
      <c r="L1713" s="73"/>
      <c r="M1713" s="73"/>
    </row>
    <row r="1714" spans="1:18" ht="15" customHeight="1" x14ac:dyDescent="0.2">
      <c r="A1714" s="249">
        <v>10</v>
      </c>
      <c r="B1714" s="147" t="s">
        <v>409</v>
      </c>
      <c r="C1714" s="61"/>
      <c r="D1714" s="61" t="s">
        <v>14</v>
      </c>
      <c r="E1714" s="83">
        <f>SUM(E1683:E1699)</f>
        <v>0</v>
      </c>
      <c r="F1714" s="83">
        <f>SUM(F1683:F1699)</f>
        <v>0</v>
      </c>
      <c r="G1714" s="83">
        <f>SUM(G1683:G1713)</f>
        <v>73755</v>
      </c>
      <c r="H1714" s="83">
        <f>E1714+F1714+G1714</f>
        <v>73755</v>
      </c>
      <c r="I1714" s="73"/>
      <c r="J1714" s="73"/>
      <c r="K1714" s="73"/>
      <c r="L1714" s="73"/>
      <c r="M1714" s="73"/>
      <c r="O1714" s="258"/>
      <c r="P1714" s="259"/>
    </row>
    <row r="1715" spans="1:18" ht="15" customHeight="1" x14ac:dyDescent="0.2">
      <c r="A1715" s="249" t="s">
        <v>387</v>
      </c>
      <c r="B1715" s="147" t="s">
        <v>387</v>
      </c>
      <c r="C1715" s="148"/>
      <c r="D1715" s="148"/>
      <c r="E1715" s="260"/>
      <c r="F1715" s="260"/>
      <c r="G1715" s="261"/>
      <c r="H1715" s="261"/>
      <c r="O1715" s="258"/>
      <c r="P1715" s="259"/>
      <c r="Q1715" s="147" t="s">
        <v>592</v>
      </c>
      <c r="R1715" s="259">
        <f>+H1714-P1715</f>
        <v>73755</v>
      </c>
    </row>
    <row r="1716" spans="1:18" ht="15" customHeight="1" x14ac:dyDescent="0.2">
      <c r="A1716" s="249" t="s">
        <v>387</v>
      </c>
      <c r="B1716" s="147" t="s">
        <v>387</v>
      </c>
      <c r="C1716" s="148"/>
      <c r="D1716" s="148"/>
      <c r="E1716" s="260"/>
      <c r="F1716" s="260"/>
      <c r="G1716" s="261"/>
      <c r="H1716" s="261"/>
    </row>
    <row r="1717" spans="1:18" ht="15" customHeight="1" x14ac:dyDescent="0.2">
      <c r="A1717" s="249" t="s">
        <v>387</v>
      </c>
      <c r="B1717" s="147" t="s">
        <v>387</v>
      </c>
      <c r="C1717" s="368"/>
      <c r="D1717" s="363"/>
      <c r="E1717" s="371"/>
      <c r="F1717" s="371"/>
      <c r="G1717" s="372"/>
      <c r="H1717" s="372"/>
    </row>
    <row r="1718" spans="1:18" ht="15" customHeight="1" x14ac:dyDescent="0.2">
      <c r="A1718" s="249" t="s">
        <v>387</v>
      </c>
      <c r="B1718" s="147" t="s">
        <v>387</v>
      </c>
      <c r="C1718" s="427" t="s">
        <v>119</v>
      </c>
      <c r="D1718" s="427"/>
      <c r="E1718" s="427"/>
      <c r="F1718" s="427"/>
      <c r="G1718" s="427"/>
      <c r="H1718" s="427"/>
    </row>
    <row r="1719" spans="1:18" ht="15" customHeight="1" x14ac:dyDescent="0.2">
      <c r="A1719" s="249" t="s">
        <v>387</v>
      </c>
      <c r="B1719" s="147" t="s">
        <v>387</v>
      </c>
      <c r="C1719" s="428" t="str">
        <f>C3</f>
        <v xml:space="preserve"> PRESUPUESTO AÑO 2024</v>
      </c>
      <c r="D1719" s="428"/>
      <c r="E1719" s="428"/>
      <c r="F1719" s="428"/>
      <c r="G1719" s="428"/>
      <c r="H1719" s="428"/>
    </row>
    <row r="1720" spans="1:18" ht="15" customHeight="1" x14ac:dyDescent="0.2">
      <c r="A1720" s="249" t="s">
        <v>387</v>
      </c>
      <c r="B1720" s="147" t="s">
        <v>387</v>
      </c>
      <c r="C1720" s="428" t="str">
        <f>C4</f>
        <v>PRESUPUESTO EXTRA CONTABLE</v>
      </c>
      <c r="D1720" s="428"/>
      <c r="E1720" s="428"/>
      <c r="F1720" s="428"/>
      <c r="G1720" s="428"/>
      <c r="H1720" s="428"/>
    </row>
    <row r="1721" spans="1:18" ht="15" customHeight="1" x14ac:dyDescent="0.2">
      <c r="A1721" s="249" t="s">
        <v>387</v>
      </c>
      <c r="B1721" s="147" t="s">
        <v>387</v>
      </c>
      <c r="C1721" s="427" t="s">
        <v>117</v>
      </c>
      <c r="D1721" s="427"/>
      <c r="E1721" s="427"/>
      <c r="F1721" s="427"/>
      <c r="G1721" s="427"/>
      <c r="H1721" s="427"/>
    </row>
    <row r="1722" spans="1:18" ht="15" customHeight="1" x14ac:dyDescent="0.2">
      <c r="A1722" s="249" t="s">
        <v>387</v>
      </c>
      <c r="B1722" s="147" t="s">
        <v>387</v>
      </c>
      <c r="C1722" s="427" t="s">
        <v>799</v>
      </c>
      <c r="D1722" s="427"/>
      <c r="E1722" s="427"/>
      <c r="F1722" s="427"/>
      <c r="G1722" s="427"/>
      <c r="H1722" s="427"/>
    </row>
    <row r="1723" spans="1:18" ht="15" customHeight="1" x14ac:dyDescent="0.2">
      <c r="A1723" s="249" t="s">
        <v>387</v>
      </c>
      <c r="B1723" s="147" t="s">
        <v>387</v>
      </c>
      <c r="C1723" s="430" t="s">
        <v>1</v>
      </c>
      <c r="D1723" s="430" t="s">
        <v>0</v>
      </c>
      <c r="E1723" s="255" t="s">
        <v>56</v>
      </c>
      <c r="F1723" s="255" t="str">
        <f>F7</f>
        <v>REFORMA</v>
      </c>
      <c r="G1723" s="255" t="s">
        <v>56</v>
      </c>
      <c r="H1723" s="432" t="str">
        <f>$H$7</f>
        <v>TOTAL 2024</v>
      </c>
      <c r="I1723" s="153" t="s">
        <v>285</v>
      </c>
      <c r="J1723" s="153"/>
      <c r="K1723" s="153"/>
      <c r="L1723" s="153"/>
      <c r="M1723" s="153"/>
    </row>
    <row r="1724" spans="1:18" ht="15" customHeight="1" x14ac:dyDescent="0.2">
      <c r="A1724" s="249" t="s">
        <v>387</v>
      </c>
      <c r="B1724" s="147" t="s">
        <v>387</v>
      </c>
      <c r="C1724" s="431"/>
      <c r="D1724" s="431"/>
      <c r="E1724" s="255" t="s">
        <v>139</v>
      </c>
      <c r="F1724" s="255"/>
      <c r="G1724" s="255" t="s">
        <v>140</v>
      </c>
      <c r="H1724" s="433"/>
      <c r="I1724" s="153" t="s">
        <v>286</v>
      </c>
      <c r="J1724" s="153" t="s">
        <v>290</v>
      </c>
      <c r="K1724" s="153" t="s">
        <v>291</v>
      </c>
      <c r="L1724" s="153" t="s">
        <v>293</v>
      </c>
      <c r="M1724" s="153" t="s">
        <v>292</v>
      </c>
    </row>
    <row r="1725" spans="1:18" ht="15" customHeight="1" x14ac:dyDescent="0.2">
      <c r="A1725" s="249">
        <v>8</v>
      </c>
      <c r="B1725" s="147">
        <v>56</v>
      </c>
      <c r="C1725" s="61">
        <v>51101</v>
      </c>
      <c r="D1725" s="73" t="s">
        <v>15</v>
      </c>
      <c r="E1725" s="74"/>
      <c r="F1725" s="74"/>
      <c r="G1725" s="272">
        <v>19500</v>
      </c>
      <c r="H1725" s="76">
        <f t="shared" ref="H1725:H1749" si="64">E1725+F1725+G1725</f>
        <v>19500</v>
      </c>
      <c r="I1725" s="73"/>
      <c r="J1725" s="256"/>
      <c r="K1725" s="256"/>
      <c r="L1725" s="256"/>
      <c r="M1725" s="256"/>
      <c r="N1725" s="269" t="s">
        <v>295</v>
      </c>
    </row>
    <row r="1726" spans="1:18" ht="15" customHeight="1" x14ac:dyDescent="0.2">
      <c r="A1726" s="249">
        <v>8</v>
      </c>
      <c r="B1726" s="147">
        <v>56</v>
      </c>
      <c r="C1726" s="61">
        <v>51103</v>
      </c>
      <c r="D1726" s="73" t="s">
        <v>16</v>
      </c>
      <c r="E1726" s="76"/>
      <c r="F1726" s="76"/>
      <c r="G1726" s="272">
        <v>1625</v>
      </c>
      <c r="H1726" s="76">
        <f t="shared" si="64"/>
        <v>1625</v>
      </c>
      <c r="I1726" s="73"/>
      <c r="J1726" s="256"/>
      <c r="K1726" s="256"/>
      <c r="L1726" s="256"/>
      <c r="M1726" s="256"/>
    </row>
    <row r="1727" spans="1:18" ht="15" customHeight="1" x14ac:dyDescent="0.2">
      <c r="A1727" s="249">
        <v>8</v>
      </c>
      <c r="B1727" s="147">
        <v>56</v>
      </c>
      <c r="C1727" s="61">
        <v>51107</v>
      </c>
      <c r="D1727" s="73" t="s">
        <v>34</v>
      </c>
      <c r="E1727" s="76"/>
      <c r="F1727" s="76"/>
      <c r="G1727" s="272">
        <v>600</v>
      </c>
      <c r="H1727" s="76">
        <f t="shared" si="64"/>
        <v>600</v>
      </c>
      <c r="I1727" s="73"/>
      <c r="J1727" s="256"/>
      <c r="K1727" s="256"/>
      <c r="L1727" s="256"/>
      <c r="M1727" s="256"/>
    </row>
    <row r="1728" spans="1:18" ht="15" customHeight="1" x14ac:dyDescent="0.2">
      <c r="A1728" s="249">
        <v>8</v>
      </c>
      <c r="B1728" s="147">
        <v>56</v>
      </c>
      <c r="C1728" s="61">
        <v>51401</v>
      </c>
      <c r="D1728" s="62" t="s">
        <v>47</v>
      </c>
      <c r="E1728" s="74"/>
      <c r="F1728" s="74"/>
      <c r="G1728" s="272">
        <v>1657.5000000000002</v>
      </c>
      <c r="H1728" s="76">
        <f t="shared" si="64"/>
        <v>1657.5000000000002</v>
      </c>
      <c r="I1728" s="73"/>
      <c r="J1728" s="256"/>
      <c r="K1728" s="256"/>
      <c r="L1728" s="256"/>
      <c r="M1728" s="256"/>
      <c r="O1728" s="257"/>
    </row>
    <row r="1729" spans="1:13" ht="15" customHeight="1" x14ac:dyDescent="0.2">
      <c r="A1729" s="249">
        <v>8</v>
      </c>
      <c r="B1729" s="147">
        <v>56</v>
      </c>
      <c r="C1729" s="61">
        <v>51501</v>
      </c>
      <c r="D1729" s="62" t="s">
        <v>29</v>
      </c>
      <c r="E1729" s="74"/>
      <c r="F1729" s="74"/>
      <c r="G1729" s="272">
        <v>1706.25</v>
      </c>
      <c r="H1729" s="76">
        <f t="shared" si="64"/>
        <v>1706.25</v>
      </c>
      <c r="I1729" s="73"/>
      <c r="J1729" s="256"/>
      <c r="K1729" s="256"/>
      <c r="L1729" s="256"/>
      <c r="M1729" s="256"/>
    </row>
    <row r="1730" spans="1:13" ht="15" customHeight="1" x14ac:dyDescent="0.2">
      <c r="A1730" s="249">
        <v>8</v>
      </c>
      <c r="B1730" s="147">
        <v>56</v>
      </c>
      <c r="C1730" s="61">
        <v>54101</v>
      </c>
      <c r="D1730" s="62" t="s">
        <v>38</v>
      </c>
      <c r="E1730" s="74"/>
      <c r="F1730" s="74"/>
      <c r="G1730" s="76">
        <v>0</v>
      </c>
      <c r="H1730" s="76">
        <f t="shared" si="64"/>
        <v>0</v>
      </c>
      <c r="I1730" s="73"/>
      <c r="J1730" s="256"/>
      <c r="K1730" s="256"/>
      <c r="L1730" s="256"/>
      <c r="M1730" s="256"/>
    </row>
    <row r="1731" spans="1:13" ht="15" customHeight="1" x14ac:dyDescent="0.2">
      <c r="A1731" s="249">
        <v>8</v>
      </c>
      <c r="B1731" s="147">
        <v>56</v>
      </c>
      <c r="C1731" s="61">
        <v>54104</v>
      </c>
      <c r="D1731" s="73" t="s">
        <v>17</v>
      </c>
      <c r="E1731" s="74"/>
      <c r="F1731" s="74"/>
      <c r="G1731" s="76">
        <v>500</v>
      </c>
      <c r="H1731" s="76">
        <f t="shared" si="64"/>
        <v>500</v>
      </c>
      <c r="I1731" s="73"/>
      <c r="J1731" s="256"/>
      <c r="K1731" s="256"/>
      <c r="L1731" s="256"/>
      <c r="M1731" s="256"/>
    </row>
    <row r="1732" spans="1:13" ht="15" customHeight="1" x14ac:dyDescent="0.2">
      <c r="A1732" s="249">
        <v>8</v>
      </c>
      <c r="B1732" s="147">
        <v>56</v>
      </c>
      <c r="C1732" s="61">
        <v>54105</v>
      </c>
      <c r="D1732" s="73" t="s">
        <v>131</v>
      </c>
      <c r="E1732" s="74"/>
      <c r="F1732" s="74"/>
      <c r="G1732" s="76">
        <v>400</v>
      </c>
      <c r="H1732" s="76">
        <f t="shared" si="64"/>
        <v>400</v>
      </c>
      <c r="I1732" s="73"/>
      <c r="J1732" s="256"/>
      <c r="K1732" s="256"/>
      <c r="L1732" s="256"/>
      <c r="M1732" s="256"/>
    </row>
    <row r="1733" spans="1:13" ht="15" customHeight="1" x14ac:dyDescent="0.2">
      <c r="A1733" s="249">
        <v>8</v>
      </c>
      <c r="B1733" s="147">
        <v>56</v>
      </c>
      <c r="C1733" s="61">
        <v>54107</v>
      </c>
      <c r="D1733" s="73" t="s">
        <v>43</v>
      </c>
      <c r="E1733" s="74"/>
      <c r="F1733" s="74"/>
      <c r="G1733" s="76">
        <v>2600</v>
      </c>
      <c r="H1733" s="76">
        <f t="shared" si="64"/>
        <v>2600</v>
      </c>
      <c r="I1733" s="73"/>
      <c r="J1733" s="256"/>
      <c r="K1733" s="256"/>
      <c r="L1733" s="256"/>
      <c r="M1733" s="256"/>
    </row>
    <row r="1734" spans="1:13" ht="15" customHeight="1" x14ac:dyDescent="0.2">
      <c r="A1734" s="249">
        <v>8</v>
      </c>
      <c r="B1734" s="147">
        <v>56</v>
      </c>
      <c r="C1734" s="61">
        <v>54108</v>
      </c>
      <c r="D1734" s="62" t="s">
        <v>145</v>
      </c>
      <c r="E1734" s="74"/>
      <c r="F1734" s="74"/>
      <c r="G1734" s="76">
        <v>10000</v>
      </c>
      <c r="H1734" s="76">
        <f t="shared" si="64"/>
        <v>10000</v>
      </c>
      <c r="I1734" s="73"/>
      <c r="J1734" s="256"/>
      <c r="K1734" s="256"/>
      <c r="L1734" s="256"/>
      <c r="M1734" s="256"/>
    </row>
    <row r="1735" spans="1:13" ht="15" customHeight="1" x14ac:dyDescent="0.2">
      <c r="A1735" s="249">
        <v>8</v>
      </c>
      <c r="B1735" s="147">
        <v>56</v>
      </c>
      <c r="C1735" s="61">
        <v>54111</v>
      </c>
      <c r="D1735" s="62" t="s">
        <v>162</v>
      </c>
      <c r="E1735" s="74"/>
      <c r="F1735" s="74"/>
      <c r="G1735" s="76">
        <v>500</v>
      </c>
      <c r="H1735" s="76">
        <f t="shared" si="64"/>
        <v>500</v>
      </c>
      <c r="I1735" s="73"/>
      <c r="J1735" s="256"/>
      <c r="K1735" s="256"/>
      <c r="L1735" s="256"/>
      <c r="M1735" s="256"/>
    </row>
    <row r="1736" spans="1:13" ht="15" customHeight="1" x14ac:dyDescent="0.2">
      <c r="A1736" s="249">
        <v>8</v>
      </c>
      <c r="B1736" s="147">
        <v>56</v>
      </c>
      <c r="C1736" s="61">
        <v>54112</v>
      </c>
      <c r="D1736" s="62" t="s">
        <v>42</v>
      </c>
      <c r="E1736" s="74"/>
      <c r="F1736" s="74"/>
      <c r="G1736" s="76">
        <v>500</v>
      </c>
      <c r="H1736" s="76">
        <f t="shared" si="64"/>
        <v>500</v>
      </c>
      <c r="I1736" s="73"/>
      <c r="J1736" s="256"/>
      <c r="K1736" s="256"/>
      <c r="L1736" s="256"/>
      <c r="M1736" s="256"/>
    </row>
    <row r="1737" spans="1:13" ht="15" customHeight="1" x14ac:dyDescent="0.2">
      <c r="A1737" s="249">
        <v>8</v>
      </c>
      <c r="B1737" s="147">
        <v>56</v>
      </c>
      <c r="C1737" s="61">
        <v>54113</v>
      </c>
      <c r="D1737" s="62" t="s">
        <v>148</v>
      </c>
      <c r="E1737" s="74"/>
      <c r="F1737" s="74"/>
      <c r="G1737" s="76">
        <v>15000</v>
      </c>
      <c r="H1737" s="76">
        <f t="shared" si="64"/>
        <v>15000</v>
      </c>
      <c r="I1737" s="73"/>
      <c r="J1737" s="256"/>
      <c r="K1737" s="256"/>
      <c r="L1737" s="256"/>
      <c r="M1737" s="256"/>
    </row>
    <row r="1738" spans="1:13" ht="15" customHeight="1" x14ac:dyDescent="0.2">
      <c r="A1738" s="249">
        <v>8</v>
      </c>
      <c r="B1738" s="147">
        <v>56</v>
      </c>
      <c r="C1738" s="61">
        <v>54114</v>
      </c>
      <c r="D1738" s="73" t="s">
        <v>5</v>
      </c>
      <c r="E1738" s="74"/>
      <c r="F1738" s="74"/>
      <c r="G1738" s="76">
        <v>650</v>
      </c>
      <c r="H1738" s="76">
        <f t="shared" si="64"/>
        <v>650</v>
      </c>
      <c r="I1738" s="73"/>
      <c r="J1738" s="256"/>
      <c r="K1738" s="256"/>
      <c r="L1738" s="256"/>
      <c r="M1738" s="256"/>
    </row>
    <row r="1739" spans="1:13" ht="15" customHeight="1" x14ac:dyDescent="0.2">
      <c r="A1739" s="249">
        <v>8</v>
      </c>
      <c r="B1739" s="147">
        <v>56</v>
      </c>
      <c r="C1739" s="61">
        <v>54115</v>
      </c>
      <c r="D1739" s="73" t="s">
        <v>49</v>
      </c>
      <c r="E1739" s="74"/>
      <c r="F1739" s="74"/>
      <c r="G1739" s="76">
        <v>1000</v>
      </c>
      <c r="H1739" s="76">
        <f t="shared" si="64"/>
        <v>1000</v>
      </c>
      <c r="I1739" s="73"/>
      <c r="J1739" s="256"/>
      <c r="K1739" s="256"/>
      <c r="L1739" s="256"/>
      <c r="M1739" s="256"/>
    </row>
    <row r="1740" spans="1:13" ht="15" customHeight="1" x14ac:dyDescent="0.2">
      <c r="A1740" s="249">
        <v>8</v>
      </c>
      <c r="B1740" s="147">
        <v>56</v>
      </c>
      <c r="C1740" s="61">
        <v>54118</v>
      </c>
      <c r="D1740" s="73" t="s">
        <v>35</v>
      </c>
      <c r="E1740" s="74"/>
      <c r="F1740" s="74"/>
      <c r="G1740" s="76">
        <v>200</v>
      </c>
      <c r="H1740" s="76">
        <f t="shared" si="64"/>
        <v>200</v>
      </c>
      <c r="I1740" s="73"/>
      <c r="J1740" s="256"/>
      <c r="K1740" s="256"/>
      <c r="L1740" s="256"/>
      <c r="M1740" s="256"/>
    </row>
    <row r="1741" spans="1:13" ht="15" customHeight="1" x14ac:dyDescent="0.2">
      <c r="A1741" s="249">
        <v>8</v>
      </c>
      <c r="B1741" s="147">
        <v>56</v>
      </c>
      <c r="C1741" s="61">
        <v>54119</v>
      </c>
      <c r="D1741" s="73" t="s">
        <v>6</v>
      </c>
      <c r="E1741" s="74"/>
      <c r="F1741" s="74"/>
      <c r="G1741" s="76">
        <v>200</v>
      </c>
      <c r="H1741" s="76">
        <f t="shared" si="64"/>
        <v>200</v>
      </c>
      <c r="I1741" s="73"/>
      <c r="J1741" s="256"/>
      <c r="K1741" s="256"/>
      <c r="L1741" s="256"/>
      <c r="M1741" s="256"/>
    </row>
    <row r="1742" spans="1:13" ht="15" customHeight="1" x14ac:dyDescent="0.2">
      <c r="A1742" s="249">
        <v>8</v>
      </c>
      <c r="B1742" s="147">
        <v>56</v>
      </c>
      <c r="C1742" s="61">
        <v>54301</v>
      </c>
      <c r="D1742" s="62" t="s">
        <v>158</v>
      </c>
      <c r="E1742" s="74"/>
      <c r="F1742" s="74"/>
      <c r="G1742" s="76">
        <v>2400</v>
      </c>
      <c r="H1742" s="76">
        <f t="shared" si="64"/>
        <v>2400</v>
      </c>
      <c r="I1742" s="73"/>
      <c r="J1742" s="256"/>
      <c r="K1742" s="256"/>
      <c r="L1742" s="256"/>
      <c r="M1742" s="256"/>
    </row>
    <row r="1743" spans="1:13" ht="15" customHeight="1" x14ac:dyDescent="0.2">
      <c r="A1743" s="249">
        <v>8</v>
      </c>
      <c r="B1743" s="147">
        <v>56</v>
      </c>
      <c r="C1743" s="61">
        <v>54303</v>
      </c>
      <c r="D1743" s="62" t="s">
        <v>183</v>
      </c>
      <c r="E1743" s="74"/>
      <c r="F1743" s="74"/>
      <c r="G1743" s="76">
        <v>200</v>
      </c>
      <c r="H1743" s="76">
        <f t="shared" si="64"/>
        <v>200</v>
      </c>
      <c r="I1743" s="73"/>
      <c r="J1743" s="256"/>
      <c r="K1743" s="256"/>
      <c r="L1743" s="256"/>
      <c r="M1743" s="256"/>
    </row>
    <row r="1744" spans="1:13" ht="15" customHeight="1" x14ac:dyDescent="0.2">
      <c r="A1744" s="249">
        <v>8</v>
      </c>
      <c r="B1744" s="147">
        <v>56</v>
      </c>
      <c r="C1744" s="61">
        <v>54314</v>
      </c>
      <c r="D1744" s="62" t="s">
        <v>505</v>
      </c>
      <c r="E1744" s="74"/>
      <c r="F1744" s="74"/>
      <c r="G1744" s="76">
        <v>0</v>
      </c>
      <c r="H1744" s="76">
        <f t="shared" si="64"/>
        <v>0</v>
      </c>
      <c r="I1744" s="73"/>
      <c r="J1744" s="256"/>
      <c r="K1744" s="256"/>
      <c r="L1744" s="256"/>
      <c r="M1744" s="256"/>
    </row>
    <row r="1745" spans="1:18" ht="15" customHeight="1" x14ac:dyDescent="0.2">
      <c r="A1745" s="249">
        <v>8</v>
      </c>
      <c r="B1745" s="147">
        <v>56</v>
      </c>
      <c r="C1745" s="61">
        <v>54602</v>
      </c>
      <c r="D1745" s="62" t="s">
        <v>419</v>
      </c>
      <c r="E1745" s="74"/>
      <c r="F1745" s="74"/>
      <c r="G1745" s="76">
        <v>600</v>
      </c>
      <c r="H1745" s="76">
        <f t="shared" si="64"/>
        <v>600</v>
      </c>
      <c r="I1745" s="73"/>
      <c r="J1745" s="256"/>
      <c r="K1745" s="256"/>
      <c r="L1745" s="256"/>
      <c r="M1745" s="256"/>
    </row>
    <row r="1746" spans="1:18" ht="15" customHeight="1" x14ac:dyDescent="0.2">
      <c r="A1746" s="249">
        <v>8</v>
      </c>
      <c r="B1746" s="147">
        <v>56</v>
      </c>
      <c r="C1746" s="61">
        <v>61101</v>
      </c>
      <c r="D1746" s="62" t="s">
        <v>144</v>
      </c>
      <c r="E1746" s="74"/>
      <c r="F1746" s="74"/>
      <c r="G1746" s="76">
        <v>2500</v>
      </c>
      <c r="H1746" s="76">
        <f t="shared" si="64"/>
        <v>2500</v>
      </c>
      <c r="I1746" s="73"/>
      <c r="J1746" s="256"/>
      <c r="K1746" s="256"/>
      <c r="L1746" s="256"/>
      <c r="M1746" s="256"/>
    </row>
    <row r="1747" spans="1:18" ht="15" customHeight="1" x14ac:dyDescent="0.2">
      <c r="A1747" s="249">
        <v>8</v>
      </c>
      <c r="B1747" s="147">
        <v>56</v>
      </c>
      <c r="C1747" s="61">
        <v>61102</v>
      </c>
      <c r="D1747" s="62" t="s">
        <v>28</v>
      </c>
      <c r="E1747" s="74"/>
      <c r="F1747" s="74"/>
      <c r="G1747" s="76">
        <v>5300</v>
      </c>
      <c r="H1747" s="76">
        <f t="shared" si="64"/>
        <v>5300</v>
      </c>
      <c r="I1747" s="73"/>
      <c r="J1747" s="256"/>
      <c r="K1747" s="256"/>
      <c r="L1747" s="256"/>
      <c r="M1747" s="256"/>
      <c r="P1747" s="274"/>
    </row>
    <row r="1748" spans="1:18" ht="15" customHeight="1" x14ac:dyDescent="0.2">
      <c r="A1748" s="249">
        <v>8</v>
      </c>
      <c r="B1748" s="147">
        <v>56</v>
      </c>
      <c r="C1748" s="61">
        <v>61104</v>
      </c>
      <c r="D1748" s="62" t="s">
        <v>46</v>
      </c>
      <c r="E1748" s="74"/>
      <c r="F1748" s="74"/>
      <c r="G1748" s="76">
        <v>1400</v>
      </c>
      <c r="H1748" s="76">
        <f t="shared" si="64"/>
        <v>1400</v>
      </c>
      <c r="I1748" s="73"/>
      <c r="J1748" s="256"/>
      <c r="K1748" s="256"/>
      <c r="L1748" s="256"/>
      <c r="M1748" s="256"/>
    </row>
    <row r="1749" spans="1:18" ht="15" customHeight="1" x14ac:dyDescent="0.2">
      <c r="A1749" s="249">
        <v>8</v>
      </c>
      <c r="B1749" s="147" t="s">
        <v>410</v>
      </c>
      <c r="C1749" s="61"/>
      <c r="D1749" s="61" t="s">
        <v>14</v>
      </c>
      <c r="E1749" s="138">
        <f>SUM(E1725:E1748)</f>
        <v>0</v>
      </c>
      <c r="F1749" s="138">
        <f>SUM(F1725:F1748)</f>
        <v>0</v>
      </c>
      <c r="G1749" s="138">
        <f>SUM(G1725:G1748)</f>
        <v>69038.75</v>
      </c>
      <c r="H1749" s="83">
        <f t="shared" si="64"/>
        <v>69038.75</v>
      </c>
      <c r="I1749" s="73"/>
      <c r="J1749" s="256"/>
      <c r="K1749" s="256"/>
      <c r="L1749" s="256"/>
      <c r="M1749" s="256"/>
      <c r="O1749" s="258"/>
      <c r="P1749" s="259"/>
    </row>
    <row r="1750" spans="1:18" ht="15" customHeight="1" x14ac:dyDescent="0.2">
      <c r="A1750" s="249" t="s">
        <v>387</v>
      </c>
      <c r="B1750" s="147" t="s">
        <v>387</v>
      </c>
      <c r="C1750" s="148"/>
      <c r="D1750" s="148"/>
      <c r="E1750" s="260"/>
      <c r="F1750" s="260"/>
      <c r="G1750" s="261"/>
      <c r="H1750" s="261"/>
      <c r="O1750" s="258"/>
      <c r="P1750" s="259"/>
      <c r="Q1750" s="282"/>
      <c r="R1750" s="259"/>
    </row>
    <row r="1751" spans="1:18" ht="15" customHeight="1" x14ac:dyDescent="0.2">
      <c r="A1751" s="249" t="s">
        <v>387</v>
      </c>
      <c r="B1751" s="147" t="s">
        <v>387</v>
      </c>
      <c r="C1751" s="368"/>
      <c r="D1751" s="368"/>
      <c r="E1751" s="367"/>
      <c r="F1751" s="367"/>
      <c r="G1751" s="366"/>
      <c r="H1751" s="366"/>
      <c r="O1751" s="258"/>
    </row>
    <row r="1752" spans="1:18" ht="15" customHeight="1" x14ac:dyDescent="0.2">
      <c r="A1752" s="249" t="s">
        <v>387</v>
      </c>
      <c r="B1752" s="147" t="s">
        <v>387</v>
      </c>
      <c r="C1752" s="427" t="s">
        <v>119</v>
      </c>
      <c r="D1752" s="427"/>
      <c r="E1752" s="427"/>
      <c r="F1752" s="427"/>
      <c r="G1752" s="427"/>
      <c r="H1752" s="427"/>
    </row>
    <row r="1753" spans="1:18" ht="15" customHeight="1" x14ac:dyDescent="0.2">
      <c r="A1753" s="249" t="s">
        <v>387</v>
      </c>
      <c r="B1753" s="147" t="s">
        <v>387</v>
      </c>
      <c r="C1753" s="428" t="str">
        <f>C3</f>
        <v xml:space="preserve"> PRESUPUESTO AÑO 2024</v>
      </c>
      <c r="D1753" s="428"/>
      <c r="E1753" s="428"/>
      <c r="F1753" s="428"/>
      <c r="G1753" s="428"/>
      <c r="H1753" s="428"/>
    </row>
    <row r="1754" spans="1:18" ht="15" customHeight="1" x14ac:dyDescent="0.2">
      <c r="A1754" s="249" t="s">
        <v>387</v>
      </c>
      <c r="B1754" s="147" t="s">
        <v>387</v>
      </c>
      <c r="C1754" s="428" t="str">
        <f>C4</f>
        <v>PRESUPUESTO EXTRA CONTABLE</v>
      </c>
      <c r="D1754" s="428"/>
      <c r="E1754" s="428"/>
      <c r="F1754" s="428"/>
      <c r="G1754" s="428"/>
      <c r="H1754" s="428"/>
    </row>
    <row r="1755" spans="1:18" ht="15" customHeight="1" x14ac:dyDescent="0.2">
      <c r="A1755" s="249" t="s">
        <v>387</v>
      </c>
      <c r="B1755" s="147" t="s">
        <v>387</v>
      </c>
      <c r="C1755" s="427" t="s">
        <v>117</v>
      </c>
      <c r="D1755" s="427"/>
      <c r="E1755" s="427"/>
      <c r="F1755" s="427"/>
      <c r="G1755" s="427"/>
      <c r="H1755" s="427"/>
    </row>
    <row r="1756" spans="1:18" ht="15" customHeight="1" x14ac:dyDescent="0.2">
      <c r="A1756" s="249" t="s">
        <v>387</v>
      </c>
      <c r="B1756" s="147" t="s">
        <v>387</v>
      </c>
      <c r="C1756" s="427" t="s">
        <v>707</v>
      </c>
      <c r="D1756" s="427"/>
      <c r="E1756" s="427"/>
      <c r="F1756" s="427"/>
      <c r="G1756" s="427"/>
      <c r="H1756" s="427"/>
    </row>
    <row r="1757" spans="1:18" ht="15" customHeight="1" x14ac:dyDescent="0.2">
      <c r="A1757" s="249" t="s">
        <v>387</v>
      </c>
      <c r="B1757" s="147" t="s">
        <v>387</v>
      </c>
      <c r="C1757" s="430" t="s">
        <v>1</v>
      </c>
      <c r="D1757" s="430" t="s">
        <v>0</v>
      </c>
      <c r="E1757" s="255" t="s">
        <v>56</v>
      </c>
      <c r="F1757" s="255" t="str">
        <f>F7</f>
        <v>REFORMA</v>
      </c>
      <c r="G1757" s="255" t="s">
        <v>56</v>
      </c>
      <c r="H1757" s="432" t="str">
        <f>$H$7</f>
        <v>TOTAL 2024</v>
      </c>
      <c r="I1757" s="153" t="s">
        <v>285</v>
      </c>
      <c r="J1757" s="153"/>
      <c r="K1757" s="153"/>
      <c r="L1757" s="153"/>
      <c r="M1757" s="153"/>
      <c r="N1757" s="269" t="s">
        <v>295</v>
      </c>
    </row>
    <row r="1758" spans="1:18" ht="15" customHeight="1" x14ac:dyDescent="0.2">
      <c r="A1758" s="249" t="s">
        <v>387</v>
      </c>
      <c r="B1758" s="147" t="s">
        <v>387</v>
      </c>
      <c r="C1758" s="431"/>
      <c r="D1758" s="431"/>
      <c r="E1758" s="255" t="s">
        <v>139</v>
      </c>
      <c r="F1758" s="255"/>
      <c r="G1758" s="255" t="s">
        <v>140</v>
      </c>
      <c r="H1758" s="433"/>
      <c r="I1758" s="153" t="s">
        <v>286</v>
      </c>
      <c r="J1758" s="153" t="s">
        <v>290</v>
      </c>
      <c r="K1758" s="153" t="s">
        <v>291</v>
      </c>
      <c r="L1758" s="153" t="s">
        <v>293</v>
      </c>
      <c r="M1758" s="153" t="s">
        <v>292</v>
      </c>
    </row>
    <row r="1759" spans="1:18" ht="15" customHeight="1" x14ac:dyDescent="0.2">
      <c r="A1759" s="249">
        <v>6</v>
      </c>
      <c r="B1759" s="147" t="s">
        <v>574</v>
      </c>
      <c r="C1759" s="61">
        <v>51101</v>
      </c>
      <c r="D1759" s="73" t="s">
        <v>15</v>
      </c>
      <c r="E1759" s="74"/>
      <c r="F1759" s="74"/>
      <c r="G1759" s="272">
        <v>19200</v>
      </c>
      <c r="H1759" s="76">
        <f t="shared" ref="H1759:H1780" si="65">E1759+F1759+G1759</f>
        <v>19200</v>
      </c>
      <c r="I1759" s="256"/>
      <c r="J1759" s="256"/>
      <c r="K1759" s="256"/>
      <c r="L1759" s="256"/>
      <c r="M1759" s="256"/>
    </row>
    <row r="1760" spans="1:18" ht="15" customHeight="1" x14ac:dyDescent="0.2">
      <c r="A1760" s="249">
        <v>6</v>
      </c>
      <c r="B1760" s="147" t="s">
        <v>574</v>
      </c>
      <c r="C1760" s="61">
        <v>51103</v>
      </c>
      <c r="D1760" s="73" t="s">
        <v>16</v>
      </c>
      <c r="E1760" s="74"/>
      <c r="F1760" s="74"/>
      <c r="G1760" s="272">
        <v>1600</v>
      </c>
      <c r="H1760" s="76">
        <f t="shared" si="65"/>
        <v>1600</v>
      </c>
      <c r="I1760" s="256"/>
      <c r="J1760" s="256"/>
      <c r="K1760" s="256"/>
      <c r="L1760" s="256"/>
      <c r="M1760" s="256"/>
    </row>
    <row r="1761" spans="1:15" ht="15" customHeight="1" x14ac:dyDescent="0.2">
      <c r="A1761" s="249">
        <v>6</v>
      </c>
      <c r="B1761" s="147" t="s">
        <v>574</v>
      </c>
      <c r="C1761" s="61">
        <v>51107</v>
      </c>
      <c r="D1761" s="73" t="s">
        <v>34</v>
      </c>
      <c r="E1761" s="74"/>
      <c r="F1761" s="74"/>
      <c r="G1761" s="272">
        <v>400</v>
      </c>
      <c r="H1761" s="76">
        <f t="shared" si="65"/>
        <v>400</v>
      </c>
      <c r="I1761" s="256"/>
      <c r="J1761" s="256"/>
      <c r="K1761" s="256"/>
      <c r="L1761" s="256"/>
      <c r="M1761" s="256"/>
    </row>
    <row r="1762" spans="1:15" ht="15" customHeight="1" x14ac:dyDescent="0.2">
      <c r="A1762" s="249">
        <v>6</v>
      </c>
      <c r="B1762" s="147" t="s">
        <v>574</v>
      </c>
      <c r="C1762" s="61">
        <v>51401</v>
      </c>
      <c r="D1762" s="62" t="s">
        <v>47</v>
      </c>
      <c r="E1762" s="74"/>
      <c r="F1762" s="74"/>
      <c r="G1762" s="272">
        <v>1632.0000000000002</v>
      </c>
      <c r="H1762" s="76">
        <f t="shared" si="65"/>
        <v>1632.0000000000002</v>
      </c>
      <c r="I1762" s="256"/>
      <c r="J1762" s="256"/>
      <c r="K1762" s="256"/>
      <c r="L1762" s="256"/>
      <c r="M1762" s="256"/>
      <c r="O1762" s="257"/>
    </row>
    <row r="1763" spans="1:15" ht="15" customHeight="1" x14ac:dyDescent="0.2">
      <c r="A1763" s="249">
        <v>6</v>
      </c>
      <c r="B1763" s="147" t="s">
        <v>574</v>
      </c>
      <c r="C1763" s="61">
        <v>51501</v>
      </c>
      <c r="D1763" s="62" t="s">
        <v>29</v>
      </c>
      <c r="E1763" s="74"/>
      <c r="F1763" s="74"/>
      <c r="G1763" s="272">
        <v>1680</v>
      </c>
      <c r="H1763" s="76">
        <f t="shared" si="65"/>
        <v>1680</v>
      </c>
      <c r="I1763" s="256"/>
      <c r="J1763" s="256"/>
      <c r="K1763" s="256"/>
      <c r="L1763" s="256"/>
      <c r="M1763" s="256"/>
    </row>
    <row r="1764" spans="1:15" ht="15" customHeight="1" x14ac:dyDescent="0.2">
      <c r="A1764" s="249">
        <v>6</v>
      </c>
      <c r="B1764" s="147" t="s">
        <v>574</v>
      </c>
      <c r="C1764" s="61">
        <v>51901</v>
      </c>
      <c r="D1764" s="62" t="s">
        <v>330</v>
      </c>
      <c r="E1764" s="74"/>
      <c r="F1764" s="74"/>
      <c r="G1764" s="76">
        <v>7200</v>
      </c>
      <c r="H1764" s="76">
        <f t="shared" si="65"/>
        <v>7200</v>
      </c>
      <c r="I1764" s="256"/>
      <c r="J1764" s="256"/>
      <c r="K1764" s="256"/>
      <c r="L1764" s="256"/>
      <c r="M1764" s="256"/>
    </row>
    <row r="1765" spans="1:15" ht="15" customHeight="1" x14ac:dyDescent="0.2">
      <c r="A1765" s="249">
        <v>6</v>
      </c>
      <c r="B1765" s="147" t="s">
        <v>574</v>
      </c>
      <c r="C1765" s="61">
        <v>54101</v>
      </c>
      <c r="D1765" s="62" t="s">
        <v>38</v>
      </c>
      <c r="E1765" s="74"/>
      <c r="F1765" s="74"/>
      <c r="G1765" s="76">
        <v>0</v>
      </c>
      <c r="H1765" s="76">
        <f t="shared" si="65"/>
        <v>0</v>
      </c>
      <c r="I1765" s="256"/>
      <c r="J1765" s="256"/>
      <c r="K1765" s="256"/>
      <c r="L1765" s="256"/>
      <c r="M1765" s="256"/>
    </row>
    <row r="1766" spans="1:15" ht="15" customHeight="1" x14ac:dyDescent="0.2">
      <c r="A1766" s="249">
        <v>6</v>
      </c>
      <c r="B1766" s="147" t="s">
        <v>574</v>
      </c>
      <c r="C1766" s="61">
        <v>54103</v>
      </c>
      <c r="D1766" s="73" t="s">
        <v>41</v>
      </c>
      <c r="E1766" s="74"/>
      <c r="F1766" s="74"/>
      <c r="G1766" s="76">
        <v>0</v>
      </c>
      <c r="H1766" s="76">
        <f t="shared" si="65"/>
        <v>0</v>
      </c>
      <c r="I1766" s="256"/>
      <c r="J1766" s="256"/>
      <c r="K1766" s="256"/>
      <c r="L1766" s="256"/>
      <c r="M1766" s="256"/>
    </row>
    <row r="1767" spans="1:15" ht="15" customHeight="1" x14ac:dyDescent="0.2">
      <c r="A1767" s="249">
        <v>6</v>
      </c>
      <c r="B1767" s="147" t="s">
        <v>574</v>
      </c>
      <c r="C1767" s="61">
        <v>54104</v>
      </c>
      <c r="D1767" s="73" t="s">
        <v>17</v>
      </c>
      <c r="E1767" s="74"/>
      <c r="F1767" s="74"/>
      <c r="G1767" s="76">
        <v>100</v>
      </c>
      <c r="H1767" s="76">
        <f t="shared" si="65"/>
        <v>100</v>
      </c>
      <c r="I1767" s="256"/>
      <c r="J1767" s="256"/>
      <c r="K1767" s="256"/>
      <c r="L1767" s="256"/>
      <c r="M1767" s="256"/>
    </row>
    <row r="1768" spans="1:15" ht="15" customHeight="1" x14ac:dyDescent="0.2">
      <c r="A1768" s="249">
        <v>6</v>
      </c>
      <c r="B1768" s="147" t="s">
        <v>574</v>
      </c>
      <c r="C1768" s="61">
        <v>54105</v>
      </c>
      <c r="D1768" s="73" t="s">
        <v>3</v>
      </c>
      <c r="E1768" s="74"/>
      <c r="F1768" s="74"/>
      <c r="G1768" s="262">
        <v>300</v>
      </c>
      <c r="H1768" s="76">
        <f t="shared" si="65"/>
        <v>300</v>
      </c>
      <c r="I1768" s="256"/>
      <c r="J1768" s="256"/>
      <c r="K1768" s="256"/>
      <c r="L1768" s="256"/>
      <c r="M1768" s="256"/>
    </row>
    <row r="1769" spans="1:15" ht="15" customHeight="1" x14ac:dyDescent="0.2">
      <c r="A1769" s="249">
        <v>6</v>
      </c>
      <c r="B1769" s="147" t="s">
        <v>574</v>
      </c>
      <c r="C1769" s="61">
        <v>54106</v>
      </c>
      <c r="D1769" s="73" t="s">
        <v>18</v>
      </c>
      <c r="E1769" s="74"/>
      <c r="F1769" s="74"/>
      <c r="G1769" s="76">
        <v>0</v>
      </c>
      <c r="H1769" s="76">
        <f t="shared" si="65"/>
        <v>0</v>
      </c>
      <c r="I1769" s="256"/>
      <c r="J1769" s="256"/>
      <c r="K1769" s="256"/>
      <c r="L1769" s="256"/>
      <c r="M1769" s="256"/>
    </row>
    <row r="1770" spans="1:15" ht="15" customHeight="1" x14ac:dyDescent="0.2">
      <c r="A1770" s="249">
        <v>6</v>
      </c>
      <c r="B1770" s="147" t="s">
        <v>574</v>
      </c>
      <c r="C1770" s="61">
        <v>54107</v>
      </c>
      <c r="D1770" s="73" t="s">
        <v>507</v>
      </c>
      <c r="E1770" s="74"/>
      <c r="F1770" s="74"/>
      <c r="G1770" s="76">
        <v>0</v>
      </c>
      <c r="H1770" s="76">
        <f t="shared" si="65"/>
        <v>0</v>
      </c>
      <c r="I1770" s="256"/>
      <c r="J1770" s="256"/>
      <c r="K1770" s="256"/>
      <c r="L1770" s="256"/>
      <c r="M1770" s="256"/>
    </row>
    <row r="1771" spans="1:15" ht="15" customHeight="1" x14ac:dyDescent="0.2">
      <c r="A1771" s="249">
        <v>6</v>
      </c>
      <c r="B1771" s="147" t="s">
        <v>574</v>
      </c>
      <c r="C1771" s="61">
        <v>54114</v>
      </c>
      <c r="D1771" s="73" t="s">
        <v>5</v>
      </c>
      <c r="E1771" s="74"/>
      <c r="F1771" s="74"/>
      <c r="G1771" s="76">
        <v>300</v>
      </c>
      <c r="H1771" s="76">
        <f t="shared" si="65"/>
        <v>300</v>
      </c>
      <c r="I1771" s="256"/>
      <c r="J1771" s="256"/>
      <c r="K1771" s="256"/>
      <c r="L1771" s="256"/>
      <c r="M1771" s="256"/>
    </row>
    <row r="1772" spans="1:15" ht="15" customHeight="1" x14ac:dyDescent="0.2">
      <c r="A1772" s="249">
        <v>6</v>
      </c>
      <c r="B1772" s="147" t="s">
        <v>574</v>
      </c>
      <c r="C1772" s="61">
        <v>54115</v>
      </c>
      <c r="D1772" s="73" t="s">
        <v>49</v>
      </c>
      <c r="E1772" s="74"/>
      <c r="F1772" s="74"/>
      <c r="G1772" s="76">
        <v>350</v>
      </c>
      <c r="H1772" s="76">
        <f t="shared" si="65"/>
        <v>350</v>
      </c>
      <c r="I1772" s="256"/>
      <c r="J1772" s="256"/>
      <c r="K1772" s="256"/>
      <c r="L1772" s="256"/>
      <c r="M1772" s="256"/>
    </row>
    <row r="1773" spans="1:15" ht="15" customHeight="1" x14ac:dyDescent="0.2">
      <c r="A1773" s="249">
        <v>6</v>
      </c>
      <c r="B1773" s="147" t="s">
        <v>574</v>
      </c>
      <c r="C1773" s="61">
        <v>54116</v>
      </c>
      <c r="D1773" s="62" t="s">
        <v>155</v>
      </c>
      <c r="E1773" s="74"/>
      <c r="F1773" s="74"/>
      <c r="G1773" s="76">
        <v>0</v>
      </c>
      <c r="H1773" s="76">
        <f t="shared" si="65"/>
        <v>0</v>
      </c>
      <c r="I1773" s="256"/>
      <c r="J1773" s="256"/>
      <c r="K1773" s="256"/>
      <c r="L1773" s="256"/>
      <c r="M1773" s="256"/>
    </row>
    <row r="1774" spans="1:15" ht="15" customHeight="1" x14ac:dyDescent="0.2">
      <c r="A1774" s="249">
        <v>6</v>
      </c>
      <c r="B1774" s="147" t="s">
        <v>574</v>
      </c>
      <c r="C1774" s="61">
        <v>54119</v>
      </c>
      <c r="D1774" s="62" t="s">
        <v>44</v>
      </c>
      <c r="E1774" s="74"/>
      <c r="F1774" s="74"/>
      <c r="G1774" s="76">
        <v>50</v>
      </c>
      <c r="H1774" s="76">
        <f t="shared" si="65"/>
        <v>50</v>
      </c>
      <c r="I1774" s="256"/>
      <c r="J1774" s="256"/>
      <c r="K1774" s="256"/>
      <c r="L1774" s="256"/>
      <c r="M1774" s="256"/>
    </row>
    <row r="1775" spans="1:15" ht="15" customHeight="1" x14ac:dyDescent="0.2">
      <c r="A1775" s="249">
        <v>6</v>
      </c>
      <c r="B1775" s="147" t="s">
        <v>574</v>
      </c>
      <c r="C1775" s="61">
        <v>54199</v>
      </c>
      <c r="D1775" s="73" t="s">
        <v>26</v>
      </c>
      <c r="E1775" s="74"/>
      <c r="F1775" s="74"/>
      <c r="G1775" s="76">
        <v>50</v>
      </c>
      <c r="H1775" s="76">
        <f t="shared" si="65"/>
        <v>50</v>
      </c>
      <c r="I1775" s="256"/>
      <c r="J1775" s="256"/>
      <c r="K1775" s="256"/>
      <c r="L1775" s="256"/>
      <c r="M1775" s="256"/>
    </row>
    <row r="1776" spans="1:15" ht="15" customHeight="1" x14ac:dyDescent="0.2">
      <c r="A1776" s="249">
        <v>6</v>
      </c>
      <c r="B1776" s="147" t="s">
        <v>574</v>
      </c>
      <c r="C1776" s="61">
        <v>54201</v>
      </c>
      <c r="D1776" s="73" t="s">
        <v>187</v>
      </c>
      <c r="E1776" s="74"/>
      <c r="F1776" s="74"/>
      <c r="G1776" s="76">
        <v>0</v>
      </c>
      <c r="H1776" s="76">
        <f t="shared" si="65"/>
        <v>0</v>
      </c>
      <c r="I1776" s="256"/>
      <c r="J1776" s="256"/>
      <c r="K1776" s="256"/>
      <c r="L1776" s="256"/>
      <c r="M1776" s="256"/>
    </row>
    <row r="1777" spans="1:18" ht="15" customHeight="1" x14ac:dyDescent="0.2">
      <c r="A1777" s="249">
        <v>6</v>
      </c>
      <c r="B1777" s="147" t="s">
        <v>574</v>
      </c>
      <c r="C1777" s="61">
        <v>54202</v>
      </c>
      <c r="D1777" s="73" t="s">
        <v>27</v>
      </c>
      <c r="E1777" s="74"/>
      <c r="F1777" s="74"/>
      <c r="G1777" s="76">
        <v>0</v>
      </c>
      <c r="H1777" s="76">
        <f t="shared" si="65"/>
        <v>0</v>
      </c>
      <c r="I1777" s="256"/>
      <c r="J1777" s="256"/>
      <c r="K1777" s="256"/>
      <c r="L1777" s="256"/>
      <c r="M1777" s="256"/>
    </row>
    <row r="1778" spans="1:18" ht="15" customHeight="1" x14ac:dyDescent="0.2">
      <c r="A1778" s="249">
        <v>6</v>
      </c>
      <c r="B1778" s="147" t="s">
        <v>574</v>
      </c>
      <c r="C1778" s="61">
        <v>54203</v>
      </c>
      <c r="D1778" s="73" t="s">
        <v>7</v>
      </c>
      <c r="E1778" s="74"/>
      <c r="F1778" s="74"/>
      <c r="G1778" s="76">
        <v>0</v>
      </c>
      <c r="H1778" s="76">
        <f t="shared" si="65"/>
        <v>0</v>
      </c>
      <c r="I1778" s="256"/>
      <c r="J1778" s="256"/>
      <c r="K1778" s="256"/>
      <c r="L1778" s="256"/>
      <c r="M1778" s="256"/>
    </row>
    <row r="1779" spans="1:18" ht="15" customHeight="1" x14ac:dyDescent="0.2">
      <c r="A1779" s="249">
        <v>6</v>
      </c>
      <c r="B1779" s="147" t="s">
        <v>574</v>
      </c>
      <c r="C1779" s="61">
        <v>54301</v>
      </c>
      <c r="D1779" s="62" t="s">
        <v>158</v>
      </c>
      <c r="E1779" s="74"/>
      <c r="F1779" s="74"/>
      <c r="G1779" s="76">
        <v>200</v>
      </c>
      <c r="H1779" s="76">
        <f t="shared" si="65"/>
        <v>200</v>
      </c>
      <c r="I1779" s="256"/>
      <c r="J1779" s="256"/>
      <c r="K1779" s="256"/>
      <c r="L1779" s="256"/>
      <c r="M1779" s="256"/>
    </row>
    <row r="1780" spans="1:18" ht="15" customHeight="1" x14ac:dyDescent="0.2">
      <c r="A1780" s="249">
        <v>6</v>
      </c>
      <c r="B1780" s="147" t="s">
        <v>574</v>
      </c>
      <c r="C1780" s="61">
        <v>54303</v>
      </c>
      <c r="D1780" s="62" t="s">
        <v>183</v>
      </c>
      <c r="E1780" s="74"/>
      <c r="F1780" s="74"/>
      <c r="G1780" s="76">
        <v>200</v>
      </c>
      <c r="H1780" s="76">
        <f t="shared" si="65"/>
        <v>200</v>
      </c>
      <c r="I1780" s="256"/>
      <c r="J1780" s="256"/>
      <c r="K1780" s="256"/>
      <c r="L1780" s="256"/>
      <c r="M1780" s="256"/>
    </row>
    <row r="1781" spans="1:18" ht="15" customHeight="1" x14ac:dyDescent="0.2">
      <c r="A1781" s="249">
        <v>6</v>
      </c>
      <c r="B1781" s="147" t="s">
        <v>574</v>
      </c>
      <c r="C1781" s="61">
        <v>54310</v>
      </c>
      <c r="D1781" s="62" t="s">
        <v>556</v>
      </c>
      <c r="E1781" s="74"/>
      <c r="F1781" s="74"/>
      <c r="G1781" s="76">
        <v>0</v>
      </c>
      <c r="H1781" s="76"/>
      <c r="I1781" s="256"/>
      <c r="J1781" s="256"/>
      <c r="K1781" s="256"/>
      <c r="L1781" s="256"/>
      <c r="M1781" s="256"/>
    </row>
    <row r="1782" spans="1:18" ht="15" customHeight="1" x14ac:dyDescent="0.2">
      <c r="A1782" s="249">
        <v>6</v>
      </c>
      <c r="B1782" s="147" t="s">
        <v>574</v>
      </c>
      <c r="C1782" s="61">
        <v>54313</v>
      </c>
      <c r="D1782" s="62" t="s">
        <v>11</v>
      </c>
      <c r="E1782" s="74"/>
      <c r="F1782" s="74"/>
      <c r="G1782" s="76">
        <v>200</v>
      </c>
      <c r="H1782" s="76">
        <f t="shared" ref="H1782:H1791" si="66">E1782+F1782+G1782</f>
        <v>200</v>
      </c>
      <c r="I1782" s="256"/>
      <c r="J1782" s="256"/>
      <c r="K1782" s="256"/>
      <c r="L1782" s="256"/>
      <c r="M1782" s="256"/>
    </row>
    <row r="1783" spans="1:18" ht="15" customHeight="1" x14ac:dyDescent="0.2">
      <c r="A1783" s="249">
        <v>6</v>
      </c>
      <c r="B1783" s="147" t="s">
        <v>574</v>
      </c>
      <c r="C1783" s="61">
        <v>54314</v>
      </c>
      <c r="D1783" s="62" t="s">
        <v>12</v>
      </c>
      <c r="E1783" s="74"/>
      <c r="F1783" s="74"/>
      <c r="G1783" s="76">
        <v>0</v>
      </c>
      <c r="H1783" s="76">
        <f t="shared" si="66"/>
        <v>0</v>
      </c>
      <c r="I1783" s="256"/>
      <c r="J1783" s="256"/>
      <c r="K1783" s="256"/>
      <c r="L1783" s="256"/>
      <c r="M1783" s="256"/>
    </row>
    <row r="1784" spans="1:18" ht="15" customHeight="1" x14ac:dyDescent="0.2">
      <c r="A1784" s="249">
        <v>6</v>
      </c>
      <c r="B1784" s="147" t="s">
        <v>574</v>
      </c>
      <c r="C1784" s="61">
        <v>54317</v>
      </c>
      <c r="D1784" s="73" t="s">
        <v>189</v>
      </c>
      <c r="E1784" s="74"/>
      <c r="F1784" s="74"/>
      <c r="G1784" s="76">
        <v>0</v>
      </c>
      <c r="H1784" s="76">
        <f t="shared" si="66"/>
        <v>0</v>
      </c>
      <c r="I1784" s="256"/>
      <c r="J1784" s="256"/>
      <c r="K1784" s="256"/>
      <c r="L1784" s="256"/>
      <c r="M1784" s="256"/>
    </row>
    <row r="1785" spans="1:18" ht="15" customHeight="1" x14ac:dyDescent="0.2">
      <c r="A1785" s="249">
        <v>6</v>
      </c>
      <c r="B1785" s="147" t="s">
        <v>574</v>
      </c>
      <c r="C1785" s="61">
        <v>54401</v>
      </c>
      <c r="D1785" s="62" t="s">
        <v>143</v>
      </c>
      <c r="E1785" s="74"/>
      <c r="F1785" s="74"/>
      <c r="G1785" s="76">
        <v>500</v>
      </c>
      <c r="H1785" s="76">
        <f t="shared" si="66"/>
        <v>500</v>
      </c>
      <c r="I1785" s="256"/>
      <c r="J1785" s="256"/>
      <c r="K1785" s="256"/>
      <c r="L1785" s="256"/>
      <c r="M1785" s="256"/>
    </row>
    <row r="1786" spans="1:18" ht="15" customHeight="1" x14ac:dyDescent="0.2">
      <c r="A1786" s="249">
        <v>6</v>
      </c>
      <c r="B1786" s="147" t="s">
        <v>574</v>
      </c>
      <c r="C1786" s="61">
        <v>54505</v>
      </c>
      <c r="D1786" s="62" t="s">
        <v>40</v>
      </c>
      <c r="E1786" s="74"/>
      <c r="F1786" s="74"/>
      <c r="G1786" s="76">
        <v>0</v>
      </c>
      <c r="H1786" s="76">
        <f t="shared" si="66"/>
        <v>0</v>
      </c>
      <c r="I1786" s="256"/>
      <c r="J1786" s="256"/>
      <c r="K1786" s="256"/>
      <c r="L1786" s="256"/>
      <c r="M1786" s="256"/>
    </row>
    <row r="1787" spans="1:18" ht="15" customHeight="1" x14ac:dyDescent="0.2">
      <c r="A1787" s="249">
        <v>6</v>
      </c>
      <c r="B1787" s="147" t="s">
        <v>574</v>
      </c>
      <c r="C1787" s="61">
        <v>61101</v>
      </c>
      <c r="D1787" s="62" t="s">
        <v>144</v>
      </c>
      <c r="E1787" s="74"/>
      <c r="F1787" s="74"/>
      <c r="G1787" s="76">
        <v>100</v>
      </c>
      <c r="H1787" s="76">
        <f t="shared" si="66"/>
        <v>100</v>
      </c>
      <c r="I1787" s="256"/>
      <c r="J1787" s="256"/>
      <c r="K1787" s="256"/>
      <c r="L1787" s="256"/>
      <c r="M1787" s="256"/>
    </row>
    <row r="1788" spans="1:18" ht="15" customHeight="1" x14ac:dyDescent="0.2">
      <c r="A1788" s="249">
        <v>6</v>
      </c>
      <c r="B1788" s="147" t="s">
        <v>574</v>
      </c>
      <c r="C1788" s="61">
        <v>61102</v>
      </c>
      <c r="D1788" s="62" t="s">
        <v>28</v>
      </c>
      <c r="E1788" s="74"/>
      <c r="F1788" s="74"/>
      <c r="G1788" s="76">
        <v>300</v>
      </c>
      <c r="H1788" s="76">
        <f t="shared" si="66"/>
        <v>300</v>
      </c>
      <c r="I1788" s="256"/>
      <c r="J1788" s="256"/>
      <c r="K1788" s="256"/>
      <c r="L1788" s="256"/>
      <c r="M1788" s="256"/>
    </row>
    <row r="1789" spans="1:18" ht="15" customHeight="1" x14ac:dyDescent="0.2">
      <c r="A1789" s="249">
        <v>6</v>
      </c>
      <c r="B1789" s="147" t="s">
        <v>574</v>
      </c>
      <c r="C1789" s="61">
        <v>61104</v>
      </c>
      <c r="D1789" s="62" t="s">
        <v>46</v>
      </c>
      <c r="E1789" s="74"/>
      <c r="F1789" s="74"/>
      <c r="G1789" s="76">
        <v>600</v>
      </c>
      <c r="H1789" s="76">
        <f t="shared" si="66"/>
        <v>600</v>
      </c>
      <c r="I1789" s="256"/>
      <c r="J1789" s="256"/>
      <c r="K1789" s="256"/>
      <c r="L1789" s="256"/>
      <c r="M1789" s="256"/>
    </row>
    <row r="1790" spans="1:18" ht="15" customHeight="1" x14ac:dyDescent="0.2">
      <c r="A1790" s="249">
        <v>6</v>
      </c>
      <c r="B1790" s="147" t="s">
        <v>574</v>
      </c>
      <c r="C1790" s="61">
        <v>61199</v>
      </c>
      <c r="D1790" s="62" t="s">
        <v>135</v>
      </c>
      <c r="E1790" s="74"/>
      <c r="F1790" s="74"/>
      <c r="G1790" s="76">
        <v>0</v>
      </c>
      <c r="H1790" s="76">
        <f t="shared" si="66"/>
        <v>0</v>
      </c>
      <c r="I1790" s="256"/>
      <c r="J1790" s="256"/>
      <c r="K1790" s="256"/>
      <c r="L1790" s="256"/>
      <c r="M1790" s="256"/>
    </row>
    <row r="1791" spans="1:18" ht="15" customHeight="1" x14ac:dyDescent="0.2">
      <c r="A1791" s="249">
        <v>6</v>
      </c>
      <c r="B1791" s="147" t="s">
        <v>575</v>
      </c>
      <c r="C1791" s="61"/>
      <c r="D1791" s="61" t="s">
        <v>14</v>
      </c>
      <c r="E1791" s="138">
        <f>SUM(E1759:E1787)</f>
        <v>0</v>
      </c>
      <c r="F1791" s="138">
        <f>SUM(F1759:F1787)</f>
        <v>0</v>
      </c>
      <c r="G1791" s="138">
        <f>SUM(G1759:G1790)</f>
        <v>34962</v>
      </c>
      <c r="H1791" s="83">
        <f t="shared" si="66"/>
        <v>34962</v>
      </c>
      <c r="I1791" s="73"/>
      <c r="J1791" s="73"/>
      <c r="K1791" s="73"/>
      <c r="L1791" s="73"/>
      <c r="M1791" s="73"/>
      <c r="O1791" s="258"/>
      <c r="P1791" s="259"/>
    </row>
    <row r="1792" spans="1:18" ht="15" customHeight="1" x14ac:dyDescent="0.2">
      <c r="A1792" s="249" t="s">
        <v>387</v>
      </c>
      <c r="B1792" s="147" t="s">
        <v>387</v>
      </c>
      <c r="C1792" s="148"/>
      <c r="D1792" s="148"/>
      <c r="E1792" s="260"/>
      <c r="F1792" s="260"/>
      <c r="G1792" s="261"/>
      <c r="H1792" s="261"/>
      <c r="O1792" s="258"/>
      <c r="P1792" s="259"/>
      <c r="Q1792" s="147" t="s">
        <v>590</v>
      </c>
      <c r="R1792" s="259">
        <f>+H1791-P1792</f>
        <v>34962</v>
      </c>
    </row>
    <row r="1793" spans="1:15" ht="15" customHeight="1" x14ac:dyDescent="0.2">
      <c r="A1793" s="249" t="s">
        <v>387</v>
      </c>
      <c r="B1793" s="147" t="s">
        <v>387</v>
      </c>
      <c r="C1793" s="148"/>
      <c r="D1793" s="148"/>
      <c r="E1793" s="260"/>
      <c r="F1793" s="260"/>
      <c r="G1793" s="261"/>
      <c r="H1793" s="261"/>
    </row>
    <row r="1794" spans="1:15" ht="15" customHeight="1" x14ac:dyDescent="0.2">
      <c r="A1794" s="249" t="s">
        <v>387</v>
      </c>
      <c r="B1794" s="147" t="s">
        <v>387</v>
      </c>
      <c r="C1794" s="368"/>
      <c r="D1794" s="368"/>
      <c r="E1794" s="367"/>
      <c r="F1794" s="367"/>
      <c r="G1794" s="366"/>
      <c r="H1794" s="366"/>
    </row>
    <row r="1795" spans="1:15" ht="15" customHeight="1" x14ac:dyDescent="0.2">
      <c r="A1795" s="249" t="s">
        <v>387</v>
      </c>
      <c r="B1795" s="147" t="s">
        <v>387</v>
      </c>
      <c r="C1795" s="427" t="s">
        <v>119</v>
      </c>
      <c r="D1795" s="427"/>
      <c r="E1795" s="427"/>
      <c r="F1795" s="427"/>
      <c r="G1795" s="427"/>
      <c r="H1795" s="427"/>
    </row>
    <row r="1796" spans="1:15" ht="15" customHeight="1" x14ac:dyDescent="0.2">
      <c r="A1796" s="249" t="s">
        <v>387</v>
      </c>
      <c r="B1796" s="147" t="s">
        <v>387</v>
      </c>
      <c r="C1796" s="428" t="str">
        <f>C3</f>
        <v xml:space="preserve"> PRESUPUESTO AÑO 2024</v>
      </c>
      <c r="D1796" s="428"/>
      <c r="E1796" s="428"/>
      <c r="F1796" s="428"/>
      <c r="G1796" s="428"/>
      <c r="H1796" s="428"/>
    </row>
    <row r="1797" spans="1:15" ht="15" customHeight="1" x14ac:dyDescent="0.2">
      <c r="A1797" s="249" t="s">
        <v>387</v>
      </c>
      <c r="B1797" s="147" t="s">
        <v>387</v>
      </c>
      <c r="C1797" s="428" t="str">
        <f>C4</f>
        <v>PRESUPUESTO EXTRA CONTABLE</v>
      </c>
      <c r="D1797" s="428"/>
      <c r="E1797" s="428"/>
      <c r="F1797" s="428"/>
      <c r="G1797" s="428"/>
      <c r="H1797" s="428"/>
    </row>
    <row r="1798" spans="1:15" ht="15" customHeight="1" x14ac:dyDescent="0.2">
      <c r="A1798" s="249" t="s">
        <v>387</v>
      </c>
      <c r="B1798" s="147" t="s">
        <v>387</v>
      </c>
      <c r="C1798" s="427" t="s">
        <v>117</v>
      </c>
      <c r="D1798" s="427"/>
      <c r="E1798" s="427"/>
      <c r="F1798" s="427"/>
      <c r="G1798" s="427"/>
      <c r="H1798" s="427"/>
    </row>
    <row r="1799" spans="1:15" ht="15" customHeight="1" x14ac:dyDescent="0.2">
      <c r="A1799" s="249" t="s">
        <v>387</v>
      </c>
      <c r="B1799" s="147" t="s">
        <v>387</v>
      </c>
      <c r="C1799" s="427" t="s">
        <v>771</v>
      </c>
      <c r="D1799" s="427"/>
      <c r="E1799" s="427"/>
      <c r="F1799" s="427"/>
      <c r="G1799" s="427"/>
      <c r="H1799" s="427"/>
    </row>
    <row r="1800" spans="1:15" ht="15" customHeight="1" x14ac:dyDescent="0.2">
      <c r="A1800" s="249" t="s">
        <v>387</v>
      </c>
      <c r="B1800" s="147" t="s">
        <v>387</v>
      </c>
      <c r="C1800" s="430" t="s">
        <v>1</v>
      </c>
      <c r="D1800" s="430" t="s">
        <v>0</v>
      </c>
      <c r="E1800" s="255" t="s">
        <v>56</v>
      </c>
      <c r="F1800" s="255">
        <f>F53</f>
        <v>0</v>
      </c>
      <c r="G1800" s="255" t="s">
        <v>56</v>
      </c>
      <c r="H1800" s="432" t="str">
        <f>$H$7</f>
        <v>TOTAL 2024</v>
      </c>
      <c r="I1800" s="153" t="s">
        <v>285</v>
      </c>
      <c r="J1800" s="153"/>
      <c r="K1800" s="153"/>
      <c r="L1800" s="153"/>
      <c r="M1800" s="153"/>
      <c r="N1800" s="269"/>
    </row>
    <row r="1801" spans="1:15" ht="15" customHeight="1" x14ac:dyDescent="0.2">
      <c r="A1801" s="249" t="s">
        <v>387</v>
      </c>
      <c r="B1801" s="147" t="s">
        <v>387</v>
      </c>
      <c r="C1801" s="431"/>
      <c r="D1801" s="431"/>
      <c r="E1801" s="255" t="s">
        <v>139</v>
      </c>
      <c r="F1801" s="255"/>
      <c r="G1801" s="255" t="s">
        <v>140</v>
      </c>
      <c r="H1801" s="433"/>
      <c r="I1801" s="153" t="s">
        <v>286</v>
      </c>
      <c r="J1801" s="153" t="s">
        <v>290</v>
      </c>
      <c r="K1801" s="153" t="s">
        <v>291</v>
      </c>
      <c r="L1801" s="153" t="s">
        <v>293</v>
      </c>
      <c r="M1801" s="153" t="s">
        <v>292</v>
      </c>
    </row>
    <row r="1802" spans="1:15" ht="15" customHeight="1" x14ac:dyDescent="0.2">
      <c r="A1802" s="249">
        <v>8</v>
      </c>
      <c r="B1802" s="147" t="s">
        <v>443</v>
      </c>
      <c r="C1802" s="61">
        <v>51101</v>
      </c>
      <c r="D1802" s="73" t="s">
        <v>15</v>
      </c>
      <c r="E1802" s="74"/>
      <c r="F1802" s="74"/>
      <c r="G1802" s="272">
        <v>15900</v>
      </c>
      <c r="H1802" s="76">
        <f t="shared" ref="H1802:H1834" si="67">E1802+F1802+G1802</f>
        <v>15900</v>
      </c>
      <c r="I1802" s="256"/>
      <c r="J1802" s="256"/>
      <c r="K1802" s="256"/>
      <c r="L1802" s="256"/>
      <c r="M1802" s="256"/>
    </row>
    <row r="1803" spans="1:15" ht="15" customHeight="1" x14ac:dyDescent="0.2">
      <c r="A1803" s="249">
        <v>8</v>
      </c>
      <c r="B1803" s="147" t="s">
        <v>443</v>
      </c>
      <c r="C1803" s="61">
        <v>51103</v>
      </c>
      <c r="D1803" s="73" t="s">
        <v>16</v>
      </c>
      <c r="E1803" s="74"/>
      <c r="F1803" s="74"/>
      <c r="G1803" s="272">
        <v>1325</v>
      </c>
      <c r="H1803" s="76">
        <f t="shared" si="67"/>
        <v>1325</v>
      </c>
      <c r="I1803" s="256"/>
      <c r="J1803" s="256"/>
      <c r="K1803" s="256"/>
      <c r="L1803" s="256"/>
      <c r="M1803" s="256"/>
    </row>
    <row r="1804" spans="1:15" ht="15" customHeight="1" x14ac:dyDescent="0.2">
      <c r="A1804" s="249">
        <v>8</v>
      </c>
      <c r="B1804" s="147" t="s">
        <v>443</v>
      </c>
      <c r="C1804" s="61">
        <v>51107</v>
      </c>
      <c r="D1804" s="73" t="s">
        <v>34</v>
      </c>
      <c r="E1804" s="74"/>
      <c r="F1804" s="74"/>
      <c r="G1804" s="272">
        <v>600</v>
      </c>
      <c r="H1804" s="76">
        <f t="shared" si="67"/>
        <v>600</v>
      </c>
      <c r="I1804" s="256"/>
      <c r="J1804" s="256"/>
      <c r="K1804" s="256"/>
      <c r="L1804" s="256"/>
      <c r="M1804" s="256"/>
    </row>
    <row r="1805" spans="1:15" ht="15" customHeight="1" x14ac:dyDescent="0.2">
      <c r="A1805" s="249">
        <v>8</v>
      </c>
      <c r="B1805" s="147" t="s">
        <v>443</v>
      </c>
      <c r="C1805" s="61">
        <v>51401</v>
      </c>
      <c r="D1805" s="62" t="s">
        <v>47</v>
      </c>
      <c r="E1805" s="74"/>
      <c r="F1805" s="74"/>
      <c r="G1805" s="272">
        <v>1351.5</v>
      </c>
      <c r="H1805" s="76">
        <f t="shared" si="67"/>
        <v>1351.5</v>
      </c>
      <c r="I1805" s="256"/>
      <c r="J1805" s="256"/>
      <c r="K1805" s="256"/>
      <c r="L1805" s="256"/>
      <c r="M1805" s="256"/>
      <c r="O1805" s="257"/>
    </row>
    <row r="1806" spans="1:15" ht="15" customHeight="1" x14ac:dyDescent="0.2">
      <c r="A1806" s="249">
        <v>8</v>
      </c>
      <c r="B1806" s="147" t="s">
        <v>443</v>
      </c>
      <c r="C1806" s="61">
        <v>51501</v>
      </c>
      <c r="D1806" s="62" t="s">
        <v>29</v>
      </c>
      <c r="E1806" s="74"/>
      <c r="F1806" s="74"/>
      <c r="G1806" s="272">
        <v>1391.25</v>
      </c>
      <c r="H1806" s="76">
        <f t="shared" si="67"/>
        <v>1391.25</v>
      </c>
      <c r="I1806" s="256"/>
      <c r="J1806" s="256"/>
      <c r="K1806" s="256"/>
      <c r="L1806" s="256"/>
      <c r="M1806" s="256"/>
    </row>
    <row r="1807" spans="1:15" ht="15" customHeight="1" x14ac:dyDescent="0.2">
      <c r="A1807" s="249">
        <v>8</v>
      </c>
      <c r="B1807" s="147" t="s">
        <v>443</v>
      </c>
      <c r="C1807" s="61">
        <v>54101</v>
      </c>
      <c r="D1807" s="62" t="s">
        <v>38</v>
      </c>
      <c r="E1807" s="74"/>
      <c r="F1807" s="74"/>
      <c r="G1807" s="76">
        <v>1550</v>
      </c>
      <c r="H1807" s="76">
        <f t="shared" si="67"/>
        <v>1550</v>
      </c>
      <c r="I1807" s="256"/>
      <c r="J1807" s="256"/>
      <c r="K1807" s="256"/>
      <c r="L1807" s="256"/>
      <c r="M1807" s="256"/>
    </row>
    <row r="1808" spans="1:15" ht="15" customHeight="1" x14ac:dyDescent="0.2">
      <c r="A1808" s="249">
        <v>8</v>
      </c>
      <c r="B1808" s="147" t="s">
        <v>443</v>
      </c>
      <c r="C1808" s="61">
        <v>54104</v>
      </c>
      <c r="D1808" s="73" t="s">
        <v>17</v>
      </c>
      <c r="E1808" s="74"/>
      <c r="F1808" s="74"/>
      <c r="G1808" s="76">
        <v>800</v>
      </c>
      <c r="H1808" s="76">
        <f t="shared" si="67"/>
        <v>800</v>
      </c>
      <c r="I1808" s="256"/>
      <c r="J1808" s="256"/>
      <c r="K1808" s="256"/>
      <c r="L1808" s="256"/>
      <c r="M1808" s="256"/>
    </row>
    <row r="1809" spans="1:13" ht="15" customHeight="1" x14ac:dyDescent="0.2">
      <c r="A1809" s="249">
        <v>8</v>
      </c>
      <c r="B1809" s="147" t="s">
        <v>443</v>
      </c>
      <c r="C1809" s="61">
        <v>54105</v>
      </c>
      <c r="D1809" s="73" t="s">
        <v>3</v>
      </c>
      <c r="E1809" s="74"/>
      <c r="F1809" s="74"/>
      <c r="G1809" s="76">
        <v>300</v>
      </c>
      <c r="H1809" s="76">
        <f t="shared" si="67"/>
        <v>300</v>
      </c>
      <c r="I1809" s="256"/>
      <c r="J1809" s="256"/>
      <c r="K1809" s="256"/>
      <c r="L1809" s="256"/>
      <c r="M1809" s="256"/>
    </row>
    <row r="1810" spans="1:13" ht="15" customHeight="1" x14ac:dyDescent="0.2">
      <c r="A1810" s="249">
        <v>8</v>
      </c>
      <c r="B1810" s="147" t="s">
        <v>443</v>
      </c>
      <c r="C1810" s="106">
        <v>54106</v>
      </c>
      <c r="D1810" s="270" t="s">
        <v>794</v>
      </c>
      <c r="E1810" s="271"/>
      <c r="F1810" s="136"/>
      <c r="G1810" s="272">
        <v>300</v>
      </c>
      <c r="H1810" s="272">
        <f t="shared" si="67"/>
        <v>300</v>
      </c>
      <c r="I1810" s="256"/>
      <c r="J1810" s="256"/>
      <c r="K1810" s="256"/>
      <c r="L1810" s="256"/>
      <c r="M1810" s="256"/>
    </row>
    <row r="1811" spans="1:13" ht="15" customHeight="1" x14ac:dyDescent="0.2">
      <c r="A1811" s="249">
        <v>8</v>
      </c>
      <c r="B1811" s="147" t="s">
        <v>443</v>
      </c>
      <c r="C1811" s="61" t="s">
        <v>579</v>
      </c>
      <c r="D1811" s="73" t="s">
        <v>162</v>
      </c>
      <c r="E1811" s="74"/>
      <c r="F1811" s="74"/>
      <c r="G1811" s="76">
        <v>1000</v>
      </c>
      <c r="H1811" s="76">
        <f t="shared" si="67"/>
        <v>1000</v>
      </c>
      <c r="I1811" s="256"/>
      <c r="J1811" s="256"/>
      <c r="K1811" s="256"/>
      <c r="L1811" s="256"/>
      <c r="M1811" s="256"/>
    </row>
    <row r="1812" spans="1:13" ht="15" customHeight="1" x14ac:dyDescent="0.2">
      <c r="A1812" s="249">
        <v>8</v>
      </c>
      <c r="B1812" s="147" t="s">
        <v>443</v>
      </c>
      <c r="C1812" s="61">
        <v>54112</v>
      </c>
      <c r="D1812" s="73" t="s">
        <v>42</v>
      </c>
      <c r="E1812" s="74"/>
      <c r="F1812" s="74"/>
      <c r="G1812" s="76">
        <v>350</v>
      </c>
      <c r="H1812" s="76">
        <f t="shared" si="67"/>
        <v>350</v>
      </c>
      <c r="I1812" s="256"/>
      <c r="J1812" s="256"/>
      <c r="K1812" s="256"/>
      <c r="L1812" s="256"/>
      <c r="M1812" s="256"/>
    </row>
    <row r="1813" spans="1:13" ht="15" customHeight="1" x14ac:dyDescent="0.2">
      <c r="A1813" s="249">
        <v>8</v>
      </c>
      <c r="B1813" s="147" t="s">
        <v>443</v>
      </c>
      <c r="C1813" s="61">
        <v>54114</v>
      </c>
      <c r="D1813" s="73" t="s">
        <v>5</v>
      </c>
      <c r="E1813" s="74"/>
      <c r="F1813" s="74"/>
      <c r="G1813" s="76">
        <v>600</v>
      </c>
      <c r="H1813" s="76">
        <f t="shared" si="67"/>
        <v>600</v>
      </c>
      <c r="I1813" s="256"/>
      <c r="J1813" s="256"/>
      <c r="K1813" s="256"/>
      <c r="L1813" s="256"/>
      <c r="M1813" s="256"/>
    </row>
    <row r="1814" spans="1:13" ht="15" customHeight="1" x14ac:dyDescent="0.2">
      <c r="A1814" s="249">
        <v>8</v>
      </c>
      <c r="B1814" s="147" t="s">
        <v>443</v>
      </c>
      <c r="C1814" s="61">
        <v>54115</v>
      </c>
      <c r="D1814" s="73" t="s">
        <v>49</v>
      </c>
      <c r="E1814" s="74"/>
      <c r="F1814" s="74"/>
      <c r="G1814" s="76">
        <v>700</v>
      </c>
      <c r="H1814" s="76">
        <f t="shared" si="67"/>
        <v>700</v>
      </c>
      <c r="I1814" s="256"/>
      <c r="J1814" s="256"/>
      <c r="K1814" s="256"/>
      <c r="L1814" s="256"/>
      <c r="M1814" s="256"/>
    </row>
    <row r="1815" spans="1:13" ht="15" customHeight="1" x14ac:dyDescent="0.2">
      <c r="A1815" s="249">
        <v>8</v>
      </c>
      <c r="B1815" s="147" t="s">
        <v>443</v>
      </c>
      <c r="C1815" s="61">
        <v>54116</v>
      </c>
      <c r="D1815" s="62" t="s">
        <v>155</v>
      </c>
      <c r="E1815" s="74"/>
      <c r="F1815" s="74"/>
      <c r="G1815" s="76">
        <v>600</v>
      </c>
      <c r="H1815" s="76">
        <f t="shared" si="67"/>
        <v>600</v>
      </c>
      <c r="I1815" s="256"/>
      <c r="J1815" s="256"/>
      <c r="K1815" s="256"/>
      <c r="L1815" s="256"/>
      <c r="M1815" s="256"/>
    </row>
    <row r="1816" spans="1:13" ht="15" customHeight="1" x14ac:dyDescent="0.2">
      <c r="A1816" s="249">
        <v>8</v>
      </c>
      <c r="B1816" s="147" t="s">
        <v>443</v>
      </c>
      <c r="C1816" s="61">
        <v>54119</v>
      </c>
      <c r="D1816" s="62" t="s">
        <v>44</v>
      </c>
      <c r="E1816" s="74"/>
      <c r="F1816" s="74"/>
      <c r="G1816" s="76">
        <v>140</v>
      </c>
      <c r="H1816" s="76">
        <f t="shared" si="67"/>
        <v>140</v>
      </c>
      <c r="I1816" s="256"/>
      <c r="J1816" s="256"/>
      <c r="K1816" s="256"/>
      <c r="L1816" s="256"/>
      <c r="M1816" s="256"/>
    </row>
    <row r="1817" spans="1:13" ht="15" customHeight="1" x14ac:dyDescent="0.2">
      <c r="A1817" s="249">
        <v>8</v>
      </c>
      <c r="B1817" s="147" t="s">
        <v>443</v>
      </c>
      <c r="C1817" s="61">
        <v>54199</v>
      </c>
      <c r="D1817" s="73" t="s">
        <v>26</v>
      </c>
      <c r="E1817" s="74"/>
      <c r="F1817" s="74"/>
      <c r="G1817" s="76">
        <v>300</v>
      </c>
      <c r="H1817" s="76">
        <f t="shared" si="67"/>
        <v>300</v>
      </c>
      <c r="I1817" s="256"/>
      <c r="J1817" s="256"/>
      <c r="K1817" s="256"/>
      <c r="L1817" s="256"/>
      <c r="M1817" s="256"/>
    </row>
    <row r="1818" spans="1:13" ht="15" customHeight="1" x14ac:dyDescent="0.2">
      <c r="A1818" s="249">
        <v>8</v>
      </c>
      <c r="B1818" s="147" t="s">
        <v>443</v>
      </c>
      <c r="C1818" s="61">
        <v>54201</v>
      </c>
      <c r="D1818" s="73" t="s">
        <v>187</v>
      </c>
      <c r="E1818" s="74"/>
      <c r="F1818" s="74"/>
      <c r="G1818" s="76">
        <v>0</v>
      </c>
      <c r="H1818" s="76">
        <f t="shared" si="67"/>
        <v>0</v>
      </c>
      <c r="I1818" s="256"/>
      <c r="J1818" s="256"/>
      <c r="K1818" s="256"/>
      <c r="L1818" s="256"/>
      <c r="M1818" s="256"/>
    </row>
    <row r="1819" spans="1:13" ht="15" customHeight="1" x14ac:dyDescent="0.2">
      <c r="A1819" s="249">
        <v>8</v>
      </c>
      <c r="B1819" s="147" t="s">
        <v>443</v>
      </c>
      <c r="C1819" s="61">
        <v>54202</v>
      </c>
      <c r="D1819" s="73" t="s">
        <v>27</v>
      </c>
      <c r="E1819" s="74"/>
      <c r="F1819" s="74"/>
      <c r="G1819" s="76">
        <v>0</v>
      </c>
      <c r="H1819" s="76">
        <f t="shared" si="67"/>
        <v>0</v>
      </c>
      <c r="I1819" s="256"/>
      <c r="J1819" s="256"/>
      <c r="K1819" s="256"/>
      <c r="L1819" s="256"/>
      <c r="M1819" s="256"/>
    </row>
    <row r="1820" spans="1:13" ht="15" customHeight="1" x14ac:dyDescent="0.2">
      <c r="A1820" s="249">
        <v>8</v>
      </c>
      <c r="B1820" s="147" t="s">
        <v>443</v>
      </c>
      <c r="C1820" s="61">
        <v>54203</v>
      </c>
      <c r="D1820" s="73" t="s">
        <v>7</v>
      </c>
      <c r="E1820" s="74"/>
      <c r="F1820" s="74"/>
      <c r="G1820" s="76">
        <v>0</v>
      </c>
      <c r="H1820" s="76">
        <f t="shared" si="67"/>
        <v>0</v>
      </c>
      <c r="I1820" s="256"/>
      <c r="J1820" s="256"/>
      <c r="K1820" s="256"/>
      <c r="L1820" s="256"/>
      <c r="M1820" s="256"/>
    </row>
    <row r="1821" spans="1:13" ht="15" customHeight="1" x14ac:dyDescent="0.2">
      <c r="A1821" s="249">
        <v>8</v>
      </c>
      <c r="B1821" s="147" t="s">
        <v>443</v>
      </c>
      <c r="C1821" s="61">
        <v>54301</v>
      </c>
      <c r="D1821" s="62" t="s">
        <v>158</v>
      </c>
      <c r="E1821" s="74"/>
      <c r="F1821" s="74"/>
      <c r="G1821" s="76">
        <v>200</v>
      </c>
      <c r="H1821" s="76">
        <f t="shared" si="67"/>
        <v>200</v>
      </c>
      <c r="I1821" s="256"/>
      <c r="J1821" s="256"/>
      <c r="K1821" s="256"/>
      <c r="L1821" s="256"/>
      <c r="M1821" s="256"/>
    </row>
    <row r="1822" spans="1:13" ht="15" customHeight="1" x14ac:dyDescent="0.2">
      <c r="A1822" s="249">
        <v>8</v>
      </c>
      <c r="B1822" s="147" t="s">
        <v>443</v>
      </c>
      <c r="C1822" s="61">
        <v>54303</v>
      </c>
      <c r="D1822" s="62" t="s">
        <v>529</v>
      </c>
      <c r="E1822" s="74"/>
      <c r="F1822" s="74"/>
      <c r="G1822" s="76">
        <v>200</v>
      </c>
      <c r="H1822" s="76">
        <f t="shared" si="67"/>
        <v>200</v>
      </c>
      <c r="I1822" s="256"/>
      <c r="J1822" s="256"/>
      <c r="K1822" s="256"/>
      <c r="L1822" s="256"/>
      <c r="M1822" s="256"/>
    </row>
    <row r="1823" spans="1:13" ht="15" customHeight="1" x14ac:dyDescent="0.2">
      <c r="A1823" s="249">
        <v>8</v>
      </c>
      <c r="B1823" s="147" t="s">
        <v>443</v>
      </c>
      <c r="C1823" s="106">
        <v>54307</v>
      </c>
      <c r="D1823" s="107" t="s">
        <v>10</v>
      </c>
      <c r="E1823" s="271"/>
      <c r="F1823" s="271"/>
      <c r="G1823" s="272">
        <v>800</v>
      </c>
      <c r="H1823" s="272">
        <f t="shared" si="67"/>
        <v>800</v>
      </c>
      <c r="I1823" s="256"/>
      <c r="J1823" s="256"/>
      <c r="K1823" s="256"/>
      <c r="L1823" s="256"/>
      <c r="M1823" s="256"/>
    </row>
    <row r="1824" spans="1:13" ht="15" customHeight="1" x14ac:dyDescent="0.2">
      <c r="A1824" s="249">
        <v>8</v>
      </c>
      <c r="B1824" s="147" t="s">
        <v>443</v>
      </c>
      <c r="C1824" s="61">
        <v>54310</v>
      </c>
      <c r="D1824" s="62" t="s">
        <v>390</v>
      </c>
      <c r="E1824" s="74"/>
      <c r="F1824" s="74"/>
      <c r="G1824" s="76">
        <v>0</v>
      </c>
      <c r="H1824" s="76">
        <f t="shared" si="67"/>
        <v>0</v>
      </c>
      <c r="I1824" s="256"/>
      <c r="J1824" s="256"/>
      <c r="K1824" s="256"/>
      <c r="L1824" s="256"/>
      <c r="M1824" s="256"/>
    </row>
    <row r="1825" spans="1:18" ht="15" customHeight="1" x14ac:dyDescent="0.2">
      <c r="A1825" s="249">
        <v>8</v>
      </c>
      <c r="B1825" s="147" t="s">
        <v>443</v>
      </c>
      <c r="C1825" s="61">
        <v>54313</v>
      </c>
      <c r="D1825" s="62" t="s">
        <v>11</v>
      </c>
      <c r="E1825" s="74"/>
      <c r="F1825" s="74"/>
      <c r="G1825" s="76">
        <v>250</v>
      </c>
      <c r="H1825" s="76">
        <f t="shared" si="67"/>
        <v>250</v>
      </c>
      <c r="I1825" s="256"/>
      <c r="J1825" s="256"/>
      <c r="K1825" s="256"/>
      <c r="L1825" s="256"/>
      <c r="M1825" s="256"/>
    </row>
    <row r="1826" spans="1:18" ht="15" customHeight="1" x14ac:dyDescent="0.2">
      <c r="A1826" s="249">
        <v>8</v>
      </c>
      <c r="B1826" s="147" t="s">
        <v>443</v>
      </c>
      <c r="C1826" s="61">
        <v>54314</v>
      </c>
      <c r="D1826" s="73" t="s">
        <v>12</v>
      </c>
      <c r="E1826" s="74"/>
      <c r="F1826" s="74"/>
      <c r="G1826" s="76">
        <v>0</v>
      </c>
      <c r="H1826" s="76">
        <f t="shared" si="67"/>
        <v>0</v>
      </c>
      <c r="I1826" s="256"/>
      <c r="J1826" s="256"/>
      <c r="K1826" s="256"/>
      <c r="L1826" s="256"/>
      <c r="M1826" s="256"/>
    </row>
    <row r="1827" spans="1:18" ht="15" customHeight="1" x14ac:dyDescent="0.2">
      <c r="A1827" s="249">
        <v>8</v>
      </c>
      <c r="B1827" s="147" t="s">
        <v>443</v>
      </c>
      <c r="C1827" s="61">
        <v>54399</v>
      </c>
      <c r="D1827" s="62" t="s">
        <v>153</v>
      </c>
      <c r="E1827" s="74"/>
      <c r="F1827" s="74"/>
      <c r="G1827" s="76">
        <v>400</v>
      </c>
      <c r="H1827" s="76">
        <f t="shared" si="67"/>
        <v>400</v>
      </c>
      <c r="I1827" s="256"/>
      <c r="J1827" s="256"/>
      <c r="K1827" s="256"/>
      <c r="L1827" s="256"/>
      <c r="M1827" s="256"/>
    </row>
    <row r="1828" spans="1:18" ht="15" customHeight="1" x14ac:dyDescent="0.2">
      <c r="A1828" s="249">
        <v>8</v>
      </c>
      <c r="B1828" s="147" t="s">
        <v>443</v>
      </c>
      <c r="C1828" s="61">
        <v>54401</v>
      </c>
      <c r="D1828" s="62" t="s">
        <v>143</v>
      </c>
      <c r="E1828" s="74"/>
      <c r="F1828" s="74"/>
      <c r="G1828" s="76">
        <v>200</v>
      </c>
      <c r="H1828" s="76">
        <f t="shared" si="67"/>
        <v>200</v>
      </c>
      <c r="I1828" s="256"/>
      <c r="J1828" s="256"/>
      <c r="K1828" s="256"/>
      <c r="L1828" s="256"/>
      <c r="M1828" s="256"/>
    </row>
    <row r="1829" spans="1:18" ht="15" customHeight="1" x14ac:dyDescent="0.2">
      <c r="A1829" s="249">
        <v>8</v>
      </c>
      <c r="B1829" s="147" t="s">
        <v>443</v>
      </c>
      <c r="C1829" s="61">
        <v>54505</v>
      </c>
      <c r="D1829" s="62" t="s">
        <v>40</v>
      </c>
      <c r="E1829" s="74"/>
      <c r="F1829" s="74"/>
      <c r="G1829" s="76">
        <v>0</v>
      </c>
      <c r="H1829" s="76">
        <f t="shared" si="67"/>
        <v>0</v>
      </c>
      <c r="I1829" s="256"/>
      <c r="J1829" s="256"/>
      <c r="K1829" s="256"/>
      <c r="L1829" s="256"/>
      <c r="M1829" s="256"/>
    </row>
    <row r="1830" spans="1:18" ht="15" customHeight="1" x14ac:dyDescent="0.2">
      <c r="A1830" s="249">
        <v>8</v>
      </c>
      <c r="B1830" s="147" t="s">
        <v>443</v>
      </c>
      <c r="C1830" s="61">
        <v>61101</v>
      </c>
      <c r="D1830" s="62" t="s">
        <v>144</v>
      </c>
      <c r="E1830" s="74"/>
      <c r="F1830" s="74"/>
      <c r="G1830" s="76">
        <v>7400</v>
      </c>
      <c r="H1830" s="76">
        <f t="shared" si="67"/>
        <v>7400</v>
      </c>
      <c r="I1830" s="256"/>
      <c r="J1830" s="256"/>
      <c r="K1830" s="256"/>
      <c r="L1830" s="256"/>
      <c r="M1830" s="256"/>
    </row>
    <row r="1831" spans="1:18" ht="15" customHeight="1" x14ac:dyDescent="0.2">
      <c r="A1831" s="249">
        <v>8</v>
      </c>
      <c r="B1831" s="147" t="s">
        <v>443</v>
      </c>
      <c r="C1831" s="61">
        <v>61102</v>
      </c>
      <c r="D1831" s="62" t="s">
        <v>28</v>
      </c>
      <c r="E1831" s="74"/>
      <c r="F1831" s="74"/>
      <c r="G1831" s="76">
        <v>250</v>
      </c>
      <c r="H1831" s="76">
        <f t="shared" si="67"/>
        <v>250</v>
      </c>
      <c r="I1831" s="256"/>
      <c r="J1831" s="256"/>
      <c r="K1831" s="256"/>
      <c r="L1831" s="256"/>
      <c r="M1831" s="256"/>
    </row>
    <row r="1832" spans="1:18" ht="15" customHeight="1" x14ac:dyDescent="0.2">
      <c r="A1832" s="249">
        <v>8</v>
      </c>
      <c r="B1832" s="147" t="s">
        <v>443</v>
      </c>
      <c r="C1832" s="61">
        <v>61104</v>
      </c>
      <c r="D1832" s="62" t="s">
        <v>46</v>
      </c>
      <c r="E1832" s="74"/>
      <c r="F1832" s="74"/>
      <c r="G1832" s="76">
        <v>1400</v>
      </c>
      <c r="H1832" s="76">
        <f t="shared" si="67"/>
        <v>1400</v>
      </c>
      <c r="I1832" s="256"/>
      <c r="J1832" s="256"/>
      <c r="K1832" s="256"/>
      <c r="L1832" s="256"/>
      <c r="M1832" s="256"/>
    </row>
    <row r="1833" spans="1:18" ht="15" customHeight="1" x14ac:dyDescent="0.2">
      <c r="A1833" s="249">
        <v>8</v>
      </c>
      <c r="B1833" s="147" t="s">
        <v>443</v>
      </c>
      <c r="C1833" s="61">
        <v>61199</v>
      </c>
      <c r="D1833" s="62" t="s">
        <v>135</v>
      </c>
      <c r="E1833" s="74"/>
      <c r="F1833" s="74"/>
      <c r="G1833" s="74">
        <v>0</v>
      </c>
      <c r="H1833" s="76">
        <f t="shared" si="67"/>
        <v>0</v>
      </c>
      <c r="I1833" s="256"/>
      <c r="J1833" s="256"/>
      <c r="K1833" s="256"/>
      <c r="L1833" s="256"/>
      <c r="M1833" s="256"/>
    </row>
    <row r="1834" spans="1:18" ht="15" customHeight="1" x14ac:dyDescent="0.2">
      <c r="A1834" s="249">
        <v>8</v>
      </c>
      <c r="B1834" s="147" t="s">
        <v>635</v>
      </c>
      <c r="C1834" s="61"/>
      <c r="D1834" s="61" t="s">
        <v>14</v>
      </c>
      <c r="E1834" s="138">
        <f>SUM(E1802:E1830)</f>
        <v>0</v>
      </c>
      <c r="F1834" s="138">
        <f>SUM(F1802:F1830)</f>
        <v>0</v>
      </c>
      <c r="G1834" s="138">
        <f>SUM(G1802:G1833)</f>
        <v>38307.75</v>
      </c>
      <c r="H1834" s="83">
        <f t="shared" si="67"/>
        <v>38307.75</v>
      </c>
      <c r="I1834" s="73"/>
      <c r="J1834" s="73"/>
      <c r="K1834" s="73"/>
      <c r="L1834" s="73"/>
      <c r="M1834" s="73"/>
      <c r="O1834" s="258"/>
      <c r="P1834" s="259"/>
    </row>
    <row r="1835" spans="1:18" ht="15" customHeight="1" x14ac:dyDescent="0.2">
      <c r="A1835" s="249" t="s">
        <v>387</v>
      </c>
      <c r="B1835" s="147" t="s">
        <v>387</v>
      </c>
      <c r="C1835" s="148"/>
      <c r="D1835" s="148"/>
      <c r="E1835" s="149"/>
      <c r="F1835" s="149"/>
      <c r="G1835" s="149"/>
      <c r="H1835" s="261"/>
      <c r="O1835" s="258"/>
      <c r="P1835" s="259"/>
      <c r="Q1835" s="147" t="s">
        <v>593</v>
      </c>
      <c r="R1835" s="259">
        <f>+H1834-P1835</f>
        <v>38307.75</v>
      </c>
    </row>
    <row r="1836" spans="1:18" ht="15" customHeight="1" x14ac:dyDescent="0.2">
      <c r="A1836" s="249" t="s">
        <v>387</v>
      </c>
      <c r="B1836" s="147" t="s">
        <v>387</v>
      </c>
      <c r="C1836" s="148"/>
      <c r="D1836" s="148"/>
      <c r="E1836" s="149"/>
      <c r="F1836" s="149"/>
      <c r="G1836" s="149"/>
      <c r="H1836" s="261"/>
      <c r="O1836" s="258"/>
    </row>
    <row r="1837" spans="1:18" ht="15" customHeight="1" x14ac:dyDescent="0.2">
      <c r="A1837" s="249" t="s">
        <v>387</v>
      </c>
      <c r="B1837" s="147" t="s">
        <v>387</v>
      </c>
      <c r="C1837" s="368"/>
      <c r="D1837" s="368"/>
      <c r="E1837" s="367"/>
      <c r="F1837" s="367"/>
      <c r="G1837" s="366"/>
      <c r="H1837" s="366"/>
    </row>
    <row r="1838" spans="1:18" ht="15" customHeight="1" x14ac:dyDescent="0.2">
      <c r="A1838" s="249" t="s">
        <v>387</v>
      </c>
      <c r="B1838" s="147" t="s">
        <v>387</v>
      </c>
      <c r="C1838" s="427" t="s">
        <v>119</v>
      </c>
      <c r="D1838" s="427"/>
      <c r="E1838" s="427"/>
      <c r="F1838" s="427"/>
      <c r="G1838" s="427"/>
      <c r="H1838" s="427"/>
    </row>
    <row r="1839" spans="1:18" ht="15" customHeight="1" x14ac:dyDescent="0.2">
      <c r="A1839" s="249" t="s">
        <v>387</v>
      </c>
      <c r="B1839" s="147" t="s">
        <v>387</v>
      </c>
      <c r="C1839" s="428" t="str">
        <f>C3</f>
        <v xml:space="preserve"> PRESUPUESTO AÑO 2024</v>
      </c>
      <c r="D1839" s="428"/>
      <c r="E1839" s="428"/>
      <c r="F1839" s="428"/>
      <c r="G1839" s="428"/>
      <c r="H1839" s="428"/>
    </row>
    <row r="1840" spans="1:18" ht="15" customHeight="1" x14ac:dyDescent="0.2">
      <c r="A1840" s="249" t="s">
        <v>387</v>
      </c>
      <c r="B1840" s="147" t="s">
        <v>387</v>
      </c>
      <c r="C1840" s="428" t="str">
        <f>C4</f>
        <v>PRESUPUESTO EXTRA CONTABLE</v>
      </c>
      <c r="D1840" s="428"/>
      <c r="E1840" s="428"/>
      <c r="F1840" s="428"/>
      <c r="G1840" s="428"/>
      <c r="H1840" s="428"/>
    </row>
    <row r="1841" spans="1:15" ht="15" customHeight="1" x14ac:dyDescent="0.2">
      <c r="A1841" s="249" t="s">
        <v>387</v>
      </c>
      <c r="B1841" s="147" t="s">
        <v>387</v>
      </c>
      <c r="C1841" s="427" t="s">
        <v>117</v>
      </c>
      <c r="D1841" s="427"/>
      <c r="E1841" s="427"/>
      <c r="F1841" s="427"/>
      <c r="G1841" s="427"/>
      <c r="H1841" s="427"/>
    </row>
    <row r="1842" spans="1:15" ht="15" customHeight="1" x14ac:dyDescent="0.2">
      <c r="A1842" s="249" t="s">
        <v>387</v>
      </c>
      <c r="B1842" s="147" t="s">
        <v>387</v>
      </c>
      <c r="C1842" s="427" t="s">
        <v>446</v>
      </c>
      <c r="D1842" s="427"/>
      <c r="E1842" s="427"/>
      <c r="F1842" s="427"/>
      <c r="G1842" s="427"/>
      <c r="H1842" s="427"/>
    </row>
    <row r="1843" spans="1:15" ht="15" customHeight="1" x14ac:dyDescent="0.2">
      <c r="A1843" s="249" t="s">
        <v>387</v>
      </c>
      <c r="B1843" s="147" t="s">
        <v>387</v>
      </c>
      <c r="C1843" s="430" t="s">
        <v>1</v>
      </c>
      <c r="D1843" s="430" t="s">
        <v>0</v>
      </c>
      <c r="E1843" s="255" t="s">
        <v>56</v>
      </c>
      <c r="F1843" s="255">
        <f>F89</f>
        <v>0</v>
      </c>
      <c r="G1843" s="255" t="s">
        <v>56</v>
      </c>
      <c r="H1843" s="432" t="str">
        <f>$H$7</f>
        <v>TOTAL 2024</v>
      </c>
      <c r="I1843" s="153" t="s">
        <v>285</v>
      </c>
      <c r="J1843" s="153"/>
      <c r="K1843" s="153"/>
      <c r="L1843" s="153"/>
      <c r="M1843" s="153"/>
      <c r="N1843" s="269" t="s">
        <v>295</v>
      </c>
    </row>
    <row r="1844" spans="1:15" ht="15" customHeight="1" x14ac:dyDescent="0.2">
      <c r="A1844" s="249" t="s">
        <v>387</v>
      </c>
      <c r="B1844" s="147" t="s">
        <v>387</v>
      </c>
      <c r="C1844" s="431"/>
      <c r="D1844" s="431"/>
      <c r="E1844" s="255" t="s">
        <v>139</v>
      </c>
      <c r="F1844" s="255"/>
      <c r="G1844" s="255" t="s">
        <v>140</v>
      </c>
      <c r="H1844" s="433"/>
      <c r="I1844" s="153" t="s">
        <v>286</v>
      </c>
      <c r="J1844" s="153" t="s">
        <v>290</v>
      </c>
      <c r="K1844" s="153" t="s">
        <v>291</v>
      </c>
      <c r="L1844" s="153" t="s">
        <v>293</v>
      </c>
      <c r="M1844" s="153" t="s">
        <v>292</v>
      </c>
    </row>
    <row r="1845" spans="1:15" ht="15" customHeight="1" x14ac:dyDescent="0.2">
      <c r="A1845" s="249">
        <v>8</v>
      </c>
      <c r="B1845" s="147" t="s">
        <v>445</v>
      </c>
      <c r="C1845" s="61">
        <v>51101</v>
      </c>
      <c r="D1845" s="73" t="s">
        <v>15</v>
      </c>
      <c r="E1845" s="74"/>
      <c r="F1845" s="74"/>
      <c r="G1845" s="272">
        <v>11400</v>
      </c>
      <c r="H1845" s="76">
        <f t="shared" ref="H1845:H1873" si="68">E1845+F1845+G1845</f>
        <v>11400</v>
      </c>
      <c r="I1845" s="256"/>
      <c r="J1845" s="256"/>
      <c r="K1845" s="256"/>
      <c r="L1845" s="256"/>
      <c r="M1845" s="256"/>
    </row>
    <row r="1846" spans="1:15" ht="15" customHeight="1" x14ac:dyDescent="0.2">
      <c r="A1846" s="249">
        <v>8</v>
      </c>
      <c r="B1846" s="147" t="s">
        <v>445</v>
      </c>
      <c r="C1846" s="61">
        <v>51103</v>
      </c>
      <c r="D1846" s="73" t="s">
        <v>16</v>
      </c>
      <c r="E1846" s="74"/>
      <c r="F1846" s="74"/>
      <c r="G1846" s="272">
        <v>950</v>
      </c>
      <c r="H1846" s="76">
        <f t="shared" si="68"/>
        <v>950</v>
      </c>
      <c r="I1846" s="256"/>
      <c r="J1846" s="256"/>
      <c r="K1846" s="256"/>
      <c r="L1846" s="256"/>
      <c r="M1846" s="256"/>
    </row>
    <row r="1847" spans="1:15" ht="15" customHeight="1" x14ac:dyDescent="0.2">
      <c r="A1847" s="249">
        <v>8</v>
      </c>
      <c r="B1847" s="147" t="s">
        <v>445</v>
      </c>
      <c r="C1847" s="61">
        <v>51107</v>
      </c>
      <c r="D1847" s="73" t="s">
        <v>34</v>
      </c>
      <c r="E1847" s="74"/>
      <c r="F1847" s="74"/>
      <c r="G1847" s="272">
        <v>400</v>
      </c>
      <c r="H1847" s="76">
        <f t="shared" si="68"/>
        <v>400</v>
      </c>
      <c r="I1847" s="256"/>
      <c r="J1847" s="256"/>
      <c r="K1847" s="256"/>
      <c r="L1847" s="256"/>
      <c r="M1847" s="256"/>
    </row>
    <row r="1848" spans="1:15" ht="15" customHeight="1" x14ac:dyDescent="0.2">
      <c r="A1848" s="249">
        <v>8</v>
      </c>
      <c r="B1848" s="147" t="s">
        <v>445</v>
      </c>
      <c r="C1848" s="61">
        <v>51401</v>
      </c>
      <c r="D1848" s="62" t="s">
        <v>47</v>
      </c>
      <c r="E1848" s="74"/>
      <c r="F1848" s="74"/>
      <c r="G1848" s="272">
        <v>969</v>
      </c>
      <c r="H1848" s="76">
        <f t="shared" si="68"/>
        <v>969</v>
      </c>
      <c r="I1848" s="256"/>
      <c r="J1848" s="256"/>
      <c r="K1848" s="256"/>
      <c r="L1848" s="256"/>
      <c r="M1848" s="256"/>
      <c r="O1848" s="257"/>
    </row>
    <row r="1849" spans="1:15" ht="15" customHeight="1" x14ac:dyDescent="0.2">
      <c r="A1849" s="249">
        <v>8</v>
      </c>
      <c r="B1849" s="147" t="s">
        <v>445</v>
      </c>
      <c r="C1849" s="61">
        <v>51501</v>
      </c>
      <c r="D1849" s="62" t="s">
        <v>29</v>
      </c>
      <c r="E1849" s="74"/>
      <c r="F1849" s="74"/>
      <c r="G1849" s="272">
        <v>997.5</v>
      </c>
      <c r="H1849" s="76">
        <f t="shared" si="68"/>
        <v>997.5</v>
      </c>
      <c r="I1849" s="256"/>
      <c r="J1849" s="256"/>
      <c r="K1849" s="256"/>
      <c r="L1849" s="256"/>
      <c r="M1849" s="256"/>
    </row>
    <row r="1850" spans="1:15" ht="15" customHeight="1" x14ac:dyDescent="0.2">
      <c r="A1850" s="249">
        <v>8</v>
      </c>
      <c r="B1850" s="147" t="s">
        <v>445</v>
      </c>
      <c r="C1850" s="61">
        <v>54101</v>
      </c>
      <c r="D1850" s="73" t="s">
        <v>38</v>
      </c>
      <c r="E1850" s="74"/>
      <c r="F1850" s="74"/>
      <c r="G1850" s="76">
        <v>800</v>
      </c>
      <c r="H1850" s="76">
        <f>E1850+F1850+G1850</f>
        <v>800</v>
      </c>
      <c r="I1850" s="256"/>
      <c r="J1850" s="256"/>
      <c r="K1850" s="256"/>
      <c r="L1850" s="256"/>
      <c r="M1850" s="256"/>
    </row>
    <row r="1851" spans="1:15" ht="15" customHeight="1" x14ac:dyDescent="0.2">
      <c r="A1851" s="249">
        <v>8</v>
      </c>
      <c r="B1851" s="147" t="s">
        <v>445</v>
      </c>
      <c r="C1851" s="61">
        <v>54104</v>
      </c>
      <c r="D1851" s="73" t="s">
        <v>17</v>
      </c>
      <c r="E1851" s="74"/>
      <c r="F1851" s="74"/>
      <c r="G1851" s="76">
        <v>700</v>
      </c>
      <c r="H1851" s="76">
        <f t="shared" si="68"/>
        <v>700</v>
      </c>
      <c r="I1851" s="256"/>
      <c r="J1851" s="256"/>
      <c r="K1851" s="256"/>
      <c r="L1851" s="256"/>
      <c r="M1851" s="256"/>
    </row>
    <row r="1852" spans="1:15" ht="15" customHeight="1" x14ac:dyDescent="0.2">
      <c r="A1852" s="249">
        <v>8</v>
      </c>
      <c r="B1852" s="147" t="s">
        <v>445</v>
      </c>
      <c r="C1852" s="61">
        <v>54105</v>
      </c>
      <c r="D1852" s="73" t="s">
        <v>3</v>
      </c>
      <c r="E1852" s="74"/>
      <c r="F1852" s="74"/>
      <c r="G1852" s="76">
        <v>300</v>
      </c>
      <c r="H1852" s="76">
        <f t="shared" si="68"/>
        <v>300</v>
      </c>
      <c r="I1852" s="256"/>
      <c r="J1852" s="256"/>
      <c r="K1852" s="256"/>
      <c r="L1852" s="256"/>
      <c r="M1852" s="256"/>
    </row>
    <row r="1853" spans="1:15" ht="15" customHeight="1" x14ac:dyDescent="0.2">
      <c r="A1853" s="249">
        <v>8</v>
      </c>
      <c r="B1853" s="147" t="s">
        <v>445</v>
      </c>
      <c r="C1853" s="61">
        <v>54106</v>
      </c>
      <c r="D1853" s="73" t="s">
        <v>18</v>
      </c>
      <c r="E1853" s="74"/>
      <c r="F1853" s="74"/>
      <c r="G1853" s="76">
        <v>600</v>
      </c>
      <c r="H1853" s="76">
        <f t="shared" si="68"/>
        <v>600</v>
      </c>
      <c r="I1853" s="256"/>
      <c r="J1853" s="256"/>
      <c r="K1853" s="256"/>
      <c r="L1853" s="256"/>
      <c r="M1853" s="256"/>
    </row>
    <row r="1854" spans="1:15" ht="15" customHeight="1" x14ac:dyDescent="0.2">
      <c r="A1854" s="249">
        <v>8</v>
      </c>
      <c r="B1854" s="147" t="s">
        <v>445</v>
      </c>
      <c r="C1854" s="61">
        <v>54107</v>
      </c>
      <c r="D1854" s="73" t="s">
        <v>43</v>
      </c>
      <c r="E1854" s="74"/>
      <c r="F1854" s="74"/>
      <c r="G1854" s="76">
        <v>1760</v>
      </c>
      <c r="H1854" s="76">
        <f t="shared" si="68"/>
        <v>1760</v>
      </c>
      <c r="I1854" s="256"/>
      <c r="J1854" s="256"/>
      <c r="K1854" s="256"/>
      <c r="L1854" s="256"/>
      <c r="M1854" s="256"/>
    </row>
    <row r="1855" spans="1:15" ht="15" customHeight="1" x14ac:dyDescent="0.2">
      <c r="A1855" s="249">
        <v>8</v>
      </c>
      <c r="B1855" s="147" t="s">
        <v>445</v>
      </c>
      <c r="C1855" s="61">
        <v>54108</v>
      </c>
      <c r="D1855" s="73" t="s">
        <v>524</v>
      </c>
      <c r="E1855" s="74"/>
      <c r="F1855" s="74"/>
      <c r="G1855" s="76">
        <v>300</v>
      </c>
      <c r="H1855" s="76">
        <f t="shared" si="68"/>
        <v>300</v>
      </c>
      <c r="I1855" s="256"/>
      <c r="J1855" s="256"/>
      <c r="K1855" s="256"/>
      <c r="L1855" s="256"/>
      <c r="M1855" s="256"/>
    </row>
    <row r="1856" spans="1:15" ht="15" customHeight="1" x14ac:dyDescent="0.2">
      <c r="A1856" s="249">
        <v>8</v>
      </c>
      <c r="B1856" s="147" t="s">
        <v>445</v>
      </c>
      <c r="C1856" s="61">
        <v>54110</v>
      </c>
      <c r="D1856" s="73" t="s">
        <v>147</v>
      </c>
      <c r="E1856" s="74"/>
      <c r="F1856" s="74"/>
      <c r="G1856" s="76">
        <v>300</v>
      </c>
      <c r="H1856" s="76">
        <f t="shared" si="68"/>
        <v>300</v>
      </c>
      <c r="I1856" s="256"/>
      <c r="J1856" s="256"/>
      <c r="K1856" s="256"/>
      <c r="L1856" s="256"/>
      <c r="M1856" s="256"/>
    </row>
    <row r="1857" spans="1:13" ht="15" customHeight="1" x14ac:dyDescent="0.2">
      <c r="A1857" s="249">
        <v>8</v>
      </c>
      <c r="B1857" s="147" t="s">
        <v>445</v>
      </c>
      <c r="C1857" s="61">
        <v>54111</v>
      </c>
      <c r="D1857" s="73" t="s">
        <v>162</v>
      </c>
      <c r="E1857" s="74"/>
      <c r="F1857" s="74"/>
      <c r="G1857" s="76">
        <v>1600</v>
      </c>
      <c r="H1857" s="76">
        <f t="shared" si="68"/>
        <v>1600</v>
      </c>
      <c r="I1857" s="256"/>
      <c r="J1857" s="256"/>
      <c r="K1857" s="256"/>
      <c r="L1857" s="256"/>
      <c r="M1857" s="256"/>
    </row>
    <row r="1858" spans="1:13" ht="15" customHeight="1" x14ac:dyDescent="0.2">
      <c r="A1858" s="249">
        <v>8</v>
      </c>
      <c r="B1858" s="147" t="s">
        <v>445</v>
      </c>
      <c r="C1858" s="61">
        <v>54112</v>
      </c>
      <c r="D1858" s="73" t="s">
        <v>42</v>
      </c>
      <c r="E1858" s="74"/>
      <c r="F1858" s="74"/>
      <c r="G1858" s="76">
        <v>1720</v>
      </c>
      <c r="H1858" s="76">
        <f t="shared" si="68"/>
        <v>1720</v>
      </c>
      <c r="I1858" s="256"/>
      <c r="J1858" s="256"/>
      <c r="K1858" s="256"/>
      <c r="L1858" s="256"/>
      <c r="M1858" s="256"/>
    </row>
    <row r="1859" spans="1:13" ht="15" customHeight="1" x14ac:dyDescent="0.2">
      <c r="A1859" s="249">
        <v>8</v>
      </c>
      <c r="B1859" s="147" t="s">
        <v>445</v>
      </c>
      <c r="C1859" s="61">
        <v>54114</v>
      </c>
      <c r="D1859" s="73" t="s">
        <v>5</v>
      </c>
      <c r="E1859" s="74"/>
      <c r="F1859" s="74"/>
      <c r="G1859" s="76">
        <v>120</v>
      </c>
      <c r="H1859" s="76">
        <f t="shared" si="68"/>
        <v>120</v>
      </c>
      <c r="I1859" s="256"/>
      <c r="J1859" s="256"/>
      <c r="K1859" s="256"/>
      <c r="L1859" s="256"/>
      <c r="M1859" s="256"/>
    </row>
    <row r="1860" spans="1:13" ht="15" customHeight="1" x14ac:dyDescent="0.2">
      <c r="A1860" s="249">
        <v>8</v>
      </c>
      <c r="B1860" s="147" t="s">
        <v>445</v>
      </c>
      <c r="C1860" s="61">
        <v>54115</v>
      </c>
      <c r="D1860" s="73" t="s">
        <v>49</v>
      </c>
      <c r="E1860" s="74"/>
      <c r="F1860" s="74"/>
      <c r="G1860" s="76">
        <v>100</v>
      </c>
      <c r="H1860" s="76">
        <f t="shared" si="68"/>
        <v>100</v>
      </c>
      <c r="I1860" s="256"/>
      <c r="J1860" s="256"/>
      <c r="K1860" s="256"/>
      <c r="L1860" s="256"/>
      <c r="M1860" s="256"/>
    </row>
    <row r="1861" spans="1:13" ht="15" customHeight="1" x14ac:dyDescent="0.2">
      <c r="A1861" s="249">
        <v>8</v>
      </c>
      <c r="B1861" s="147" t="s">
        <v>445</v>
      </c>
      <c r="C1861" s="61">
        <v>54116</v>
      </c>
      <c r="D1861" s="62" t="s">
        <v>167</v>
      </c>
      <c r="E1861" s="74"/>
      <c r="F1861" s="74"/>
      <c r="G1861" s="76">
        <v>0</v>
      </c>
      <c r="H1861" s="76">
        <f t="shared" si="68"/>
        <v>0</v>
      </c>
      <c r="I1861" s="256"/>
      <c r="J1861" s="256"/>
      <c r="K1861" s="256"/>
      <c r="L1861" s="256"/>
      <c r="M1861" s="256"/>
    </row>
    <row r="1862" spans="1:13" ht="15" customHeight="1" x14ac:dyDescent="0.2">
      <c r="A1862" s="249">
        <v>8</v>
      </c>
      <c r="B1862" s="147" t="s">
        <v>445</v>
      </c>
      <c r="C1862" s="61">
        <v>54119</v>
      </c>
      <c r="D1862" s="62" t="s">
        <v>44</v>
      </c>
      <c r="E1862" s="74"/>
      <c r="F1862" s="74"/>
      <c r="G1862" s="76">
        <v>120</v>
      </c>
      <c r="H1862" s="76">
        <f t="shared" si="68"/>
        <v>120</v>
      </c>
      <c r="I1862" s="256"/>
      <c r="J1862" s="256"/>
      <c r="K1862" s="256"/>
      <c r="L1862" s="256"/>
      <c r="M1862" s="256"/>
    </row>
    <row r="1863" spans="1:13" ht="15" customHeight="1" x14ac:dyDescent="0.2">
      <c r="A1863" s="249">
        <v>8</v>
      </c>
      <c r="B1863" s="147" t="s">
        <v>445</v>
      </c>
      <c r="C1863" s="61">
        <v>54199</v>
      </c>
      <c r="D1863" s="73" t="s">
        <v>26</v>
      </c>
      <c r="E1863" s="74"/>
      <c r="F1863" s="74"/>
      <c r="G1863" s="76">
        <v>100</v>
      </c>
      <c r="H1863" s="76">
        <f t="shared" si="68"/>
        <v>100</v>
      </c>
      <c r="I1863" s="256"/>
      <c r="J1863" s="256"/>
      <c r="K1863" s="256"/>
      <c r="L1863" s="256"/>
      <c r="M1863" s="256"/>
    </row>
    <row r="1864" spans="1:13" ht="15" customHeight="1" x14ac:dyDescent="0.2">
      <c r="A1864" s="249">
        <v>8</v>
      </c>
      <c r="B1864" s="147" t="s">
        <v>445</v>
      </c>
      <c r="C1864" s="61">
        <v>54301</v>
      </c>
      <c r="D1864" s="73" t="s">
        <v>158</v>
      </c>
      <c r="E1864" s="74"/>
      <c r="F1864" s="74"/>
      <c r="G1864" s="76">
        <v>280</v>
      </c>
      <c r="H1864" s="76">
        <f>E1864+F1864+G1864</f>
        <v>280</v>
      </c>
      <c r="I1864" s="256"/>
      <c r="J1864" s="256"/>
      <c r="K1864" s="256"/>
      <c r="L1864" s="256"/>
      <c r="M1864" s="256"/>
    </row>
    <row r="1865" spans="1:13" ht="15" customHeight="1" x14ac:dyDescent="0.2">
      <c r="A1865" s="249">
        <v>8</v>
      </c>
      <c r="B1865" s="147" t="s">
        <v>445</v>
      </c>
      <c r="C1865" s="61">
        <v>54303</v>
      </c>
      <c r="D1865" s="73" t="s">
        <v>183</v>
      </c>
      <c r="E1865" s="74"/>
      <c r="F1865" s="74"/>
      <c r="G1865" s="76">
        <v>200</v>
      </c>
      <c r="H1865" s="76">
        <f>E1865+F1865+G1865</f>
        <v>200</v>
      </c>
      <c r="I1865" s="256"/>
      <c r="J1865" s="256"/>
      <c r="K1865" s="256"/>
      <c r="L1865" s="256"/>
      <c r="M1865" s="256"/>
    </row>
    <row r="1866" spans="1:13" ht="15" customHeight="1" x14ac:dyDescent="0.2">
      <c r="A1866" s="249">
        <v>8</v>
      </c>
      <c r="B1866" s="147" t="s">
        <v>445</v>
      </c>
      <c r="C1866" s="61">
        <v>54313</v>
      </c>
      <c r="D1866" s="73" t="s">
        <v>249</v>
      </c>
      <c r="E1866" s="74"/>
      <c r="F1866" s="74"/>
      <c r="G1866" s="76">
        <v>100</v>
      </c>
      <c r="H1866" s="76">
        <f t="shared" si="68"/>
        <v>100</v>
      </c>
      <c r="I1866" s="256"/>
      <c r="J1866" s="256"/>
      <c r="K1866" s="256"/>
      <c r="L1866" s="256"/>
      <c r="M1866" s="256"/>
    </row>
    <row r="1867" spans="1:13" ht="15" customHeight="1" x14ac:dyDescent="0.2">
      <c r="A1867" s="249">
        <v>8</v>
      </c>
      <c r="B1867" s="147" t="s">
        <v>445</v>
      </c>
      <c r="C1867" s="61">
        <v>54316</v>
      </c>
      <c r="D1867" s="62" t="s">
        <v>45</v>
      </c>
      <c r="E1867" s="74"/>
      <c r="F1867" s="74"/>
      <c r="G1867" s="76">
        <v>400</v>
      </c>
      <c r="H1867" s="76">
        <f t="shared" si="68"/>
        <v>400</v>
      </c>
      <c r="I1867" s="256"/>
      <c r="J1867" s="256"/>
      <c r="K1867" s="256"/>
      <c r="L1867" s="256"/>
      <c r="M1867" s="256"/>
    </row>
    <row r="1868" spans="1:13" ht="15" customHeight="1" x14ac:dyDescent="0.2">
      <c r="A1868" s="249">
        <v>8</v>
      </c>
      <c r="B1868" s="147" t="s">
        <v>445</v>
      </c>
      <c r="C1868" s="61">
        <v>54399</v>
      </c>
      <c r="D1868" s="62" t="s">
        <v>153</v>
      </c>
      <c r="E1868" s="74"/>
      <c r="F1868" s="74"/>
      <c r="G1868" s="76">
        <v>700</v>
      </c>
      <c r="H1868" s="76">
        <f t="shared" si="68"/>
        <v>700</v>
      </c>
      <c r="I1868" s="256"/>
      <c r="J1868" s="256"/>
      <c r="K1868" s="256"/>
      <c r="L1868" s="256"/>
      <c r="M1868" s="256"/>
    </row>
    <row r="1869" spans="1:13" ht="15" customHeight="1" x14ac:dyDescent="0.2">
      <c r="A1869" s="249">
        <v>8</v>
      </c>
      <c r="B1869" s="147" t="s">
        <v>445</v>
      </c>
      <c r="C1869" s="61">
        <v>61101</v>
      </c>
      <c r="D1869" s="62" t="s">
        <v>144</v>
      </c>
      <c r="E1869" s="74"/>
      <c r="F1869" s="74"/>
      <c r="G1869" s="76">
        <v>200</v>
      </c>
      <c r="H1869" s="76">
        <f t="shared" si="68"/>
        <v>200</v>
      </c>
      <c r="I1869" s="256"/>
      <c r="J1869" s="256"/>
      <c r="K1869" s="256"/>
      <c r="L1869" s="256"/>
      <c r="M1869" s="256"/>
    </row>
    <row r="1870" spans="1:13" ht="15" customHeight="1" x14ac:dyDescent="0.2">
      <c r="A1870" s="249">
        <v>8</v>
      </c>
      <c r="B1870" s="147" t="s">
        <v>445</v>
      </c>
      <c r="C1870" s="61">
        <v>61102</v>
      </c>
      <c r="D1870" s="62" t="s">
        <v>28</v>
      </c>
      <c r="E1870" s="74"/>
      <c r="F1870" s="74"/>
      <c r="G1870" s="76">
        <v>500</v>
      </c>
      <c r="H1870" s="76">
        <f t="shared" si="68"/>
        <v>500</v>
      </c>
      <c r="I1870" s="256"/>
      <c r="J1870" s="256"/>
      <c r="K1870" s="256"/>
      <c r="L1870" s="256"/>
      <c r="M1870" s="256"/>
    </row>
    <row r="1871" spans="1:13" ht="15" customHeight="1" x14ac:dyDescent="0.2">
      <c r="A1871" s="249">
        <v>8</v>
      </c>
      <c r="B1871" s="147" t="s">
        <v>445</v>
      </c>
      <c r="C1871" s="61">
        <v>61104</v>
      </c>
      <c r="D1871" s="62" t="s">
        <v>46</v>
      </c>
      <c r="E1871" s="74"/>
      <c r="F1871" s="74"/>
      <c r="G1871" s="76">
        <v>700</v>
      </c>
      <c r="H1871" s="76">
        <f t="shared" si="68"/>
        <v>700</v>
      </c>
      <c r="I1871" s="256"/>
      <c r="J1871" s="256"/>
      <c r="K1871" s="256"/>
      <c r="L1871" s="256"/>
      <c r="M1871" s="256"/>
    </row>
    <row r="1872" spans="1:13" ht="15" customHeight="1" x14ac:dyDescent="0.2">
      <c r="A1872" s="249">
        <v>8</v>
      </c>
      <c r="B1872" s="147" t="s">
        <v>445</v>
      </c>
      <c r="C1872" s="61">
        <v>61403</v>
      </c>
      <c r="D1872" s="62" t="s">
        <v>54</v>
      </c>
      <c r="E1872" s="74"/>
      <c r="F1872" s="74"/>
      <c r="G1872" s="76">
        <v>150</v>
      </c>
      <c r="H1872" s="76">
        <f t="shared" si="68"/>
        <v>150</v>
      </c>
      <c r="I1872" s="256"/>
      <c r="J1872" s="256"/>
      <c r="K1872" s="256"/>
      <c r="L1872" s="256"/>
      <c r="M1872" s="256"/>
    </row>
    <row r="1873" spans="1:18" ht="15" customHeight="1" x14ac:dyDescent="0.2">
      <c r="A1873" s="249">
        <v>8</v>
      </c>
      <c r="B1873" s="147" t="s">
        <v>636</v>
      </c>
      <c r="C1873" s="61"/>
      <c r="D1873" s="61" t="s">
        <v>14</v>
      </c>
      <c r="E1873" s="138">
        <f>SUM(E1845:E1861)</f>
        <v>0</v>
      </c>
      <c r="F1873" s="138">
        <f>SUM(F1845:F1861)</f>
        <v>0</v>
      </c>
      <c r="G1873" s="138">
        <f>SUM(G1845:G1872)</f>
        <v>26466.5</v>
      </c>
      <c r="H1873" s="83">
        <f t="shared" si="68"/>
        <v>26466.5</v>
      </c>
      <c r="I1873" s="73"/>
      <c r="J1873" s="73"/>
      <c r="K1873" s="73"/>
      <c r="L1873" s="73"/>
      <c r="M1873" s="73"/>
      <c r="O1873" s="258"/>
      <c r="P1873" s="259"/>
    </row>
    <row r="1874" spans="1:18" ht="15" customHeight="1" x14ac:dyDescent="0.2">
      <c r="A1874" s="249" t="s">
        <v>387</v>
      </c>
      <c r="B1874" s="147" t="s">
        <v>387</v>
      </c>
      <c r="C1874" s="148"/>
      <c r="D1874" s="148"/>
      <c r="E1874" s="149"/>
      <c r="F1874" s="149"/>
      <c r="G1874" s="149"/>
      <c r="H1874" s="261"/>
      <c r="O1874" s="258"/>
      <c r="P1874" s="259"/>
      <c r="Q1874" s="147" t="s">
        <v>593</v>
      </c>
      <c r="R1874" s="259">
        <f>+H1873-P1874</f>
        <v>26466.5</v>
      </c>
    </row>
    <row r="1875" spans="1:18" ht="15" customHeight="1" x14ac:dyDescent="0.2">
      <c r="A1875" s="249" t="s">
        <v>387</v>
      </c>
      <c r="B1875" s="147" t="s">
        <v>387</v>
      </c>
      <c r="C1875" s="148"/>
      <c r="D1875" s="148"/>
      <c r="E1875" s="260"/>
      <c r="F1875" s="260"/>
      <c r="G1875" s="261"/>
      <c r="H1875" s="261"/>
      <c r="O1875" s="258"/>
    </row>
    <row r="1876" spans="1:18" ht="15" customHeight="1" x14ac:dyDescent="0.2">
      <c r="A1876" s="249" t="s">
        <v>387</v>
      </c>
      <c r="B1876" s="147" t="s">
        <v>387</v>
      </c>
      <c r="C1876" s="368"/>
      <c r="D1876" s="369"/>
      <c r="E1876" s="370"/>
      <c r="F1876" s="370"/>
      <c r="G1876" s="370"/>
      <c r="H1876" s="370"/>
    </row>
    <row r="1877" spans="1:18" ht="15" customHeight="1" x14ac:dyDescent="0.2">
      <c r="A1877" s="249" t="s">
        <v>387</v>
      </c>
      <c r="B1877" s="147" t="s">
        <v>387</v>
      </c>
      <c r="C1877" s="427" t="s">
        <v>119</v>
      </c>
      <c r="D1877" s="427"/>
      <c r="E1877" s="427"/>
      <c r="F1877" s="427"/>
      <c r="G1877" s="427"/>
      <c r="H1877" s="427"/>
    </row>
    <row r="1878" spans="1:18" ht="15" customHeight="1" x14ac:dyDescent="0.2">
      <c r="A1878" s="249" t="s">
        <v>387</v>
      </c>
      <c r="B1878" s="147" t="s">
        <v>387</v>
      </c>
      <c r="C1878" s="428" t="str">
        <f>C3</f>
        <v xml:space="preserve"> PRESUPUESTO AÑO 2024</v>
      </c>
      <c r="D1878" s="428"/>
      <c r="E1878" s="428"/>
      <c r="F1878" s="428"/>
      <c r="G1878" s="428"/>
      <c r="H1878" s="428"/>
    </row>
    <row r="1879" spans="1:18" ht="15" customHeight="1" x14ac:dyDescent="0.2">
      <c r="A1879" s="249" t="s">
        <v>387</v>
      </c>
      <c r="B1879" s="147" t="s">
        <v>387</v>
      </c>
      <c r="C1879" s="428" t="str">
        <f>C4</f>
        <v>PRESUPUESTO EXTRA CONTABLE</v>
      </c>
      <c r="D1879" s="428"/>
      <c r="E1879" s="428"/>
      <c r="F1879" s="428"/>
      <c r="G1879" s="428"/>
      <c r="H1879" s="428"/>
    </row>
    <row r="1880" spans="1:18" ht="15" customHeight="1" x14ac:dyDescent="0.2">
      <c r="A1880" s="249" t="s">
        <v>387</v>
      </c>
      <c r="B1880" s="147" t="s">
        <v>387</v>
      </c>
      <c r="C1880" s="427" t="s">
        <v>117</v>
      </c>
      <c r="D1880" s="427"/>
      <c r="E1880" s="427"/>
      <c r="F1880" s="427"/>
      <c r="G1880" s="427"/>
      <c r="H1880" s="427"/>
    </row>
    <row r="1881" spans="1:18" ht="15" customHeight="1" x14ac:dyDescent="0.2">
      <c r="A1881" s="249" t="s">
        <v>387</v>
      </c>
      <c r="B1881" s="147" t="s">
        <v>387</v>
      </c>
      <c r="C1881" s="427" t="s">
        <v>768</v>
      </c>
      <c r="D1881" s="427"/>
      <c r="E1881" s="427"/>
      <c r="F1881" s="427"/>
      <c r="G1881" s="427"/>
      <c r="H1881" s="427"/>
    </row>
    <row r="1882" spans="1:18" ht="15" customHeight="1" x14ac:dyDescent="0.2">
      <c r="A1882" s="249" t="s">
        <v>387</v>
      </c>
      <c r="B1882" s="147" t="s">
        <v>387</v>
      </c>
      <c r="C1882" s="430" t="s">
        <v>1</v>
      </c>
      <c r="D1882" s="430" t="s">
        <v>0</v>
      </c>
      <c r="E1882" s="255" t="s">
        <v>56</v>
      </c>
      <c r="F1882" s="255" t="str">
        <f>F7</f>
        <v>REFORMA</v>
      </c>
      <c r="G1882" s="255" t="s">
        <v>56</v>
      </c>
      <c r="H1882" s="432" t="str">
        <f>$H$7</f>
        <v>TOTAL 2024</v>
      </c>
    </row>
    <row r="1883" spans="1:18" ht="15" customHeight="1" x14ac:dyDescent="0.2">
      <c r="A1883" s="249" t="s">
        <v>387</v>
      </c>
      <c r="B1883" s="147" t="s">
        <v>387</v>
      </c>
      <c r="C1883" s="431"/>
      <c r="D1883" s="431"/>
      <c r="E1883" s="255" t="s">
        <v>139</v>
      </c>
      <c r="F1883" s="255"/>
      <c r="G1883" s="255" t="s">
        <v>140</v>
      </c>
      <c r="H1883" s="433"/>
    </row>
    <row r="1884" spans="1:18" ht="15" customHeight="1" x14ac:dyDescent="0.2">
      <c r="A1884" s="249">
        <v>8</v>
      </c>
      <c r="B1884" s="147" t="s">
        <v>447</v>
      </c>
      <c r="C1884" s="61">
        <v>51101</v>
      </c>
      <c r="D1884" s="73" t="s">
        <v>15</v>
      </c>
      <c r="E1884" s="74"/>
      <c r="F1884" s="74"/>
      <c r="G1884" s="290">
        <v>24600</v>
      </c>
      <c r="H1884" s="76">
        <f t="shared" ref="H1884:H1909" si="69">E1884+F1884+G1884</f>
        <v>24600</v>
      </c>
    </row>
    <row r="1885" spans="1:18" ht="15" customHeight="1" x14ac:dyDescent="0.2">
      <c r="A1885" s="249">
        <v>8</v>
      </c>
      <c r="B1885" s="147" t="s">
        <v>447</v>
      </c>
      <c r="C1885" s="61">
        <v>51103</v>
      </c>
      <c r="D1885" s="73" t="s">
        <v>16</v>
      </c>
      <c r="E1885" s="76"/>
      <c r="F1885" s="76"/>
      <c r="G1885" s="290">
        <v>2050</v>
      </c>
      <c r="H1885" s="76">
        <f t="shared" si="69"/>
        <v>2050</v>
      </c>
    </row>
    <row r="1886" spans="1:18" ht="15" customHeight="1" x14ac:dyDescent="0.2">
      <c r="A1886" s="249">
        <v>8</v>
      </c>
      <c r="B1886" s="147" t="s">
        <v>447</v>
      </c>
      <c r="C1886" s="61" t="s">
        <v>550</v>
      </c>
      <c r="D1886" s="73" t="s">
        <v>34</v>
      </c>
      <c r="E1886" s="76"/>
      <c r="F1886" s="76"/>
      <c r="G1886" s="290">
        <v>800</v>
      </c>
      <c r="H1886" s="76">
        <f t="shared" si="69"/>
        <v>800</v>
      </c>
    </row>
    <row r="1887" spans="1:18" ht="15" customHeight="1" x14ac:dyDescent="0.2">
      <c r="A1887" s="249">
        <v>8</v>
      </c>
      <c r="B1887" s="147" t="s">
        <v>447</v>
      </c>
      <c r="C1887" s="61">
        <v>51401</v>
      </c>
      <c r="D1887" s="62" t="s">
        <v>47</v>
      </c>
      <c r="E1887" s="74"/>
      <c r="F1887" s="74"/>
      <c r="G1887" s="290">
        <v>2091.12</v>
      </c>
      <c r="H1887" s="76">
        <f t="shared" si="69"/>
        <v>2091.12</v>
      </c>
      <c r="O1887" s="257"/>
    </row>
    <row r="1888" spans="1:18" ht="15" customHeight="1" x14ac:dyDescent="0.2">
      <c r="A1888" s="249">
        <v>8</v>
      </c>
      <c r="B1888" s="147" t="s">
        <v>447</v>
      </c>
      <c r="C1888" s="61">
        <v>51501</v>
      </c>
      <c r="D1888" s="73" t="s">
        <v>29</v>
      </c>
      <c r="E1888" s="74"/>
      <c r="F1888" s="74"/>
      <c r="G1888" s="290">
        <v>2152.5</v>
      </c>
      <c r="H1888" s="76">
        <f t="shared" si="69"/>
        <v>2152.5</v>
      </c>
    </row>
    <row r="1889" spans="1:8" ht="15" customHeight="1" x14ac:dyDescent="0.2">
      <c r="A1889" s="249">
        <v>8</v>
      </c>
      <c r="B1889" s="147" t="s">
        <v>447</v>
      </c>
      <c r="C1889" s="61">
        <v>54101</v>
      </c>
      <c r="D1889" s="73" t="s">
        <v>38</v>
      </c>
      <c r="E1889" s="74"/>
      <c r="F1889" s="74"/>
      <c r="G1889" s="140">
        <v>1500</v>
      </c>
      <c r="H1889" s="76">
        <f t="shared" si="69"/>
        <v>1500</v>
      </c>
    </row>
    <row r="1890" spans="1:8" ht="15" customHeight="1" x14ac:dyDescent="0.2">
      <c r="A1890" s="249">
        <v>8</v>
      </c>
      <c r="B1890" s="147" t="s">
        <v>447</v>
      </c>
      <c r="C1890" s="61">
        <v>54104</v>
      </c>
      <c r="D1890" s="73" t="s">
        <v>17</v>
      </c>
      <c r="E1890" s="74"/>
      <c r="F1890" s="74"/>
      <c r="G1890" s="140">
        <v>1000</v>
      </c>
      <c r="H1890" s="76">
        <f t="shared" si="69"/>
        <v>1000</v>
      </c>
    </row>
    <row r="1891" spans="1:8" ht="15" customHeight="1" x14ac:dyDescent="0.2">
      <c r="A1891" s="249">
        <v>8</v>
      </c>
      <c r="B1891" s="147" t="s">
        <v>447</v>
      </c>
      <c r="C1891" s="61">
        <v>54105</v>
      </c>
      <c r="D1891" s="73" t="s">
        <v>131</v>
      </c>
      <c r="E1891" s="74"/>
      <c r="F1891" s="74"/>
      <c r="G1891" s="140">
        <v>1180</v>
      </c>
      <c r="H1891" s="76">
        <f t="shared" si="69"/>
        <v>1180</v>
      </c>
    </row>
    <row r="1892" spans="1:8" ht="15" customHeight="1" x14ac:dyDescent="0.2">
      <c r="A1892" s="249">
        <v>8</v>
      </c>
      <c r="B1892" s="147" t="s">
        <v>447</v>
      </c>
      <c r="C1892" s="61">
        <v>54111</v>
      </c>
      <c r="D1892" s="73" t="s">
        <v>162</v>
      </c>
      <c r="E1892" s="74"/>
      <c r="F1892" s="74"/>
      <c r="G1892" s="140">
        <v>100</v>
      </c>
      <c r="H1892" s="76">
        <f t="shared" si="69"/>
        <v>100</v>
      </c>
    </row>
    <row r="1893" spans="1:8" ht="15" customHeight="1" x14ac:dyDescent="0.2">
      <c r="A1893" s="249">
        <v>8</v>
      </c>
      <c r="B1893" s="147" t="s">
        <v>447</v>
      </c>
      <c r="C1893" s="61">
        <v>54112</v>
      </c>
      <c r="D1893" s="73" t="s">
        <v>42</v>
      </c>
      <c r="E1893" s="74"/>
      <c r="F1893" s="74"/>
      <c r="G1893" s="140">
        <v>100</v>
      </c>
      <c r="H1893" s="76">
        <f t="shared" si="69"/>
        <v>100</v>
      </c>
    </row>
    <row r="1894" spans="1:8" ht="15" customHeight="1" x14ac:dyDescent="0.2">
      <c r="A1894" s="249">
        <v>8</v>
      </c>
      <c r="B1894" s="147" t="s">
        <v>447</v>
      </c>
      <c r="C1894" s="61">
        <v>54114</v>
      </c>
      <c r="D1894" s="73" t="s">
        <v>5</v>
      </c>
      <c r="E1894" s="74"/>
      <c r="F1894" s="74"/>
      <c r="G1894" s="140">
        <v>1000</v>
      </c>
      <c r="H1894" s="76">
        <f t="shared" si="69"/>
        <v>1000</v>
      </c>
    </row>
    <row r="1895" spans="1:8" ht="15" customHeight="1" x14ac:dyDescent="0.2">
      <c r="A1895" s="249">
        <v>8</v>
      </c>
      <c r="B1895" s="147" t="s">
        <v>447</v>
      </c>
      <c r="C1895" s="61">
        <v>54115</v>
      </c>
      <c r="D1895" s="73" t="s">
        <v>49</v>
      </c>
      <c r="E1895" s="74"/>
      <c r="F1895" s="74"/>
      <c r="G1895" s="140">
        <v>1500</v>
      </c>
      <c r="H1895" s="76">
        <f t="shared" si="69"/>
        <v>1500</v>
      </c>
    </row>
    <row r="1896" spans="1:8" ht="15" customHeight="1" x14ac:dyDescent="0.2">
      <c r="A1896" s="249">
        <v>8</v>
      </c>
      <c r="B1896" s="147" t="s">
        <v>447</v>
      </c>
      <c r="C1896" s="61">
        <v>54116</v>
      </c>
      <c r="D1896" s="62" t="s">
        <v>167</v>
      </c>
      <c r="E1896" s="74"/>
      <c r="F1896" s="74"/>
      <c r="G1896" s="140">
        <v>100</v>
      </c>
      <c r="H1896" s="76">
        <f t="shared" si="69"/>
        <v>100</v>
      </c>
    </row>
    <row r="1897" spans="1:8" ht="15" customHeight="1" x14ac:dyDescent="0.2">
      <c r="A1897" s="249">
        <v>8</v>
      </c>
      <c r="B1897" s="147" t="s">
        <v>447</v>
      </c>
      <c r="C1897" s="61">
        <v>54119</v>
      </c>
      <c r="D1897" s="62" t="s">
        <v>44</v>
      </c>
      <c r="E1897" s="74"/>
      <c r="F1897" s="74"/>
      <c r="G1897" s="140">
        <v>200</v>
      </c>
      <c r="H1897" s="76">
        <f t="shared" si="69"/>
        <v>200</v>
      </c>
    </row>
    <row r="1898" spans="1:8" ht="15" customHeight="1" x14ac:dyDescent="0.2">
      <c r="A1898" s="249">
        <v>8</v>
      </c>
      <c r="B1898" s="147" t="s">
        <v>447</v>
      </c>
      <c r="C1898" s="61">
        <v>54199</v>
      </c>
      <c r="D1898" s="62" t="s">
        <v>26</v>
      </c>
      <c r="E1898" s="74"/>
      <c r="F1898" s="74"/>
      <c r="G1898" s="140">
        <v>100</v>
      </c>
      <c r="H1898" s="76">
        <f t="shared" si="69"/>
        <v>100</v>
      </c>
    </row>
    <row r="1899" spans="1:8" ht="15" customHeight="1" x14ac:dyDescent="0.2">
      <c r="A1899" s="249">
        <v>8</v>
      </c>
      <c r="B1899" s="147" t="s">
        <v>447</v>
      </c>
      <c r="C1899" s="61">
        <v>54301</v>
      </c>
      <c r="D1899" s="62" t="s">
        <v>8</v>
      </c>
      <c r="E1899" s="74"/>
      <c r="F1899" s="74"/>
      <c r="G1899" s="140">
        <v>400</v>
      </c>
      <c r="H1899" s="76">
        <f t="shared" si="69"/>
        <v>400</v>
      </c>
    </row>
    <row r="1900" spans="1:8" ht="15" customHeight="1" x14ac:dyDescent="0.2">
      <c r="A1900" s="249">
        <v>8</v>
      </c>
      <c r="B1900" s="147" t="s">
        <v>447</v>
      </c>
      <c r="C1900" s="61">
        <v>54305</v>
      </c>
      <c r="D1900" s="62" t="s">
        <v>33</v>
      </c>
      <c r="E1900" s="74"/>
      <c r="F1900" s="74"/>
      <c r="G1900" s="140">
        <v>300</v>
      </c>
      <c r="H1900" s="76">
        <f>E1900+F1900+G1900</f>
        <v>300</v>
      </c>
    </row>
    <row r="1901" spans="1:8" ht="15" customHeight="1" x14ac:dyDescent="0.2">
      <c r="A1901" s="249">
        <v>8</v>
      </c>
      <c r="B1901" s="147" t="s">
        <v>447</v>
      </c>
      <c r="C1901" s="61">
        <v>54310</v>
      </c>
      <c r="D1901" s="62" t="s">
        <v>390</v>
      </c>
      <c r="E1901" s="74"/>
      <c r="F1901" s="74"/>
      <c r="G1901" s="140">
        <v>3700</v>
      </c>
      <c r="H1901" s="76">
        <f t="shared" si="69"/>
        <v>3700</v>
      </c>
    </row>
    <row r="1902" spans="1:8" ht="15" customHeight="1" x14ac:dyDescent="0.2">
      <c r="A1902" s="249">
        <v>8</v>
      </c>
      <c r="B1902" s="147" t="s">
        <v>447</v>
      </c>
      <c r="C1902" s="61">
        <v>54314</v>
      </c>
      <c r="D1902" s="62" t="s">
        <v>505</v>
      </c>
      <c r="E1902" s="74"/>
      <c r="F1902" s="74"/>
      <c r="G1902" s="140">
        <v>300</v>
      </c>
      <c r="H1902" s="76">
        <f t="shared" si="69"/>
        <v>300</v>
      </c>
    </row>
    <row r="1903" spans="1:8" ht="15" customHeight="1" x14ac:dyDescent="0.2">
      <c r="A1903" s="249">
        <v>8</v>
      </c>
      <c r="B1903" s="147" t="s">
        <v>447</v>
      </c>
      <c r="C1903" s="61">
        <v>54316</v>
      </c>
      <c r="D1903" s="62" t="s">
        <v>45</v>
      </c>
      <c r="E1903" s="74">
        <v>0</v>
      </c>
      <c r="F1903" s="74"/>
      <c r="G1903" s="140">
        <v>400</v>
      </c>
      <c r="H1903" s="76">
        <f t="shared" si="69"/>
        <v>400</v>
      </c>
    </row>
    <row r="1904" spans="1:8" ht="15" customHeight="1" x14ac:dyDescent="0.2">
      <c r="A1904" s="249">
        <v>8</v>
      </c>
      <c r="B1904" s="147" t="s">
        <v>447</v>
      </c>
      <c r="C1904" s="61">
        <v>54399</v>
      </c>
      <c r="D1904" s="62" t="s">
        <v>153</v>
      </c>
      <c r="E1904" s="74"/>
      <c r="F1904" s="74"/>
      <c r="G1904" s="140">
        <v>300</v>
      </c>
      <c r="H1904" s="76">
        <f t="shared" si="69"/>
        <v>300</v>
      </c>
    </row>
    <row r="1905" spans="1:18" ht="15" customHeight="1" x14ac:dyDescent="0.2">
      <c r="A1905" s="249">
        <v>8</v>
      </c>
      <c r="B1905" s="147" t="s">
        <v>447</v>
      </c>
      <c r="C1905" s="61">
        <v>54401</v>
      </c>
      <c r="D1905" s="62" t="s">
        <v>143</v>
      </c>
      <c r="E1905" s="74"/>
      <c r="F1905" s="74"/>
      <c r="G1905" s="140">
        <v>300</v>
      </c>
      <c r="H1905" s="76">
        <f t="shared" si="69"/>
        <v>300</v>
      </c>
    </row>
    <row r="1906" spans="1:18" ht="15" customHeight="1" x14ac:dyDescent="0.2">
      <c r="A1906" s="249">
        <v>8</v>
      </c>
      <c r="B1906" s="147" t="s">
        <v>447</v>
      </c>
      <c r="C1906" s="61">
        <v>61101</v>
      </c>
      <c r="D1906" s="73" t="s">
        <v>144</v>
      </c>
      <c r="E1906" s="74"/>
      <c r="F1906" s="74"/>
      <c r="G1906" s="140">
        <v>1000</v>
      </c>
      <c r="H1906" s="76">
        <f t="shared" si="69"/>
        <v>1000</v>
      </c>
    </row>
    <row r="1907" spans="1:18" ht="15" customHeight="1" x14ac:dyDescent="0.2">
      <c r="A1907" s="249">
        <v>8</v>
      </c>
      <c r="B1907" s="147" t="s">
        <v>447</v>
      </c>
      <c r="C1907" s="61">
        <v>61102</v>
      </c>
      <c r="D1907" s="62" t="s">
        <v>28</v>
      </c>
      <c r="E1907" s="74"/>
      <c r="F1907" s="74"/>
      <c r="G1907" s="140">
        <v>300</v>
      </c>
      <c r="H1907" s="76">
        <f t="shared" si="69"/>
        <v>300</v>
      </c>
    </row>
    <row r="1908" spans="1:18" ht="15" customHeight="1" x14ac:dyDescent="0.2">
      <c r="A1908" s="249">
        <v>8</v>
      </c>
      <c r="B1908" s="147" t="s">
        <v>447</v>
      </c>
      <c r="C1908" s="61">
        <v>61104</v>
      </c>
      <c r="D1908" s="73" t="s">
        <v>46</v>
      </c>
      <c r="E1908" s="74"/>
      <c r="F1908" s="74"/>
      <c r="G1908" s="140">
        <v>1500</v>
      </c>
      <c r="H1908" s="76">
        <f t="shared" si="69"/>
        <v>1500</v>
      </c>
    </row>
    <row r="1909" spans="1:18" ht="15" customHeight="1" x14ac:dyDescent="0.2">
      <c r="A1909" s="249">
        <v>8</v>
      </c>
      <c r="B1909" s="147" t="s">
        <v>637</v>
      </c>
      <c r="C1909" s="61"/>
      <c r="D1909" s="61" t="s">
        <v>14</v>
      </c>
      <c r="E1909" s="138">
        <f>SUM(E1884:E1908)</f>
        <v>0</v>
      </c>
      <c r="F1909" s="138">
        <f>SUM(F1884:F1908)</f>
        <v>0</v>
      </c>
      <c r="G1909" s="138">
        <f>SUM(G1884:G1908)</f>
        <v>46973.619999999995</v>
      </c>
      <c r="H1909" s="83">
        <f t="shared" si="69"/>
        <v>46973.619999999995</v>
      </c>
      <c r="O1909" s="258"/>
      <c r="P1909" s="259"/>
    </row>
    <row r="1910" spans="1:18" ht="15" customHeight="1" x14ac:dyDescent="0.2">
      <c r="A1910" s="249" t="s">
        <v>387</v>
      </c>
      <c r="B1910" s="147" t="s">
        <v>387</v>
      </c>
      <c r="C1910" s="148"/>
      <c r="D1910" s="148"/>
      <c r="E1910" s="149"/>
      <c r="F1910" s="149"/>
      <c r="G1910" s="149"/>
      <c r="H1910" s="149"/>
      <c r="O1910" s="258"/>
      <c r="P1910" s="259"/>
      <c r="Q1910" s="147" t="s">
        <v>591</v>
      </c>
      <c r="R1910" s="259">
        <f>+H1909-P1910</f>
        <v>46973.619999999995</v>
      </c>
    </row>
    <row r="1911" spans="1:18" ht="15" customHeight="1" x14ac:dyDescent="0.2">
      <c r="A1911" s="249" t="s">
        <v>387</v>
      </c>
      <c r="B1911" s="147" t="s">
        <v>387</v>
      </c>
      <c r="C1911" s="148"/>
      <c r="D1911" s="148"/>
      <c r="E1911" s="149"/>
      <c r="F1911" s="149"/>
      <c r="G1911" s="149"/>
      <c r="H1911" s="149"/>
    </row>
    <row r="1912" spans="1:18" ht="15" customHeight="1" x14ac:dyDescent="0.2">
      <c r="A1912" s="249" t="s">
        <v>387</v>
      </c>
      <c r="B1912" s="147" t="s">
        <v>387</v>
      </c>
      <c r="C1912" s="368"/>
      <c r="D1912" s="369"/>
      <c r="E1912" s="370"/>
      <c r="F1912" s="370"/>
      <c r="G1912" s="370"/>
      <c r="H1912" s="370"/>
    </row>
    <row r="1913" spans="1:18" ht="15" customHeight="1" x14ac:dyDescent="0.2">
      <c r="A1913" s="249" t="s">
        <v>387</v>
      </c>
      <c r="B1913" s="147" t="s">
        <v>387</v>
      </c>
      <c r="C1913" s="427" t="s">
        <v>119</v>
      </c>
      <c r="D1913" s="427"/>
      <c r="E1913" s="427"/>
      <c r="F1913" s="427"/>
      <c r="G1913" s="427"/>
      <c r="H1913" s="427"/>
    </row>
    <row r="1914" spans="1:18" ht="15" customHeight="1" x14ac:dyDescent="0.2">
      <c r="A1914" s="249" t="s">
        <v>387</v>
      </c>
      <c r="B1914" s="147" t="s">
        <v>387</v>
      </c>
      <c r="C1914" s="428" t="str">
        <f>C3</f>
        <v xml:space="preserve"> PRESUPUESTO AÑO 2024</v>
      </c>
      <c r="D1914" s="428"/>
      <c r="E1914" s="428"/>
      <c r="F1914" s="428"/>
      <c r="G1914" s="428"/>
      <c r="H1914" s="428"/>
    </row>
    <row r="1915" spans="1:18" ht="15" customHeight="1" x14ac:dyDescent="0.2">
      <c r="A1915" s="249" t="s">
        <v>387</v>
      </c>
      <c r="B1915" s="147" t="s">
        <v>387</v>
      </c>
      <c r="C1915" s="428" t="str">
        <f>C4</f>
        <v>PRESUPUESTO EXTRA CONTABLE</v>
      </c>
      <c r="D1915" s="428"/>
      <c r="E1915" s="428"/>
      <c r="F1915" s="428"/>
      <c r="G1915" s="428"/>
      <c r="H1915" s="428"/>
    </row>
    <row r="1916" spans="1:18" ht="15" customHeight="1" x14ac:dyDescent="0.2">
      <c r="A1916" s="249" t="s">
        <v>387</v>
      </c>
      <c r="B1916" s="147" t="s">
        <v>387</v>
      </c>
      <c r="C1916" s="427" t="s">
        <v>117</v>
      </c>
      <c r="D1916" s="427"/>
      <c r="E1916" s="427"/>
      <c r="F1916" s="427"/>
      <c r="G1916" s="427"/>
      <c r="H1916" s="427"/>
    </row>
    <row r="1917" spans="1:18" ht="15" customHeight="1" x14ac:dyDescent="0.2">
      <c r="A1917" s="249" t="s">
        <v>387</v>
      </c>
      <c r="B1917" s="147" t="s">
        <v>387</v>
      </c>
      <c r="C1917" s="427" t="s">
        <v>769</v>
      </c>
      <c r="D1917" s="427"/>
      <c r="E1917" s="427"/>
      <c r="F1917" s="427"/>
      <c r="G1917" s="427"/>
      <c r="H1917" s="427"/>
    </row>
    <row r="1918" spans="1:18" ht="15" customHeight="1" x14ac:dyDescent="0.2">
      <c r="A1918" s="249" t="s">
        <v>387</v>
      </c>
      <c r="B1918" s="147" t="s">
        <v>387</v>
      </c>
      <c r="C1918" s="430" t="s">
        <v>1</v>
      </c>
      <c r="D1918" s="430" t="s">
        <v>0</v>
      </c>
      <c r="E1918" s="255" t="s">
        <v>56</v>
      </c>
      <c r="F1918" s="255" t="e">
        <f>#REF!</f>
        <v>#REF!</v>
      </c>
      <c r="G1918" s="255" t="s">
        <v>56</v>
      </c>
      <c r="H1918" s="432" t="str">
        <f>$H$7</f>
        <v>TOTAL 2024</v>
      </c>
    </row>
    <row r="1919" spans="1:18" ht="15" customHeight="1" x14ac:dyDescent="0.2">
      <c r="A1919" s="249" t="s">
        <v>387</v>
      </c>
      <c r="B1919" s="147" t="s">
        <v>387</v>
      </c>
      <c r="C1919" s="431"/>
      <c r="D1919" s="431"/>
      <c r="E1919" s="255" t="s">
        <v>139</v>
      </c>
      <c r="F1919" s="255"/>
      <c r="G1919" s="255" t="s">
        <v>140</v>
      </c>
      <c r="H1919" s="433"/>
    </row>
    <row r="1920" spans="1:18" ht="15" customHeight="1" x14ac:dyDescent="0.2">
      <c r="A1920" s="249">
        <v>8</v>
      </c>
      <c r="B1920" s="147" t="s">
        <v>448</v>
      </c>
      <c r="C1920" s="61">
        <v>51101</v>
      </c>
      <c r="D1920" s="73" t="s">
        <v>15</v>
      </c>
      <c r="E1920" s="74"/>
      <c r="F1920" s="74"/>
      <c r="G1920" s="290">
        <v>11100</v>
      </c>
      <c r="H1920" s="76">
        <f t="shared" ref="H1920:H1943" si="70">E1920+F1920+G1920</f>
        <v>11100</v>
      </c>
    </row>
    <row r="1921" spans="1:15" ht="15" customHeight="1" x14ac:dyDescent="0.2">
      <c r="A1921" s="249">
        <v>8</v>
      </c>
      <c r="B1921" s="147" t="s">
        <v>448</v>
      </c>
      <c r="C1921" s="61">
        <v>51103</v>
      </c>
      <c r="D1921" s="73" t="s">
        <v>16</v>
      </c>
      <c r="E1921" s="76"/>
      <c r="F1921" s="76"/>
      <c r="G1921" s="290">
        <v>925</v>
      </c>
      <c r="H1921" s="76">
        <f t="shared" si="70"/>
        <v>925</v>
      </c>
    </row>
    <row r="1922" spans="1:15" ht="15" customHeight="1" x14ac:dyDescent="0.2">
      <c r="A1922" s="249">
        <v>8</v>
      </c>
      <c r="B1922" s="147" t="s">
        <v>448</v>
      </c>
      <c r="C1922" s="61" t="s">
        <v>550</v>
      </c>
      <c r="D1922" s="73" t="s">
        <v>34</v>
      </c>
      <c r="E1922" s="76"/>
      <c r="F1922" s="76"/>
      <c r="G1922" s="290">
        <v>400</v>
      </c>
      <c r="H1922" s="76">
        <f t="shared" si="70"/>
        <v>400</v>
      </c>
    </row>
    <row r="1923" spans="1:15" ht="15" customHeight="1" x14ac:dyDescent="0.2">
      <c r="A1923" s="249">
        <v>8</v>
      </c>
      <c r="B1923" s="147" t="s">
        <v>448</v>
      </c>
      <c r="C1923" s="61">
        <v>51401</v>
      </c>
      <c r="D1923" s="62" t="s">
        <v>47</v>
      </c>
      <c r="E1923" s="74"/>
      <c r="F1923" s="74"/>
      <c r="G1923" s="290">
        <v>943.56</v>
      </c>
      <c r="H1923" s="76">
        <f t="shared" si="70"/>
        <v>943.56</v>
      </c>
      <c r="O1923" s="257"/>
    </row>
    <row r="1924" spans="1:15" ht="15" customHeight="1" x14ac:dyDescent="0.2">
      <c r="A1924" s="249">
        <v>8</v>
      </c>
      <c r="B1924" s="147" t="s">
        <v>448</v>
      </c>
      <c r="C1924" s="61">
        <v>51501</v>
      </c>
      <c r="D1924" s="73" t="s">
        <v>29</v>
      </c>
      <c r="E1924" s="74"/>
      <c r="F1924" s="74"/>
      <c r="G1924" s="290">
        <v>971.25</v>
      </c>
      <c r="H1924" s="76">
        <f t="shared" si="70"/>
        <v>971.25</v>
      </c>
    </row>
    <row r="1925" spans="1:15" ht="15" customHeight="1" x14ac:dyDescent="0.2">
      <c r="A1925" s="249">
        <v>8</v>
      </c>
      <c r="B1925" s="147" t="s">
        <v>448</v>
      </c>
      <c r="C1925" s="61">
        <v>54101</v>
      </c>
      <c r="D1925" s="73" t="s">
        <v>38</v>
      </c>
      <c r="E1925" s="74"/>
      <c r="F1925" s="74"/>
      <c r="G1925" s="140">
        <v>100</v>
      </c>
      <c r="H1925" s="76">
        <f t="shared" si="70"/>
        <v>100</v>
      </c>
    </row>
    <row r="1926" spans="1:15" ht="15" customHeight="1" x14ac:dyDescent="0.2">
      <c r="A1926" s="249">
        <v>8</v>
      </c>
      <c r="B1926" s="147" t="s">
        <v>448</v>
      </c>
      <c r="C1926" s="61">
        <v>54103</v>
      </c>
      <c r="D1926" s="73" t="s">
        <v>41</v>
      </c>
      <c r="E1926" s="74"/>
      <c r="F1926" s="74"/>
      <c r="G1926" s="140">
        <v>1500</v>
      </c>
      <c r="H1926" s="76">
        <f t="shared" si="70"/>
        <v>1500</v>
      </c>
    </row>
    <row r="1927" spans="1:15" ht="15" customHeight="1" x14ac:dyDescent="0.2">
      <c r="A1927" s="249">
        <v>8</v>
      </c>
      <c r="B1927" s="147" t="s">
        <v>448</v>
      </c>
      <c r="C1927" s="61">
        <v>54104</v>
      </c>
      <c r="D1927" s="73" t="s">
        <v>17</v>
      </c>
      <c r="E1927" s="74"/>
      <c r="F1927" s="74"/>
      <c r="G1927" s="140">
        <v>200</v>
      </c>
      <c r="H1927" s="76">
        <f t="shared" si="70"/>
        <v>200</v>
      </c>
    </row>
    <row r="1928" spans="1:15" ht="15" customHeight="1" x14ac:dyDescent="0.2">
      <c r="A1928" s="249">
        <v>8</v>
      </c>
      <c r="B1928" s="147" t="s">
        <v>448</v>
      </c>
      <c r="C1928" s="61">
        <v>54105</v>
      </c>
      <c r="D1928" s="73" t="s">
        <v>131</v>
      </c>
      <c r="E1928" s="74"/>
      <c r="F1928" s="74"/>
      <c r="G1928" s="140">
        <v>300</v>
      </c>
      <c r="H1928" s="76">
        <f t="shared" si="70"/>
        <v>300</v>
      </c>
    </row>
    <row r="1929" spans="1:15" ht="15" customHeight="1" x14ac:dyDescent="0.2">
      <c r="A1929" s="249">
        <v>8</v>
      </c>
      <c r="B1929" s="147" t="s">
        <v>448</v>
      </c>
      <c r="C1929" s="61">
        <v>54107</v>
      </c>
      <c r="D1929" s="73" t="s">
        <v>43</v>
      </c>
      <c r="E1929" s="74"/>
      <c r="F1929" s="74"/>
      <c r="G1929" s="140">
        <v>500</v>
      </c>
      <c r="H1929" s="76">
        <f t="shared" si="70"/>
        <v>500</v>
      </c>
    </row>
    <row r="1930" spans="1:15" ht="15" customHeight="1" x14ac:dyDescent="0.2">
      <c r="A1930" s="249">
        <v>8</v>
      </c>
      <c r="B1930" s="147" t="s">
        <v>448</v>
      </c>
      <c r="C1930" s="61">
        <v>54110</v>
      </c>
      <c r="D1930" s="73" t="s">
        <v>147</v>
      </c>
      <c r="E1930" s="74"/>
      <c r="F1930" s="74"/>
      <c r="G1930" s="140">
        <v>2000</v>
      </c>
      <c r="H1930" s="76">
        <f t="shared" si="70"/>
        <v>2000</v>
      </c>
    </row>
    <row r="1931" spans="1:15" ht="15" customHeight="1" x14ac:dyDescent="0.2">
      <c r="A1931" s="249">
        <v>8</v>
      </c>
      <c r="B1931" s="147" t="s">
        <v>448</v>
      </c>
      <c r="C1931" s="61">
        <v>54111</v>
      </c>
      <c r="D1931" s="73" t="s">
        <v>162</v>
      </c>
      <c r="E1931" s="74"/>
      <c r="F1931" s="74"/>
      <c r="G1931" s="140">
        <v>200</v>
      </c>
      <c r="H1931" s="76">
        <f t="shared" si="70"/>
        <v>200</v>
      </c>
    </row>
    <row r="1932" spans="1:15" ht="15" customHeight="1" x14ac:dyDescent="0.2">
      <c r="A1932" s="249">
        <v>8</v>
      </c>
      <c r="B1932" s="147" t="s">
        <v>448</v>
      </c>
      <c r="C1932" s="61">
        <v>54112</v>
      </c>
      <c r="D1932" s="73" t="s">
        <v>42</v>
      </c>
      <c r="E1932" s="74"/>
      <c r="F1932" s="74"/>
      <c r="G1932" s="140">
        <v>200</v>
      </c>
      <c r="H1932" s="76">
        <f t="shared" si="70"/>
        <v>200</v>
      </c>
    </row>
    <row r="1933" spans="1:15" ht="15" customHeight="1" x14ac:dyDescent="0.2">
      <c r="A1933" s="249">
        <v>8</v>
      </c>
      <c r="B1933" s="147" t="s">
        <v>448</v>
      </c>
      <c r="C1933" s="61">
        <v>54114</v>
      </c>
      <c r="D1933" s="73" t="s">
        <v>5</v>
      </c>
      <c r="E1933" s="74"/>
      <c r="F1933" s="74"/>
      <c r="G1933" s="140">
        <v>300</v>
      </c>
      <c r="H1933" s="76">
        <f t="shared" si="70"/>
        <v>300</v>
      </c>
    </row>
    <row r="1934" spans="1:15" ht="15" customHeight="1" x14ac:dyDescent="0.2">
      <c r="A1934" s="249">
        <v>8</v>
      </c>
      <c r="B1934" s="147" t="s">
        <v>448</v>
      </c>
      <c r="C1934" s="61">
        <v>54115</v>
      </c>
      <c r="D1934" s="73" t="s">
        <v>49</v>
      </c>
      <c r="E1934" s="74"/>
      <c r="F1934" s="74"/>
      <c r="G1934" s="140">
        <v>200</v>
      </c>
      <c r="H1934" s="76">
        <f t="shared" si="70"/>
        <v>200</v>
      </c>
    </row>
    <row r="1935" spans="1:15" ht="15" customHeight="1" x14ac:dyDescent="0.2">
      <c r="A1935" s="249">
        <v>8</v>
      </c>
      <c r="B1935" s="147" t="s">
        <v>448</v>
      </c>
      <c r="C1935" s="61">
        <v>54118</v>
      </c>
      <c r="D1935" s="62" t="s">
        <v>35</v>
      </c>
      <c r="E1935" s="74"/>
      <c r="F1935" s="74"/>
      <c r="G1935" s="140">
        <v>300</v>
      </c>
      <c r="H1935" s="76">
        <f t="shared" si="70"/>
        <v>300</v>
      </c>
    </row>
    <row r="1936" spans="1:15" ht="15" customHeight="1" x14ac:dyDescent="0.2">
      <c r="A1936" s="249">
        <v>8</v>
      </c>
      <c r="B1936" s="147" t="s">
        <v>448</v>
      </c>
      <c r="C1936" s="61">
        <v>54119</v>
      </c>
      <c r="D1936" s="62" t="s">
        <v>44</v>
      </c>
      <c r="E1936" s="74"/>
      <c r="F1936" s="74"/>
      <c r="G1936" s="140">
        <v>100</v>
      </c>
      <c r="H1936" s="76">
        <f t="shared" si="70"/>
        <v>100</v>
      </c>
    </row>
    <row r="1937" spans="1:18" ht="15" customHeight="1" x14ac:dyDescent="0.2">
      <c r="A1937" s="249">
        <v>8</v>
      </c>
      <c r="B1937" s="147" t="s">
        <v>448</v>
      </c>
      <c r="C1937" s="61">
        <v>54310</v>
      </c>
      <c r="D1937" s="62" t="s">
        <v>556</v>
      </c>
      <c r="E1937" s="74"/>
      <c r="F1937" s="74"/>
      <c r="G1937" s="140">
        <v>0</v>
      </c>
      <c r="H1937" s="140">
        <v>150</v>
      </c>
    </row>
    <row r="1938" spans="1:18" ht="15" customHeight="1" x14ac:dyDescent="0.2">
      <c r="A1938" s="249">
        <v>8</v>
      </c>
      <c r="B1938" s="147" t="s">
        <v>448</v>
      </c>
      <c r="C1938" s="61">
        <v>54399</v>
      </c>
      <c r="D1938" s="62" t="s">
        <v>153</v>
      </c>
      <c r="E1938" s="74"/>
      <c r="F1938" s="74"/>
      <c r="G1938" s="140">
        <v>1215</v>
      </c>
      <c r="H1938" s="76">
        <f t="shared" si="70"/>
        <v>1215</v>
      </c>
    </row>
    <row r="1939" spans="1:18" ht="15" customHeight="1" x14ac:dyDescent="0.2">
      <c r="A1939" s="249">
        <v>8</v>
      </c>
      <c r="B1939" s="147" t="s">
        <v>448</v>
      </c>
      <c r="C1939" s="61">
        <v>54401</v>
      </c>
      <c r="D1939" s="62" t="s">
        <v>143</v>
      </c>
      <c r="E1939" s="74"/>
      <c r="F1939" s="74"/>
      <c r="G1939" s="140">
        <v>0</v>
      </c>
      <c r="H1939" s="76">
        <f t="shared" si="70"/>
        <v>0</v>
      </c>
    </row>
    <row r="1940" spans="1:18" ht="15" customHeight="1" x14ac:dyDescent="0.2">
      <c r="A1940" s="249">
        <v>8</v>
      </c>
      <c r="B1940" s="147" t="s">
        <v>448</v>
      </c>
      <c r="C1940" s="61">
        <v>61101</v>
      </c>
      <c r="D1940" s="73" t="s">
        <v>144</v>
      </c>
      <c r="E1940" s="74"/>
      <c r="F1940" s="74"/>
      <c r="G1940" s="140">
        <v>400</v>
      </c>
      <c r="H1940" s="76">
        <f t="shared" si="70"/>
        <v>400</v>
      </c>
    </row>
    <row r="1941" spans="1:18" ht="15" customHeight="1" x14ac:dyDescent="0.2">
      <c r="A1941" s="249">
        <v>8</v>
      </c>
      <c r="B1941" s="147" t="s">
        <v>448</v>
      </c>
      <c r="C1941" s="61">
        <v>61102</v>
      </c>
      <c r="D1941" s="62" t="s">
        <v>28</v>
      </c>
      <c r="E1941" s="74"/>
      <c r="F1941" s="74"/>
      <c r="G1941" s="140">
        <v>7200</v>
      </c>
      <c r="H1941" s="76">
        <f t="shared" si="70"/>
        <v>7200</v>
      </c>
      <c r="P1941" s="274"/>
    </row>
    <row r="1942" spans="1:18" ht="15" customHeight="1" x14ac:dyDescent="0.2">
      <c r="A1942" s="249">
        <v>8</v>
      </c>
      <c r="B1942" s="147" t="s">
        <v>448</v>
      </c>
      <c r="C1942" s="61">
        <v>61104</v>
      </c>
      <c r="D1942" s="73" t="s">
        <v>46</v>
      </c>
      <c r="E1942" s="74"/>
      <c r="F1942" s="74"/>
      <c r="G1942" s="140">
        <v>600</v>
      </c>
      <c r="H1942" s="76">
        <f t="shared" si="70"/>
        <v>600</v>
      </c>
      <c r="P1942" s="147">
        <v>67548.92</v>
      </c>
      <c r="Q1942" s="274">
        <f>G2298-P1942</f>
        <v>28516.080000000002</v>
      </c>
    </row>
    <row r="1943" spans="1:18" ht="15" customHeight="1" x14ac:dyDescent="0.2">
      <c r="A1943" s="249">
        <v>8</v>
      </c>
      <c r="B1943" s="147" t="s">
        <v>638</v>
      </c>
      <c r="C1943" s="61"/>
      <c r="D1943" s="61" t="s">
        <v>14</v>
      </c>
      <c r="E1943" s="138">
        <f>SUM(E1920:E1942)</f>
        <v>0</v>
      </c>
      <c r="F1943" s="138">
        <f>SUM(F1920:F1942)</f>
        <v>0</v>
      </c>
      <c r="G1943" s="138">
        <f>SUM(G1920:G1942)</f>
        <v>29654.809999999998</v>
      </c>
      <c r="H1943" s="83">
        <f t="shared" si="70"/>
        <v>29654.809999999998</v>
      </c>
      <c r="O1943" s="258"/>
      <c r="P1943" s="259"/>
    </row>
    <row r="1944" spans="1:18" ht="15" customHeight="1" x14ac:dyDescent="0.2">
      <c r="A1944" s="249" t="s">
        <v>387</v>
      </c>
      <c r="B1944" s="147" t="s">
        <v>387</v>
      </c>
      <c r="C1944" s="148"/>
      <c r="D1944" s="148"/>
      <c r="E1944" s="149"/>
      <c r="F1944" s="149"/>
      <c r="G1944" s="149"/>
      <c r="H1944" s="149"/>
      <c r="O1944" s="258"/>
      <c r="P1944" s="259"/>
      <c r="Q1944" s="147" t="s">
        <v>590</v>
      </c>
      <c r="R1944" s="259">
        <f>+H1943-P1944</f>
        <v>29654.809999999998</v>
      </c>
    </row>
    <row r="1945" spans="1:18" ht="15" customHeight="1" x14ac:dyDescent="0.2">
      <c r="A1945" s="249" t="s">
        <v>387</v>
      </c>
      <c r="B1945" s="147" t="s">
        <v>387</v>
      </c>
      <c r="C1945" s="148"/>
      <c r="D1945" s="148"/>
      <c r="E1945" s="149"/>
      <c r="F1945" s="149"/>
      <c r="G1945" s="149"/>
      <c r="H1945" s="149"/>
    </row>
    <row r="1946" spans="1:18" ht="15" customHeight="1" x14ac:dyDescent="0.2">
      <c r="A1946" s="249" t="s">
        <v>387</v>
      </c>
      <c r="B1946" s="147" t="s">
        <v>387</v>
      </c>
      <c r="C1946" s="368"/>
      <c r="D1946" s="369"/>
      <c r="E1946" s="370"/>
      <c r="F1946" s="370"/>
      <c r="G1946" s="370"/>
      <c r="H1946" s="370"/>
    </row>
    <row r="1947" spans="1:18" ht="15" customHeight="1" x14ac:dyDescent="0.2">
      <c r="A1947" s="249" t="s">
        <v>387</v>
      </c>
      <c r="B1947" s="147" t="s">
        <v>387</v>
      </c>
      <c r="C1947" s="427" t="s">
        <v>119</v>
      </c>
      <c r="D1947" s="427"/>
      <c r="E1947" s="427"/>
      <c r="F1947" s="427"/>
      <c r="G1947" s="427"/>
      <c r="H1947" s="427"/>
    </row>
    <row r="1948" spans="1:18" ht="15" customHeight="1" x14ac:dyDescent="0.2">
      <c r="A1948" s="249" t="s">
        <v>387</v>
      </c>
      <c r="B1948" s="147" t="s">
        <v>387</v>
      </c>
      <c r="C1948" s="428" t="str">
        <f>C3</f>
        <v xml:space="preserve"> PRESUPUESTO AÑO 2024</v>
      </c>
      <c r="D1948" s="428"/>
      <c r="E1948" s="428"/>
      <c r="F1948" s="428"/>
      <c r="G1948" s="428"/>
      <c r="H1948" s="428"/>
    </row>
    <row r="1949" spans="1:18" ht="15" customHeight="1" x14ac:dyDescent="0.2">
      <c r="A1949" s="249" t="s">
        <v>387</v>
      </c>
      <c r="B1949" s="147" t="s">
        <v>387</v>
      </c>
      <c r="C1949" s="428" t="str">
        <f>C4</f>
        <v>PRESUPUESTO EXTRA CONTABLE</v>
      </c>
      <c r="D1949" s="428"/>
      <c r="E1949" s="428"/>
      <c r="F1949" s="428"/>
      <c r="G1949" s="428"/>
      <c r="H1949" s="428"/>
    </row>
    <row r="1950" spans="1:18" ht="15" customHeight="1" x14ac:dyDescent="0.2">
      <c r="A1950" s="249" t="s">
        <v>387</v>
      </c>
      <c r="B1950" s="147" t="s">
        <v>387</v>
      </c>
      <c r="C1950" s="427" t="s">
        <v>117</v>
      </c>
      <c r="D1950" s="427"/>
      <c r="E1950" s="427"/>
      <c r="F1950" s="427"/>
      <c r="G1950" s="427"/>
      <c r="H1950" s="427"/>
    </row>
    <row r="1951" spans="1:18" ht="15" customHeight="1" x14ac:dyDescent="0.2">
      <c r="A1951" s="249" t="s">
        <v>387</v>
      </c>
      <c r="B1951" s="147" t="s">
        <v>387</v>
      </c>
      <c r="C1951" s="427" t="s">
        <v>710</v>
      </c>
      <c r="D1951" s="427"/>
      <c r="E1951" s="427"/>
      <c r="F1951" s="427"/>
      <c r="G1951" s="427"/>
      <c r="H1951" s="427"/>
    </row>
    <row r="1952" spans="1:18" ht="15" customHeight="1" x14ac:dyDescent="0.2">
      <c r="A1952" s="249" t="s">
        <v>387</v>
      </c>
      <c r="B1952" s="147" t="s">
        <v>387</v>
      </c>
      <c r="C1952" s="430" t="s">
        <v>1</v>
      </c>
      <c r="D1952" s="430" t="s">
        <v>0</v>
      </c>
      <c r="E1952" s="255" t="s">
        <v>56</v>
      </c>
      <c r="F1952" s="255">
        <f>F78</f>
        <v>0</v>
      </c>
      <c r="G1952" s="255" t="s">
        <v>56</v>
      </c>
      <c r="H1952" s="432" t="str">
        <f>$H$7</f>
        <v>TOTAL 2024</v>
      </c>
    </row>
    <row r="1953" spans="1:15" ht="15" customHeight="1" x14ac:dyDescent="0.2">
      <c r="A1953" s="249" t="s">
        <v>387</v>
      </c>
      <c r="B1953" s="147" t="s">
        <v>387</v>
      </c>
      <c r="C1953" s="431"/>
      <c r="D1953" s="431"/>
      <c r="E1953" s="255" t="s">
        <v>139</v>
      </c>
      <c r="F1953" s="255"/>
      <c r="G1953" s="255" t="s">
        <v>140</v>
      </c>
      <c r="H1953" s="433"/>
    </row>
    <row r="1954" spans="1:15" ht="15" customHeight="1" x14ac:dyDescent="0.2">
      <c r="A1954" s="249">
        <v>8</v>
      </c>
      <c r="B1954" s="147" t="s">
        <v>449</v>
      </c>
      <c r="C1954" s="61">
        <v>51101</v>
      </c>
      <c r="D1954" s="73" t="s">
        <v>15</v>
      </c>
      <c r="E1954" s="74"/>
      <c r="F1954" s="74"/>
      <c r="G1954" s="290">
        <v>5400</v>
      </c>
      <c r="H1954" s="76">
        <f t="shared" ref="H1954:H1977" si="71">E1954+F1954+G1954</f>
        <v>5400</v>
      </c>
    </row>
    <row r="1955" spans="1:15" ht="15" customHeight="1" x14ac:dyDescent="0.2">
      <c r="A1955" s="249">
        <v>8</v>
      </c>
      <c r="B1955" s="147" t="s">
        <v>449</v>
      </c>
      <c r="C1955" s="61">
        <v>51103</v>
      </c>
      <c r="D1955" s="73" t="s">
        <v>16</v>
      </c>
      <c r="E1955" s="76"/>
      <c r="F1955" s="76"/>
      <c r="G1955" s="290">
        <v>450</v>
      </c>
      <c r="H1955" s="76">
        <f t="shared" si="71"/>
        <v>450</v>
      </c>
    </row>
    <row r="1956" spans="1:15" ht="15" customHeight="1" x14ac:dyDescent="0.2">
      <c r="A1956" s="249">
        <v>8</v>
      </c>
      <c r="B1956" s="147" t="s">
        <v>449</v>
      </c>
      <c r="C1956" s="61" t="s">
        <v>550</v>
      </c>
      <c r="D1956" s="73" t="s">
        <v>34</v>
      </c>
      <c r="E1956" s="76"/>
      <c r="F1956" s="76"/>
      <c r="G1956" s="290">
        <v>200</v>
      </c>
      <c r="H1956" s="76">
        <f t="shared" si="71"/>
        <v>200</v>
      </c>
    </row>
    <row r="1957" spans="1:15" ht="15" customHeight="1" x14ac:dyDescent="0.2">
      <c r="A1957" s="249">
        <v>8</v>
      </c>
      <c r="B1957" s="147" t="s">
        <v>449</v>
      </c>
      <c r="C1957" s="61">
        <v>51401</v>
      </c>
      <c r="D1957" s="62" t="s">
        <v>47</v>
      </c>
      <c r="E1957" s="74"/>
      <c r="F1957" s="74"/>
      <c r="G1957" s="290">
        <v>459.00000000000006</v>
      </c>
      <c r="H1957" s="76">
        <f t="shared" si="71"/>
        <v>459.00000000000006</v>
      </c>
      <c r="O1957" s="257"/>
    </row>
    <row r="1958" spans="1:15" ht="15" customHeight="1" x14ac:dyDescent="0.2">
      <c r="A1958" s="249">
        <v>8</v>
      </c>
      <c r="B1958" s="147" t="s">
        <v>449</v>
      </c>
      <c r="C1958" s="61">
        <v>51501</v>
      </c>
      <c r="D1958" s="73" t="s">
        <v>29</v>
      </c>
      <c r="E1958" s="74"/>
      <c r="F1958" s="74"/>
      <c r="G1958" s="290">
        <v>472.49999999999994</v>
      </c>
      <c r="H1958" s="76">
        <f t="shared" si="71"/>
        <v>472.49999999999994</v>
      </c>
    </row>
    <row r="1959" spans="1:15" ht="15" customHeight="1" x14ac:dyDescent="0.2">
      <c r="A1959" s="249">
        <v>8</v>
      </c>
      <c r="B1959" s="147" t="s">
        <v>449</v>
      </c>
      <c r="C1959" s="61">
        <v>54101</v>
      </c>
      <c r="D1959" s="73" t="s">
        <v>38</v>
      </c>
      <c r="E1959" s="74"/>
      <c r="F1959" s="74"/>
      <c r="G1959" s="140">
        <v>700</v>
      </c>
      <c r="H1959" s="76">
        <f t="shared" si="71"/>
        <v>700</v>
      </c>
    </row>
    <row r="1960" spans="1:15" ht="15" customHeight="1" x14ac:dyDescent="0.2">
      <c r="A1960" s="249">
        <v>8</v>
      </c>
      <c r="B1960" s="147" t="s">
        <v>449</v>
      </c>
      <c r="C1960" s="61">
        <v>54104</v>
      </c>
      <c r="D1960" s="73" t="s">
        <v>17</v>
      </c>
      <c r="E1960" s="74"/>
      <c r="F1960" s="74"/>
      <c r="G1960" s="140">
        <v>200</v>
      </c>
      <c r="H1960" s="76">
        <f t="shared" si="71"/>
        <v>200</v>
      </c>
    </row>
    <row r="1961" spans="1:15" ht="15" customHeight="1" x14ac:dyDescent="0.2">
      <c r="A1961" s="249">
        <v>8</v>
      </c>
      <c r="B1961" s="147" t="s">
        <v>449</v>
      </c>
      <c r="C1961" s="61">
        <v>54105</v>
      </c>
      <c r="D1961" s="73" t="s">
        <v>131</v>
      </c>
      <c r="E1961" s="74"/>
      <c r="F1961" s="74"/>
      <c r="G1961" s="140">
        <v>500</v>
      </c>
      <c r="H1961" s="76">
        <f t="shared" si="71"/>
        <v>500</v>
      </c>
    </row>
    <row r="1962" spans="1:15" ht="15" customHeight="1" x14ac:dyDescent="0.2">
      <c r="A1962" s="249">
        <v>8</v>
      </c>
      <c r="B1962" s="147" t="s">
        <v>449</v>
      </c>
      <c r="C1962" s="61">
        <v>54106</v>
      </c>
      <c r="D1962" s="73" t="s">
        <v>18</v>
      </c>
      <c r="E1962" s="74"/>
      <c r="F1962" s="74"/>
      <c r="G1962" s="140">
        <v>100</v>
      </c>
      <c r="H1962" s="76">
        <f t="shared" si="71"/>
        <v>100</v>
      </c>
    </row>
    <row r="1963" spans="1:15" ht="15" customHeight="1" x14ac:dyDescent="0.2">
      <c r="A1963" s="249">
        <v>8</v>
      </c>
      <c r="B1963" s="147" t="s">
        <v>449</v>
      </c>
      <c r="C1963" s="61">
        <v>54107</v>
      </c>
      <c r="D1963" s="73" t="s">
        <v>43</v>
      </c>
      <c r="E1963" s="74"/>
      <c r="F1963" s="74"/>
      <c r="G1963" s="140">
        <v>100</v>
      </c>
      <c r="H1963" s="76">
        <f t="shared" si="71"/>
        <v>100</v>
      </c>
    </row>
    <row r="1964" spans="1:15" ht="15" customHeight="1" x14ac:dyDescent="0.2">
      <c r="A1964" s="249">
        <v>8</v>
      </c>
      <c r="B1964" s="147" t="s">
        <v>449</v>
      </c>
      <c r="C1964" s="61">
        <v>54111</v>
      </c>
      <c r="D1964" s="73" t="s">
        <v>162</v>
      </c>
      <c r="E1964" s="74"/>
      <c r="F1964" s="136"/>
      <c r="G1964" s="140">
        <v>100</v>
      </c>
      <c r="H1964" s="76">
        <f t="shared" si="71"/>
        <v>100</v>
      </c>
    </row>
    <row r="1965" spans="1:15" ht="15" customHeight="1" x14ac:dyDescent="0.2">
      <c r="A1965" s="249">
        <v>8</v>
      </c>
      <c r="B1965" s="147" t="s">
        <v>449</v>
      </c>
      <c r="C1965" s="61">
        <v>54112</v>
      </c>
      <c r="D1965" s="73" t="s">
        <v>42</v>
      </c>
      <c r="E1965" s="74"/>
      <c r="F1965" s="74"/>
      <c r="G1965" s="140">
        <v>100</v>
      </c>
      <c r="H1965" s="76">
        <f t="shared" si="71"/>
        <v>100</v>
      </c>
    </row>
    <row r="1966" spans="1:15" ht="15" customHeight="1" x14ac:dyDescent="0.2">
      <c r="A1966" s="249">
        <v>8</v>
      </c>
      <c r="B1966" s="147" t="s">
        <v>449</v>
      </c>
      <c r="C1966" s="61">
        <v>54114</v>
      </c>
      <c r="D1966" s="73" t="s">
        <v>5</v>
      </c>
      <c r="E1966" s="74"/>
      <c r="F1966" s="74"/>
      <c r="G1966" s="140">
        <v>500</v>
      </c>
      <c r="H1966" s="76">
        <f t="shared" si="71"/>
        <v>500</v>
      </c>
    </row>
    <row r="1967" spans="1:15" ht="15" customHeight="1" x14ac:dyDescent="0.2">
      <c r="A1967" s="249">
        <v>8</v>
      </c>
      <c r="B1967" s="147" t="s">
        <v>449</v>
      </c>
      <c r="C1967" s="61">
        <v>54115</v>
      </c>
      <c r="D1967" s="73" t="s">
        <v>49</v>
      </c>
      <c r="E1967" s="74"/>
      <c r="F1967" s="74"/>
      <c r="G1967" s="140">
        <v>700</v>
      </c>
      <c r="H1967" s="76">
        <f t="shared" si="71"/>
        <v>700</v>
      </c>
    </row>
    <row r="1968" spans="1:15" ht="15" customHeight="1" x14ac:dyDescent="0.2">
      <c r="A1968" s="249">
        <v>8</v>
      </c>
      <c r="B1968" s="147" t="s">
        <v>449</v>
      </c>
      <c r="C1968" s="61">
        <v>54119</v>
      </c>
      <c r="D1968" s="62" t="s">
        <v>44</v>
      </c>
      <c r="E1968" s="74"/>
      <c r="F1968" s="74"/>
      <c r="G1968" s="140">
        <v>200</v>
      </c>
      <c r="H1968" s="76">
        <f t="shared" si="71"/>
        <v>200</v>
      </c>
    </row>
    <row r="1969" spans="1:18" ht="15" customHeight="1" x14ac:dyDescent="0.2">
      <c r="A1969" s="249">
        <v>8</v>
      </c>
      <c r="B1969" s="147" t="s">
        <v>449</v>
      </c>
      <c r="C1969" s="61">
        <v>54199</v>
      </c>
      <c r="D1969" s="62" t="s">
        <v>26</v>
      </c>
      <c r="E1969" s="74"/>
      <c r="F1969" s="74"/>
      <c r="G1969" s="140">
        <v>200</v>
      </c>
      <c r="H1969" s="76">
        <f t="shared" si="71"/>
        <v>200</v>
      </c>
    </row>
    <row r="1970" spans="1:18" ht="15" customHeight="1" x14ac:dyDescent="0.2">
      <c r="A1970" s="249">
        <v>8</v>
      </c>
      <c r="B1970" s="147" t="s">
        <v>449</v>
      </c>
      <c r="C1970" s="61">
        <v>54301</v>
      </c>
      <c r="D1970" s="62" t="s">
        <v>8</v>
      </c>
      <c r="E1970" s="74"/>
      <c r="F1970" s="74"/>
      <c r="G1970" s="140">
        <v>300</v>
      </c>
      <c r="H1970" s="76">
        <f t="shared" si="71"/>
        <v>300</v>
      </c>
    </row>
    <row r="1971" spans="1:18" ht="15" customHeight="1" x14ac:dyDescent="0.2">
      <c r="A1971" s="249">
        <v>8</v>
      </c>
      <c r="B1971" s="147" t="s">
        <v>449</v>
      </c>
      <c r="C1971" s="61">
        <v>54313</v>
      </c>
      <c r="D1971" s="62" t="s">
        <v>577</v>
      </c>
      <c r="E1971" s="74"/>
      <c r="F1971" s="74"/>
      <c r="G1971" s="140">
        <v>500</v>
      </c>
      <c r="H1971" s="76">
        <f t="shared" si="71"/>
        <v>500</v>
      </c>
    </row>
    <row r="1972" spans="1:18" ht="15" customHeight="1" x14ac:dyDescent="0.2">
      <c r="A1972" s="249">
        <v>8</v>
      </c>
      <c r="B1972" s="147" t="s">
        <v>449</v>
      </c>
      <c r="C1972" s="61">
        <v>54401</v>
      </c>
      <c r="D1972" s="62" t="s">
        <v>143</v>
      </c>
      <c r="E1972" s="74"/>
      <c r="F1972" s="74"/>
      <c r="G1972" s="140">
        <v>800</v>
      </c>
      <c r="H1972" s="76">
        <f t="shared" si="71"/>
        <v>800</v>
      </c>
    </row>
    <row r="1973" spans="1:18" ht="15" customHeight="1" x14ac:dyDescent="0.2">
      <c r="A1973" s="249">
        <v>8</v>
      </c>
      <c r="B1973" s="147" t="s">
        <v>449</v>
      </c>
      <c r="C1973" s="134">
        <v>54505</v>
      </c>
      <c r="D1973" s="135" t="s">
        <v>853</v>
      </c>
      <c r="E1973" s="136"/>
      <c r="F1973" s="136"/>
      <c r="G1973" s="141">
        <v>600</v>
      </c>
      <c r="H1973" s="262">
        <f t="shared" si="71"/>
        <v>600</v>
      </c>
    </row>
    <row r="1974" spans="1:18" ht="15" customHeight="1" x14ac:dyDescent="0.2">
      <c r="A1974" s="249">
        <v>8</v>
      </c>
      <c r="B1974" s="147" t="s">
        <v>449</v>
      </c>
      <c r="C1974" s="61">
        <v>61101</v>
      </c>
      <c r="D1974" s="62" t="s">
        <v>144</v>
      </c>
      <c r="E1974" s="74"/>
      <c r="F1974" s="74"/>
      <c r="G1974" s="140">
        <v>3000</v>
      </c>
      <c r="H1974" s="76">
        <f t="shared" si="71"/>
        <v>3000</v>
      </c>
    </row>
    <row r="1975" spans="1:18" ht="15" customHeight="1" x14ac:dyDescent="0.2">
      <c r="A1975" s="249">
        <v>8</v>
      </c>
      <c r="B1975" s="147" t="s">
        <v>449</v>
      </c>
      <c r="C1975" s="61">
        <v>61102</v>
      </c>
      <c r="D1975" s="62" t="s">
        <v>28</v>
      </c>
      <c r="E1975" s="74"/>
      <c r="F1975" s="74"/>
      <c r="G1975" s="140">
        <v>100</v>
      </c>
      <c r="H1975" s="76">
        <f t="shared" si="71"/>
        <v>100</v>
      </c>
    </row>
    <row r="1976" spans="1:18" ht="15" customHeight="1" x14ac:dyDescent="0.2">
      <c r="A1976" s="249">
        <v>8</v>
      </c>
      <c r="B1976" s="147" t="s">
        <v>449</v>
      </c>
      <c r="C1976" s="134">
        <v>61104</v>
      </c>
      <c r="D1976" s="135" t="s">
        <v>46</v>
      </c>
      <c r="E1976" s="136"/>
      <c r="F1976" s="136"/>
      <c r="G1976" s="141">
        <v>1000</v>
      </c>
      <c r="H1976" s="262">
        <f t="shared" ref="H1976" si="72">E1976+F1976+G1976</f>
        <v>1000</v>
      </c>
    </row>
    <row r="1977" spans="1:18" ht="15" customHeight="1" x14ac:dyDescent="0.2">
      <c r="A1977" s="249">
        <v>8</v>
      </c>
      <c r="B1977" s="147" t="s">
        <v>418</v>
      </c>
      <c r="C1977" s="61"/>
      <c r="D1977" s="61" t="s">
        <v>14</v>
      </c>
      <c r="E1977" s="138">
        <f>SUM(E1954:E1975)</f>
        <v>0</v>
      </c>
      <c r="F1977" s="138">
        <f>SUM(F1954:F1972)</f>
        <v>0</v>
      </c>
      <c r="G1977" s="138">
        <f>SUM(G1954:G1976)</f>
        <v>16681.5</v>
      </c>
      <c r="H1977" s="83">
        <f t="shared" si="71"/>
        <v>16681.5</v>
      </c>
      <c r="O1977" s="258"/>
      <c r="P1977" s="259"/>
    </row>
    <row r="1978" spans="1:18" ht="15" customHeight="1" x14ac:dyDescent="0.2">
      <c r="A1978" s="249" t="s">
        <v>387</v>
      </c>
      <c r="B1978" s="147" t="s">
        <v>387</v>
      </c>
      <c r="C1978" s="148"/>
      <c r="D1978" s="148"/>
      <c r="E1978" s="149"/>
      <c r="F1978" s="149"/>
      <c r="G1978" s="149"/>
      <c r="H1978" s="149"/>
      <c r="O1978" s="258"/>
      <c r="P1978" s="259"/>
      <c r="Q1978" s="147" t="s">
        <v>590</v>
      </c>
      <c r="R1978" s="259">
        <f>+H1977-P1978</f>
        <v>16681.5</v>
      </c>
    </row>
    <row r="1979" spans="1:18" ht="15" customHeight="1" x14ac:dyDescent="0.2">
      <c r="A1979" s="249" t="s">
        <v>387</v>
      </c>
      <c r="B1979" s="147" t="s">
        <v>387</v>
      </c>
      <c r="C1979" s="148"/>
      <c r="D1979" s="148"/>
      <c r="E1979" s="260"/>
      <c r="F1979" s="260"/>
      <c r="G1979" s="261"/>
      <c r="H1979" s="261"/>
    </row>
    <row r="1980" spans="1:18" ht="15" customHeight="1" x14ac:dyDescent="0.2">
      <c r="A1980" s="249" t="s">
        <v>387</v>
      </c>
      <c r="B1980" s="147" t="s">
        <v>387</v>
      </c>
      <c r="C1980" s="368"/>
      <c r="D1980" s="368"/>
      <c r="E1980" s="367"/>
      <c r="F1980" s="367"/>
      <c r="G1980" s="366"/>
      <c r="H1980" s="366"/>
    </row>
    <row r="1981" spans="1:18" ht="15" customHeight="1" x14ac:dyDescent="0.2">
      <c r="A1981" s="249" t="s">
        <v>387</v>
      </c>
      <c r="B1981" s="147" t="s">
        <v>387</v>
      </c>
      <c r="C1981" s="427" t="s">
        <v>119</v>
      </c>
      <c r="D1981" s="427"/>
      <c r="E1981" s="427"/>
      <c r="F1981" s="427"/>
      <c r="G1981" s="427"/>
      <c r="H1981" s="427"/>
    </row>
    <row r="1982" spans="1:18" ht="15" customHeight="1" x14ac:dyDescent="0.2">
      <c r="A1982" s="249" t="s">
        <v>387</v>
      </c>
      <c r="B1982" s="147" t="s">
        <v>387</v>
      </c>
      <c r="C1982" s="428" t="str">
        <f>C3</f>
        <v xml:space="preserve"> PRESUPUESTO AÑO 2024</v>
      </c>
      <c r="D1982" s="428"/>
      <c r="E1982" s="428"/>
      <c r="F1982" s="428"/>
      <c r="G1982" s="428"/>
      <c r="H1982" s="428"/>
    </row>
    <row r="1983" spans="1:18" ht="15" customHeight="1" x14ac:dyDescent="0.2">
      <c r="A1983" s="249" t="s">
        <v>387</v>
      </c>
      <c r="B1983" s="147" t="s">
        <v>387</v>
      </c>
      <c r="C1983" s="428" t="str">
        <f>C4</f>
        <v>PRESUPUESTO EXTRA CONTABLE</v>
      </c>
      <c r="D1983" s="428"/>
      <c r="E1983" s="428"/>
      <c r="F1983" s="428"/>
      <c r="G1983" s="428"/>
      <c r="H1983" s="428"/>
    </row>
    <row r="1984" spans="1:18" ht="15" customHeight="1" x14ac:dyDescent="0.2">
      <c r="A1984" s="249" t="s">
        <v>387</v>
      </c>
      <c r="B1984" s="147" t="s">
        <v>387</v>
      </c>
      <c r="C1984" s="427" t="s">
        <v>117</v>
      </c>
      <c r="D1984" s="427"/>
      <c r="E1984" s="427"/>
      <c r="F1984" s="427"/>
      <c r="G1984" s="427"/>
      <c r="H1984" s="427"/>
    </row>
    <row r="1985" spans="1:15" ht="15" customHeight="1" x14ac:dyDescent="0.2">
      <c r="A1985" s="249" t="s">
        <v>387</v>
      </c>
      <c r="B1985" s="147" t="s">
        <v>387</v>
      </c>
      <c r="C1985" s="427" t="s">
        <v>444</v>
      </c>
      <c r="D1985" s="427"/>
      <c r="E1985" s="427"/>
      <c r="F1985" s="427"/>
      <c r="G1985" s="427"/>
      <c r="H1985" s="427"/>
    </row>
    <row r="1986" spans="1:15" ht="15" customHeight="1" x14ac:dyDescent="0.2">
      <c r="A1986" s="249" t="s">
        <v>387</v>
      </c>
      <c r="B1986" s="147" t="s">
        <v>387</v>
      </c>
      <c r="C1986" s="430" t="s">
        <v>1</v>
      </c>
      <c r="D1986" s="430" t="s">
        <v>0</v>
      </c>
      <c r="E1986" s="255" t="s">
        <v>56</v>
      </c>
      <c r="F1986" s="255" t="str">
        <f>F7</f>
        <v>REFORMA</v>
      </c>
      <c r="G1986" s="255" t="s">
        <v>56</v>
      </c>
      <c r="H1986" s="432" t="str">
        <f>$H$7</f>
        <v>TOTAL 2024</v>
      </c>
    </row>
    <row r="1987" spans="1:15" ht="15" customHeight="1" x14ac:dyDescent="0.2">
      <c r="A1987" s="249" t="s">
        <v>387</v>
      </c>
      <c r="B1987" s="147" t="s">
        <v>387</v>
      </c>
      <c r="C1987" s="431"/>
      <c r="D1987" s="431"/>
      <c r="E1987" s="255" t="s">
        <v>139</v>
      </c>
      <c r="F1987" s="255"/>
      <c r="G1987" s="255" t="s">
        <v>140</v>
      </c>
      <c r="H1987" s="433"/>
    </row>
    <row r="1988" spans="1:15" ht="15" customHeight="1" x14ac:dyDescent="0.2">
      <c r="A1988" s="249">
        <v>8</v>
      </c>
      <c r="B1988" s="147" t="s">
        <v>639</v>
      </c>
      <c r="C1988" s="61">
        <v>51101</v>
      </c>
      <c r="D1988" s="73" t="s">
        <v>15</v>
      </c>
      <c r="E1988" s="74"/>
      <c r="F1988" s="74"/>
      <c r="G1988" s="290">
        <v>21300</v>
      </c>
      <c r="H1988" s="76">
        <f t="shared" ref="H1988:H2019" si="73">E1988+F1988+G1988</f>
        <v>21300</v>
      </c>
    </row>
    <row r="1989" spans="1:15" ht="15" customHeight="1" x14ac:dyDescent="0.2">
      <c r="A1989" s="249">
        <v>8</v>
      </c>
      <c r="B1989" s="147" t="s">
        <v>639</v>
      </c>
      <c r="C1989" s="61">
        <v>51103</v>
      </c>
      <c r="D1989" s="73" t="s">
        <v>16</v>
      </c>
      <c r="E1989" s="76"/>
      <c r="F1989" s="76"/>
      <c r="G1989" s="290">
        <v>1775</v>
      </c>
      <c r="H1989" s="76">
        <f t="shared" si="73"/>
        <v>1775</v>
      </c>
    </row>
    <row r="1990" spans="1:15" ht="15" customHeight="1" x14ac:dyDescent="0.2">
      <c r="A1990" s="249">
        <v>8</v>
      </c>
      <c r="B1990" s="147" t="s">
        <v>639</v>
      </c>
      <c r="C1990" s="61">
        <v>51107</v>
      </c>
      <c r="D1990" s="73" t="s">
        <v>34</v>
      </c>
      <c r="E1990" s="76"/>
      <c r="F1990" s="76"/>
      <c r="G1990" s="290">
        <v>800</v>
      </c>
      <c r="H1990" s="76">
        <f t="shared" si="73"/>
        <v>800</v>
      </c>
    </row>
    <row r="1991" spans="1:15" ht="15" customHeight="1" x14ac:dyDescent="0.2">
      <c r="A1991" s="249">
        <v>8</v>
      </c>
      <c r="B1991" s="147" t="s">
        <v>639</v>
      </c>
      <c r="C1991" s="61">
        <v>51401</v>
      </c>
      <c r="D1991" s="62" t="s">
        <v>47</v>
      </c>
      <c r="E1991" s="74"/>
      <c r="F1991" s="74"/>
      <c r="G1991" s="290">
        <v>1810.5000000000002</v>
      </c>
      <c r="H1991" s="76">
        <f t="shared" si="73"/>
        <v>1810.5000000000002</v>
      </c>
      <c r="O1991" s="257"/>
    </row>
    <row r="1992" spans="1:15" ht="15" customHeight="1" x14ac:dyDescent="0.2">
      <c r="A1992" s="249">
        <v>8</v>
      </c>
      <c r="B1992" s="147" t="s">
        <v>639</v>
      </c>
      <c r="C1992" s="61">
        <v>51501</v>
      </c>
      <c r="D1992" s="73" t="s">
        <v>29</v>
      </c>
      <c r="E1992" s="74"/>
      <c r="F1992" s="74"/>
      <c r="G1992" s="290">
        <v>1863.7499999999998</v>
      </c>
      <c r="H1992" s="76">
        <f t="shared" si="73"/>
        <v>1863.7499999999998</v>
      </c>
    </row>
    <row r="1993" spans="1:15" ht="15" customHeight="1" x14ac:dyDescent="0.2">
      <c r="A1993" s="249">
        <v>8</v>
      </c>
      <c r="B1993" s="147" t="s">
        <v>639</v>
      </c>
      <c r="C1993" s="61">
        <v>54101</v>
      </c>
      <c r="D1993" s="62" t="s">
        <v>38</v>
      </c>
      <c r="E1993" s="74"/>
      <c r="F1993" s="74"/>
      <c r="G1993" s="140">
        <v>1700</v>
      </c>
      <c r="H1993" s="76">
        <f t="shared" si="73"/>
        <v>1700</v>
      </c>
    </row>
    <row r="1994" spans="1:15" ht="15" customHeight="1" x14ac:dyDescent="0.2">
      <c r="A1994" s="249">
        <v>8</v>
      </c>
      <c r="B1994" s="147" t="s">
        <v>639</v>
      </c>
      <c r="C1994" s="61">
        <v>54104</v>
      </c>
      <c r="D1994" s="73" t="s">
        <v>17</v>
      </c>
      <c r="E1994" s="74"/>
      <c r="F1994" s="74"/>
      <c r="G1994" s="140">
        <v>200</v>
      </c>
      <c r="H1994" s="76">
        <f t="shared" si="73"/>
        <v>200</v>
      </c>
    </row>
    <row r="1995" spans="1:15" ht="15" customHeight="1" x14ac:dyDescent="0.2">
      <c r="A1995" s="249">
        <v>8</v>
      </c>
      <c r="B1995" s="147" t="s">
        <v>639</v>
      </c>
      <c r="C1995" s="61">
        <v>54105</v>
      </c>
      <c r="D1995" s="73" t="s">
        <v>131</v>
      </c>
      <c r="E1995" s="74"/>
      <c r="F1995" s="74"/>
      <c r="G1995" s="140">
        <v>1900</v>
      </c>
      <c r="H1995" s="76">
        <f t="shared" si="73"/>
        <v>1900</v>
      </c>
    </row>
    <row r="1996" spans="1:15" ht="15" customHeight="1" x14ac:dyDescent="0.2">
      <c r="A1996" s="249">
        <v>8</v>
      </c>
      <c r="B1996" s="147" t="s">
        <v>639</v>
      </c>
      <c r="C1996" s="61">
        <v>54106</v>
      </c>
      <c r="D1996" s="73" t="s">
        <v>18</v>
      </c>
      <c r="E1996" s="74"/>
      <c r="F1996" s="74"/>
      <c r="G1996" s="140">
        <v>1500</v>
      </c>
      <c r="H1996" s="76">
        <f t="shared" si="73"/>
        <v>1500</v>
      </c>
    </row>
    <row r="1997" spans="1:15" ht="15" customHeight="1" x14ac:dyDescent="0.2">
      <c r="A1997" s="249">
        <v>8</v>
      </c>
      <c r="B1997" s="147" t="s">
        <v>639</v>
      </c>
      <c r="C1997" s="61">
        <v>54107</v>
      </c>
      <c r="D1997" s="73" t="s">
        <v>43</v>
      </c>
      <c r="E1997" s="74"/>
      <c r="F1997" s="74"/>
      <c r="G1997" s="140">
        <v>750</v>
      </c>
      <c r="H1997" s="76">
        <f t="shared" si="73"/>
        <v>750</v>
      </c>
    </row>
    <row r="1998" spans="1:15" ht="15" customHeight="1" x14ac:dyDescent="0.2">
      <c r="A1998" s="249">
        <v>8</v>
      </c>
      <c r="B1998" s="147" t="s">
        <v>639</v>
      </c>
      <c r="C1998" s="61">
        <v>54110</v>
      </c>
      <c r="D1998" s="73" t="s">
        <v>147</v>
      </c>
      <c r="E1998" s="74"/>
      <c r="F1998" s="74"/>
      <c r="G1998" s="140">
        <v>1200</v>
      </c>
      <c r="H1998" s="76">
        <f t="shared" si="73"/>
        <v>1200</v>
      </c>
    </row>
    <row r="1999" spans="1:15" ht="15" customHeight="1" x14ac:dyDescent="0.2">
      <c r="A1999" s="249">
        <v>8</v>
      </c>
      <c r="B1999" s="147" t="s">
        <v>639</v>
      </c>
      <c r="C1999" s="61">
        <v>54111</v>
      </c>
      <c r="D1999" s="73" t="s">
        <v>162</v>
      </c>
      <c r="E1999" s="74"/>
      <c r="F1999" s="74"/>
      <c r="G1999" s="140">
        <v>200</v>
      </c>
      <c r="H1999" s="76">
        <f>E1999+F1999+G1999</f>
        <v>200</v>
      </c>
    </row>
    <row r="2000" spans="1:15" ht="15" customHeight="1" x14ac:dyDescent="0.2">
      <c r="A2000" s="249">
        <v>8</v>
      </c>
      <c r="B2000" s="147" t="s">
        <v>639</v>
      </c>
      <c r="C2000" s="61">
        <v>54112</v>
      </c>
      <c r="D2000" s="73" t="s">
        <v>42</v>
      </c>
      <c r="E2000" s="74"/>
      <c r="F2000" s="74"/>
      <c r="G2000" s="140">
        <v>1200</v>
      </c>
      <c r="H2000" s="76">
        <f t="shared" si="73"/>
        <v>1200</v>
      </c>
    </row>
    <row r="2001" spans="1:8" ht="15" customHeight="1" x14ac:dyDescent="0.2">
      <c r="A2001" s="249">
        <v>8</v>
      </c>
      <c r="B2001" s="147" t="s">
        <v>639</v>
      </c>
      <c r="C2001" s="61">
        <v>54113</v>
      </c>
      <c r="D2001" s="62" t="s">
        <v>148</v>
      </c>
      <c r="E2001" s="74"/>
      <c r="F2001" s="74"/>
      <c r="G2001" s="140">
        <v>800</v>
      </c>
      <c r="H2001" s="76">
        <f t="shared" si="73"/>
        <v>800</v>
      </c>
    </row>
    <row r="2002" spans="1:8" ht="15" customHeight="1" x14ac:dyDescent="0.2">
      <c r="A2002" s="249">
        <v>8</v>
      </c>
      <c r="B2002" s="147" t="s">
        <v>639</v>
      </c>
      <c r="C2002" s="61">
        <v>54114</v>
      </c>
      <c r="D2002" s="73" t="s">
        <v>5</v>
      </c>
      <c r="E2002" s="74"/>
      <c r="F2002" s="74"/>
      <c r="G2002" s="140">
        <v>800</v>
      </c>
      <c r="H2002" s="76">
        <f t="shared" si="73"/>
        <v>800</v>
      </c>
    </row>
    <row r="2003" spans="1:8" ht="15" customHeight="1" x14ac:dyDescent="0.2">
      <c r="A2003" s="249">
        <v>8</v>
      </c>
      <c r="B2003" s="147" t="s">
        <v>639</v>
      </c>
      <c r="C2003" s="61">
        <v>54115</v>
      </c>
      <c r="D2003" s="73" t="s">
        <v>49</v>
      </c>
      <c r="E2003" s="74"/>
      <c r="F2003" s="74"/>
      <c r="G2003" s="140">
        <v>200</v>
      </c>
      <c r="H2003" s="76">
        <f t="shared" si="73"/>
        <v>200</v>
      </c>
    </row>
    <row r="2004" spans="1:8" ht="15" customHeight="1" x14ac:dyDescent="0.2">
      <c r="A2004" s="249">
        <v>8</v>
      </c>
      <c r="B2004" s="147" t="s">
        <v>639</v>
      </c>
      <c r="C2004" s="61">
        <v>54116</v>
      </c>
      <c r="D2004" s="62" t="s">
        <v>167</v>
      </c>
      <c r="E2004" s="74"/>
      <c r="F2004" s="74"/>
      <c r="G2004" s="140">
        <v>3000</v>
      </c>
      <c r="H2004" s="76">
        <f t="shared" si="73"/>
        <v>3000</v>
      </c>
    </row>
    <row r="2005" spans="1:8" ht="15" customHeight="1" x14ac:dyDescent="0.2">
      <c r="A2005" s="249">
        <v>8</v>
      </c>
      <c r="B2005" s="147" t="s">
        <v>639</v>
      </c>
      <c r="C2005" s="61">
        <v>54118</v>
      </c>
      <c r="D2005" s="73" t="s">
        <v>35</v>
      </c>
      <c r="E2005" s="74"/>
      <c r="F2005" s="74"/>
      <c r="G2005" s="140">
        <v>100</v>
      </c>
      <c r="H2005" s="76">
        <f t="shared" si="73"/>
        <v>100</v>
      </c>
    </row>
    <row r="2006" spans="1:8" ht="15" customHeight="1" x14ac:dyDescent="0.2">
      <c r="A2006" s="249">
        <v>8</v>
      </c>
      <c r="B2006" s="147" t="s">
        <v>639</v>
      </c>
      <c r="C2006" s="61">
        <v>54119</v>
      </c>
      <c r="D2006" s="73" t="s">
        <v>530</v>
      </c>
      <c r="E2006" s="74"/>
      <c r="F2006" s="74"/>
      <c r="G2006" s="140">
        <v>100</v>
      </c>
      <c r="H2006" s="76">
        <f t="shared" si="73"/>
        <v>100</v>
      </c>
    </row>
    <row r="2007" spans="1:8" ht="15" customHeight="1" x14ac:dyDescent="0.2">
      <c r="A2007" s="249">
        <v>8</v>
      </c>
      <c r="B2007" s="147" t="s">
        <v>639</v>
      </c>
      <c r="C2007" s="61">
        <v>54199</v>
      </c>
      <c r="D2007" s="73" t="s">
        <v>26</v>
      </c>
      <c r="E2007" s="74"/>
      <c r="F2007" s="74"/>
      <c r="G2007" s="140">
        <v>420</v>
      </c>
      <c r="H2007" s="76">
        <f t="shared" si="73"/>
        <v>420</v>
      </c>
    </row>
    <row r="2008" spans="1:8" ht="15" customHeight="1" x14ac:dyDescent="0.2">
      <c r="A2008" s="249">
        <v>8</v>
      </c>
      <c r="B2008" s="147" t="s">
        <v>639</v>
      </c>
      <c r="C2008" s="61">
        <v>54201</v>
      </c>
      <c r="D2008" s="73" t="s">
        <v>523</v>
      </c>
      <c r="E2008" s="74"/>
      <c r="F2008" s="74"/>
      <c r="G2008" s="140">
        <v>0</v>
      </c>
      <c r="H2008" s="76">
        <f t="shared" si="73"/>
        <v>0</v>
      </c>
    </row>
    <row r="2009" spans="1:8" ht="15" customHeight="1" x14ac:dyDescent="0.2">
      <c r="A2009" s="249">
        <v>8</v>
      </c>
      <c r="B2009" s="147" t="s">
        <v>639</v>
      </c>
      <c r="C2009" s="61">
        <v>54202</v>
      </c>
      <c r="D2009" s="73" t="s">
        <v>27</v>
      </c>
      <c r="E2009" s="74"/>
      <c r="F2009" s="74"/>
      <c r="G2009" s="140">
        <v>0</v>
      </c>
      <c r="H2009" s="76">
        <f t="shared" si="73"/>
        <v>0</v>
      </c>
    </row>
    <row r="2010" spans="1:8" ht="15" customHeight="1" x14ac:dyDescent="0.2">
      <c r="A2010" s="249">
        <v>8</v>
      </c>
      <c r="B2010" s="147" t="s">
        <v>639</v>
      </c>
      <c r="C2010" s="61">
        <v>54203</v>
      </c>
      <c r="D2010" s="73" t="s">
        <v>522</v>
      </c>
      <c r="E2010" s="74"/>
      <c r="F2010" s="74"/>
      <c r="G2010" s="140">
        <v>0</v>
      </c>
      <c r="H2010" s="76">
        <f t="shared" si="73"/>
        <v>0</v>
      </c>
    </row>
    <row r="2011" spans="1:8" ht="15" customHeight="1" x14ac:dyDescent="0.2">
      <c r="A2011" s="249">
        <v>8</v>
      </c>
      <c r="B2011" s="147" t="s">
        <v>639</v>
      </c>
      <c r="C2011" s="61">
        <v>54301</v>
      </c>
      <c r="D2011" s="73" t="s">
        <v>158</v>
      </c>
      <c r="E2011" s="74"/>
      <c r="F2011" s="74"/>
      <c r="G2011" s="140">
        <v>300</v>
      </c>
      <c r="H2011" s="76">
        <f t="shared" si="73"/>
        <v>300</v>
      </c>
    </row>
    <row r="2012" spans="1:8" ht="15" customHeight="1" x14ac:dyDescent="0.2">
      <c r="A2012" s="249">
        <v>8</v>
      </c>
      <c r="B2012" s="147" t="s">
        <v>639</v>
      </c>
      <c r="C2012" s="61" t="s">
        <v>775</v>
      </c>
      <c r="D2012" s="73" t="s">
        <v>776</v>
      </c>
      <c r="E2012" s="74"/>
      <c r="F2012" s="136"/>
      <c r="G2012" s="140">
        <v>100</v>
      </c>
      <c r="H2012" s="76">
        <f t="shared" si="73"/>
        <v>100</v>
      </c>
    </row>
    <row r="2013" spans="1:8" ht="15" customHeight="1" x14ac:dyDescent="0.2">
      <c r="A2013" s="249">
        <v>8</v>
      </c>
      <c r="B2013" s="147" t="s">
        <v>639</v>
      </c>
      <c r="C2013" s="106">
        <v>54307</v>
      </c>
      <c r="D2013" s="107" t="s">
        <v>10</v>
      </c>
      <c r="E2013" s="271"/>
      <c r="F2013" s="271"/>
      <c r="G2013" s="290">
        <v>400</v>
      </c>
      <c r="H2013" s="272">
        <f t="shared" si="73"/>
        <v>400</v>
      </c>
    </row>
    <row r="2014" spans="1:8" ht="15" customHeight="1" x14ac:dyDescent="0.2">
      <c r="A2014" s="249">
        <v>8</v>
      </c>
      <c r="B2014" s="147" t="s">
        <v>639</v>
      </c>
      <c r="C2014" s="61">
        <v>54313</v>
      </c>
      <c r="D2014" s="73" t="s">
        <v>249</v>
      </c>
      <c r="E2014" s="74"/>
      <c r="F2014" s="74"/>
      <c r="G2014" s="140">
        <v>400</v>
      </c>
      <c r="H2014" s="76">
        <f t="shared" si="73"/>
        <v>400</v>
      </c>
    </row>
    <row r="2015" spans="1:8" ht="15" customHeight="1" x14ac:dyDescent="0.2">
      <c r="A2015" s="249">
        <v>8</v>
      </c>
      <c r="B2015" s="147" t="s">
        <v>639</v>
      </c>
      <c r="C2015" s="61">
        <v>54401</v>
      </c>
      <c r="D2015" s="73" t="s">
        <v>30</v>
      </c>
      <c r="E2015" s="74"/>
      <c r="F2015" s="74"/>
      <c r="G2015" s="140">
        <v>0</v>
      </c>
      <c r="H2015" s="76">
        <f t="shared" si="73"/>
        <v>0</v>
      </c>
    </row>
    <row r="2016" spans="1:8" ht="15" customHeight="1" x14ac:dyDescent="0.2">
      <c r="A2016" s="249">
        <v>8</v>
      </c>
      <c r="B2016" s="147" t="s">
        <v>639</v>
      </c>
      <c r="C2016" s="61">
        <v>61101</v>
      </c>
      <c r="D2016" s="62" t="s">
        <v>144</v>
      </c>
      <c r="E2016" s="74"/>
      <c r="F2016" s="74"/>
      <c r="G2016" s="140">
        <v>1500</v>
      </c>
      <c r="H2016" s="76">
        <f t="shared" si="73"/>
        <v>1500</v>
      </c>
    </row>
    <row r="2017" spans="1:18" ht="15" customHeight="1" x14ac:dyDescent="0.2">
      <c r="A2017" s="249">
        <v>8</v>
      </c>
      <c r="B2017" s="147" t="s">
        <v>639</v>
      </c>
      <c r="C2017" s="61">
        <v>61104</v>
      </c>
      <c r="D2017" s="62" t="s">
        <v>46</v>
      </c>
      <c r="E2017" s="74"/>
      <c r="F2017" s="74"/>
      <c r="G2017" s="140">
        <v>1000</v>
      </c>
      <c r="H2017" s="76">
        <f t="shared" si="73"/>
        <v>1000</v>
      </c>
    </row>
    <row r="2018" spans="1:18" ht="15" customHeight="1" x14ac:dyDescent="0.2">
      <c r="A2018" s="249">
        <v>8</v>
      </c>
      <c r="B2018" s="147" t="s">
        <v>639</v>
      </c>
      <c r="C2018" s="61">
        <v>61199</v>
      </c>
      <c r="D2018" s="62" t="s">
        <v>512</v>
      </c>
      <c r="E2018" s="74"/>
      <c r="F2018" s="74"/>
      <c r="G2018" s="140">
        <v>1000</v>
      </c>
      <c r="H2018" s="76">
        <f t="shared" si="73"/>
        <v>1000</v>
      </c>
    </row>
    <row r="2019" spans="1:18" ht="15" customHeight="1" x14ac:dyDescent="0.2">
      <c r="A2019" s="249">
        <v>8</v>
      </c>
      <c r="B2019" s="147" t="s">
        <v>640</v>
      </c>
      <c r="C2019" s="61"/>
      <c r="D2019" s="61" t="s">
        <v>14</v>
      </c>
      <c r="E2019" s="138">
        <f>SUM(E1988:E2011)</f>
        <v>0</v>
      </c>
      <c r="F2019" s="138">
        <f>SUM(F1988:F2011)</f>
        <v>0</v>
      </c>
      <c r="G2019" s="138">
        <f>SUM(G1988:G2018)</f>
        <v>46319.25</v>
      </c>
      <c r="H2019" s="83">
        <f t="shared" si="73"/>
        <v>46319.25</v>
      </c>
      <c r="O2019" s="258"/>
      <c r="P2019" s="259"/>
    </row>
    <row r="2020" spans="1:18" ht="15" customHeight="1" x14ac:dyDescent="0.2">
      <c r="A2020" s="249" t="s">
        <v>387</v>
      </c>
      <c r="B2020" s="147" t="s">
        <v>387</v>
      </c>
      <c r="C2020" s="148"/>
      <c r="D2020" s="148"/>
      <c r="E2020" s="149"/>
      <c r="F2020" s="149"/>
      <c r="G2020" s="149"/>
      <c r="H2020" s="149"/>
      <c r="O2020" s="258"/>
      <c r="P2020" s="259"/>
      <c r="Q2020" s="147" t="s">
        <v>591</v>
      </c>
      <c r="R2020" s="259">
        <f>+H2019-P2020</f>
        <v>46319.25</v>
      </c>
    </row>
    <row r="2021" spans="1:18" ht="15" customHeight="1" x14ac:dyDescent="0.2">
      <c r="A2021" s="249" t="s">
        <v>387</v>
      </c>
      <c r="B2021" s="147" t="s">
        <v>387</v>
      </c>
      <c r="C2021" s="148"/>
      <c r="D2021" s="148"/>
      <c r="E2021" s="149"/>
      <c r="F2021" s="149"/>
      <c r="G2021" s="149"/>
      <c r="H2021" s="149"/>
    </row>
    <row r="2022" spans="1:18" ht="15" customHeight="1" x14ac:dyDescent="0.2">
      <c r="A2022" s="249" t="s">
        <v>387</v>
      </c>
      <c r="B2022" s="147" t="s">
        <v>387</v>
      </c>
      <c r="C2022" s="368"/>
      <c r="D2022" s="368"/>
      <c r="E2022" s="367"/>
      <c r="F2022" s="367"/>
      <c r="G2022" s="366"/>
      <c r="H2022" s="366"/>
    </row>
    <row r="2023" spans="1:18" ht="15" customHeight="1" x14ac:dyDescent="0.2">
      <c r="A2023" s="249" t="s">
        <v>387</v>
      </c>
      <c r="B2023" s="147" t="s">
        <v>387</v>
      </c>
      <c r="C2023" s="427" t="s">
        <v>119</v>
      </c>
      <c r="D2023" s="427"/>
      <c r="E2023" s="427"/>
      <c r="F2023" s="427"/>
      <c r="G2023" s="427"/>
      <c r="H2023" s="427"/>
    </row>
    <row r="2024" spans="1:18" ht="15" customHeight="1" x14ac:dyDescent="0.2">
      <c r="A2024" s="249" t="s">
        <v>387</v>
      </c>
      <c r="B2024" s="147" t="s">
        <v>387</v>
      </c>
      <c r="C2024" s="428" t="s">
        <v>578</v>
      </c>
      <c r="D2024" s="428"/>
      <c r="E2024" s="428"/>
      <c r="F2024" s="428"/>
      <c r="G2024" s="428"/>
      <c r="H2024" s="428"/>
    </row>
    <row r="2025" spans="1:18" ht="15" customHeight="1" x14ac:dyDescent="0.2">
      <c r="A2025" s="249" t="s">
        <v>387</v>
      </c>
      <c r="B2025" s="147" t="s">
        <v>387</v>
      </c>
      <c r="C2025" s="428" t="s">
        <v>499</v>
      </c>
      <c r="D2025" s="428"/>
      <c r="E2025" s="428"/>
      <c r="F2025" s="428"/>
      <c r="G2025" s="428"/>
      <c r="H2025" s="428"/>
    </row>
    <row r="2026" spans="1:18" ht="15" customHeight="1" x14ac:dyDescent="0.2">
      <c r="A2026" s="249" t="s">
        <v>387</v>
      </c>
      <c r="B2026" s="147" t="s">
        <v>387</v>
      </c>
      <c r="C2026" s="427" t="s">
        <v>117</v>
      </c>
      <c r="D2026" s="427"/>
      <c r="E2026" s="427"/>
      <c r="F2026" s="427"/>
      <c r="G2026" s="427"/>
      <c r="H2026" s="427"/>
    </row>
    <row r="2027" spans="1:18" ht="15" customHeight="1" x14ac:dyDescent="0.2">
      <c r="A2027" s="249" t="s">
        <v>387</v>
      </c>
      <c r="B2027" s="147" t="s">
        <v>387</v>
      </c>
      <c r="C2027" s="429" t="s">
        <v>558</v>
      </c>
      <c r="D2027" s="429"/>
      <c r="E2027" s="429"/>
      <c r="F2027" s="429"/>
      <c r="G2027" s="429"/>
      <c r="H2027" s="429"/>
    </row>
    <row r="2028" spans="1:18" ht="15" customHeight="1" x14ac:dyDescent="0.2">
      <c r="A2028" s="249" t="s">
        <v>387</v>
      </c>
      <c r="B2028" s="147" t="s">
        <v>387</v>
      </c>
      <c r="C2028" s="430" t="s">
        <v>1</v>
      </c>
      <c r="D2028" s="430" t="s">
        <v>0</v>
      </c>
      <c r="E2028" s="255" t="s">
        <v>56</v>
      </c>
      <c r="F2028" s="255" t="e">
        <f>#REF!</f>
        <v>#REF!</v>
      </c>
      <c r="G2028" s="255" t="s">
        <v>56</v>
      </c>
      <c r="H2028" s="432" t="str">
        <f>$H$7</f>
        <v>TOTAL 2024</v>
      </c>
    </row>
    <row r="2029" spans="1:18" ht="15" customHeight="1" x14ac:dyDescent="0.2">
      <c r="A2029" s="249" t="s">
        <v>387</v>
      </c>
      <c r="B2029" s="147" t="s">
        <v>387</v>
      </c>
      <c r="C2029" s="431"/>
      <c r="D2029" s="431"/>
      <c r="E2029" s="255" t="s">
        <v>139</v>
      </c>
      <c r="F2029" s="255"/>
      <c r="G2029" s="255" t="s">
        <v>140</v>
      </c>
      <c r="H2029" s="433"/>
    </row>
    <row r="2030" spans="1:18" ht="15" customHeight="1" x14ac:dyDescent="0.2">
      <c r="A2030" s="249">
        <v>8</v>
      </c>
      <c r="B2030" s="147" t="s">
        <v>641</v>
      </c>
      <c r="C2030" s="61">
        <v>51101</v>
      </c>
      <c r="D2030" s="73" t="s">
        <v>15</v>
      </c>
      <c r="E2030" s="74"/>
      <c r="F2030" s="74"/>
      <c r="G2030" s="290">
        <v>25200</v>
      </c>
      <c r="H2030" s="76">
        <f t="shared" ref="H2030:H2058" si="74">E2030+F2030+G2030</f>
        <v>25200</v>
      </c>
    </row>
    <row r="2031" spans="1:18" ht="15" customHeight="1" x14ac:dyDescent="0.2">
      <c r="A2031" s="249">
        <v>8</v>
      </c>
      <c r="B2031" s="147" t="s">
        <v>641</v>
      </c>
      <c r="C2031" s="61">
        <v>51103</v>
      </c>
      <c r="D2031" s="73" t="s">
        <v>16</v>
      </c>
      <c r="E2031" s="76"/>
      <c r="F2031" s="76"/>
      <c r="G2031" s="290">
        <v>2100</v>
      </c>
      <c r="H2031" s="76">
        <f t="shared" si="74"/>
        <v>2100</v>
      </c>
    </row>
    <row r="2032" spans="1:18" ht="15" customHeight="1" x14ac:dyDescent="0.2">
      <c r="A2032" s="249">
        <v>8</v>
      </c>
      <c r="B2032" s="147" t="s">
        <v>641</v>
      </c>
      <c r="C2032" s="61">
        <v>51107</v>
      </c>
      <c r="D2032" s="73" t="s">
        <v>34</v>
      </c>
      <c r="E2032" s="76"/>
      <c r="F2032" s="76"/>
      <c r="G2032" s="290">
        <v>1000</v>
      </c>
      <c r="H2032" s="76">
        <f t="shared" si="74"/>
        <v>1000</v>
      </c>
    </row>
    <row r="2033" spans="1:15" ht="15" customHeight="1" x14ac:dyDescent="0.2">
      <c r="A2033" s="249">
        <v>8</v>
      </c>
      <c r="B2033" s="147" t="s">
        <v>641</v>
      </c>
      <c r="C2033" s="61">
        <v>51401</v>
      </c>
      <c r="D2033" s="62" t="s">
        <v>47</v>
      </c>
      <c r="E2033" s="74"/>
      <c r="F2033" s="74"/>
      <c r="G2033" s="290">
        <v>2142</v>
      </c>
      <c r="H2033" s="76">
        <f t="shared" si="74"/>
        <v>2142</v>
      </c>
      <c r="O2033" s="257"/>
    </row>
    <row r="2034" spans="1:15" ht="15" customHeight="1" x14ac:dyDescent="0.2">
      <c r="A2034" s="249">
        <v>8</v>
      </c>
      <c r="B2034" s="147" t="s">
        <v>641</v>
      </c>
      <c r="C2034" s="61">
        <v>51501</v>
      </c>
      <c r="D2034" s="73" t="s">
        <v>29</v>
      </c>
      <c r="E2034" s="74"/>
      <c r="F2034" s="74"/>
      <c r="G2034" s="290">
        <v>2205</v>
      </c>
      <c r="H2034" s="76">
        <f t="shared" si="74"/>
        <v>2205</v>
      </c>
    </row>
    <row r="2035" spans="1:15" ht="15" customHeight="1" x14ac:dyDescent="0.2">
      <c r="A2035" s="249">
        <v>8</v>
      </c>
      <c r="B2035" s="147" t="s">
        <v>641</v>
      </c>
      <c r="C2035" s="61">
        <v>54101</v>
      </c>
      <c r="D2035" s="62" t="s">
        <v>38</v>
      </c>
      <c r="E2035" s="74"/>
      <c r="F2035" s="74"/>
      <c r="G2035" s="140">
        <v>4000</v>
      </c>
      <c r="H2035" s="76">
        <f t="shared" si="74"/>
        <v>4000</v>
      </c>
    </row>
    <row r="2036" spans="1:15" ht="15" customHeight="1" x14ac:dyDescent="0.2">
      <c r="A2036" s="249">
        <v>8</v>
      </c>
      <c r="B2036" s="147" t="s">
        <v>641</v>
      </c>
      <c r="C2036" s="61">
        <v>54104</v>
      </c>
      <c r="D2036" s="73" t="s">
        <v>17</v>
      </c>
      <c r="E2036" s="74"/>
      <c r="F2036" s="74"/>
      <c r="G2036" s="140">
        <v>800</v>
      </c>
      <c r="H2036" s="76">
        <f t="shared" si="74"/>
        <v>800</v>
      </c>
    </row>
    <row r="2037" spans="1:15" ht="15" customHeight="1" x14ac:dyDescent="0.2">
      <c r="A2037" s="249">
        <v>8</v>
      </c>
      <c r="B2037" s="147" t="s">
        <v>641</v>
      </c>
      <c r="C2037" s="61">
        <v>54105</v>
      </c>
      <c r="D2037" s="73" t="s">
        <v>131</v>
      </c>
      <c r="E2037" s="74"/>
      <c r="F2037" s="74"/>
      <c r="G2037" s="140">
        <v>600</v>
      </c>
      <c r="H2037" s="76">
        <f t="shared" si="74"/>
        <v>600</v>
      </c>
    </row>
    <row r="2038" spans="1:15" ht="15" customHeight="1" x14ac:dyDescent="0.2">
      <c r="A2038" s="249">
        <v>8</v>
      </c>
      <c r="B2038" s="147" t="s">
        <v>641</v>
      </c>
      <c r="C2038" s="61">
        <v>54107</v>
      </c>
      <c r="D2038" s="73" t="s">
        <v>43</v>
      </c>
      <c r="E2038" s="74"/>
      <c r="F2038" s="74"/>
      <c r="G2038" s="140">
        <v>600</v>
      </c>
      <c r="H2038" s="76">
        <f t="shared" si="74"/>
        <v>600</v>
      </c>
    </row>
    <row r="2039" spans="1:15" ht="15" customHeight="1" x14ac:dyDescent="0.2">
      <c r="A2039" s="249">
        <v>8</v>
      </c>
      <c r="B2039" s="147" t="s">
        <v>641</v>
      </c>
      <c r="C2039" s="61">
        <v>54110</v>
      </c>
      <c r="D2039" s="73" t="s">
        <v>147</v>
      </c>
      <c r="E2039" s="74"/>
      <c r="F2039" s="74"/>
      <c r="G2039" s="140">
        <v>400</v>
      </c>
      <c r="H2039" s="76">
        <f t="shared" si="74"/>
        <v>400</v>
      </c>
    </row>
    <row r="2040" spans="1:15" ht="15" customHeight="1" x14ac:dyDescent="0.2">
      <c r="A2040" s="249">
        <v>8</v>
      </c>
      <c r="B2040" s="147" t="s">
        <v>641</v>
      </c>
      <c r="C2040" s="61">
        <v>54111</v>
      </c>
      <c r="D2040" s="73" t="s">
        <v>162</v>
      </c>
      <c r="E2040" s="74"/>
      <c r="F2040" s="74"/>
      <c r="G2040" s="140">
        <v>250</v>
      </c>
      <c r="H2040" s="76">
        <f>E2040+F2040+G2040</f>
        <v>250</v>
      </c>
    </row>
    <row r="2041" spans="1:15" ht="15" customHeight="1" x14ac:dyDescent="0.2">
      <c r="A2041" s="249">
        <v>8</v>
      </c>
      <c r="B2041" s="147" t="s">
        <v>641</v>
      </c>
      <c r="C2041" s="61">
        <v>54112</v>
      </c>
      <c r="D2041" s="73" t="s">
        <v>42</v>
      </c>
      <c r="E2041" s="74"/>
      <c r="F2041" s="74"/>
      <c r="G2041" s="140">
        <v>200</v>
      </c>
      <c r="H2041" s="76">
        <f t="shared" si="74"/>
        <v>200</v>
      </c>
    </row>
    <row r="2042" spans="1:15" ht="15" customHeight="1" x14ac:dyDescent="0.2">
      <c r="A2042" s="249">
        <v>8</v>
      </c>
      <c r="B2042" s="147" t="s">
        <v>641</v>
      </c>
      <c r="C2042" s="61">
        <v>54113</v>
      </c>
      <c r="D2042" s="62" t="s">
        <v>148</v>
      </c>
      <c r="E2042" s="74"/>
      <c r="F2042" s="74"/>
      <c r="G2042" s="140">
        <v>250</v>
      </c>
      <c r="H2042" s="76">
        <f t="shared" si="74"/>
        <v>250</v>
      </c>
    </row>
    <row r="2043" spans="1:15" ht="15" customHeight="1" x14ac:dyDescent="0.2">
      <c r="A2043" s="249">
        <v>8</v>
      </c>
      <c r="B2043" s="147" t="s">
        <v>641</v>
      </c>
      <c r="C2043" s="61">
        <v>54114</v>
      </c>
      <c r="D2043" s="73" t="s">
        <v>5</v>
      </c>
      <c r="E2043" s="74"/>
      <c r="F2043" s="74"/>
      <c r="G2043" s="140">
        <v>600</v>
      </c>
      <c r="H2043" s="76">
        <f t="shared" si="74"/>
        <v>600</v>
      </c>
    </row>
    <row r="2044" spans="1:15" ht="15" customHeight="1" x14ac:dyDescent="0.2">
      <c r="A2044" s="249">
        <v>8</v>
      </c>
      <c r="B2044" s="147" t="s">
        <v>641</v>
      </c>
      <c r="C2044" s="61">
        <v>54115</v>
      </c>
      <c r="D2044" s="73" t="s">
        <v>49</v>
      </c>
      <c r="E2044" s="74"/>
      <c r="F2044" s="74"/>
      <c r="G2044" s="140">
        <v>275</v>
      </c>
      <c r="H2044" s="76">
        <f t="shared" si="74"/>
        <v>275</v>
      </c>
    </row>
    <row r="2045" spans="1:15" ht="15" customHeight="1" x14ac:dyDescent="0.2">
      <c r="A2045" s="249">
        <v>8</v>
      </c>
      <c r="B2045" s="147" t="s">
        <v>641</v>
      </c>
      <c r="C2045" s="61">
        <v>54116</v>
      </c>
      <c r="D2045" s="62" t="s">
        <v>167</v>
      </c>
      <c r="E2045" s="74"/>
      <c r="F2045" s="74"/>
      <c r="G2045" s="140">
        <v>1100</v>
      </c>
      <c r="H2045" s="76">
        <f t="shared" si="74"/>
        <v>1100</v>
      </c>
    </row>
    <row r="2046" spans="1:15" ht="15" customHeight="1" x14ac:dyDescent="0.2">
      <c r="A2046" s="249">
        <v>8</v>
      </c>
      <c r="B2046" s="147" t="s">
        <v>641</v>
      </c>
      <c r="C2046" s="61">
        <v>54118</v>
      </c>
      <c r="D2046" s="73" t="s">
        <v>35</v>
      </c>
      <c r="E2046" s="74"/>
      <c r="F2046" s="74"/>
      <c r="G2046" s="140">
        <v>400</v>
      </c>
      <c r="H2046" s="76">
        <f t="shared" si="74"/>
        <v>400</v>
      </c>
    </row>
    <row r="2047" spans="1:15" ht="15" customHeight="1" x14ac:dyDescent="0.2">
      <c r="A2047" s="249">
        <v>8</v>
      </c>
      <c r="B2047" s="147" t="s">
        <v>641</v>
      </c>
      <c r="C2047" s="61">
        <v>54119</v>
      </c>
      <c r="D2047" s="73" t="s">
        <v>530</v>
      </c>
      <c r="E2047" s="74"/>
      <c r="F2047" s="74"/>
      <c r="G2047" s="140">
        <v>100</v>
      </c>
      <c r="H2047" s="76">
        <f t="shared" si="74"/>
        <v>100</v>
      </c>
    </row>
    <row r="2048" spans="1:15" ht="15" customHeight="1" x14ac:dyDescent="0.2">
      <c r="A2048" s="249">
        <v>8</v>
      </c>
      <c r="B2048" s="147" t="s">
        <v>641</v>
      </c>
      <c r="C2048" s="61">
        <v>54199</v>
      </c>
      <c r="D2048" s="73" t="s">
        <v>26</v>
      </c>
      <c r="E2048" s="74"/>
      <c r="F2048" s="74"/>
      <c r="G2048" s="140">
        <v>900</v>
      </c>
      <c r="H2048" s="76">
        <f t="shared" si="74"/>
        <v>900</v>
      </c>
    </row>
    <row r="2049" spans="1:18" ht="15" customHeight="1" x14ac:dyDescent="0.2">
      <c r="A2049" s="249">
        <v>8</v>
      </c>
      <c r="B2049" s="147" t="s">
        <v>641</v>
      </c>
      <c r="C2049" s="61">
        <v>54201</v>
      </c>
      <c r="D2049" s="73" t="s">
        <v>523</v>
      </c>
      <c r="E2049" s="74"/>
      <c r="F2049" s="74"/>
      <c r="G2049" s="140">
        <v>200</v>
      </c>
      <c r="H2049" s="76">
        <f t="shared" si="74"/>
        <v>200</v>
      </c>
    </row>
    <row r="2050" spans="1:18" ht="15" customHeight="1" x14ac:dyDescent="0.2">
      <c r="A2050" s="249">
        <v>8</v>
      </c>
      <c r="B2050" s="147" t="s">
        <v>641</v>
      </c>
      <c r="C2050" s="61">
        <v>54202</v>
      </c>
      <c r="D2050" s="73" t="s">
        <v>27</v>
      </c>
      <c r="E2050" s="74"/>
      <c r="F2050" s="74"/>
      <c r="G2050" s="140">
        <v>200</v>
      </c>
      <c r="H2050" s="76">
        <f t="shared" si="74"/>
        <v>200</v>
      </c>
    </row>
    <row r="2051" spans="1:18" ht="15" customHeight="1" x14ac:dyDescent="0.2">
      <c r="A2051" s="249">
        <v>8</v>
      </c>
      <c r="B2051" s="147" t="s">
        <v>641</v>
      </c>
      <c r="C2051" s="61">
        <v>54203</v>
      </c>
      <c r="D2051" s="73" t="s">
        <v>522</v>
      </c>
      <c r="E2051" s="74"/>
      <c r="F2051" s="74"/>
      <c r="G2051" s="140">
        <v>200</v>
      </c>
      <c r="H2051" s="76">
        <f t="shared" si="74"/>
        <v>200</v>
      </c>
    </row>
    <row r="2052" spans="1:18" ht="15" customHeight="1" x14ac:dyDescent="0.2">
      <c r="A2052" s="249">
        <v>8</v>
      </c>
      <c r="B2052" s="147" t="s">
        <v>641</v>
      </c>
      <c r="C2052" s="61">
        <v>54301</v>
      </c>
      <c r="D2052" s="73" t="s">
        <v>158</v>
      </c>
      <c r="E2052" s="74"/>
      <c r="F2052" s="74"/>
      <c r="G2052" s="140">
        <v>1000</v>
      </c>
      <c r="H2052" s="76">
        <f t="shared" si="74"/>
        <v>1000</v>
      </c>
    </row>
    <row r="2053" spans="1:18" ht="15" customHeight="1" x14ac:dyDescent="0.2">
      <c r="A2053" s="249">
        <v>8</v>
      </c>
      <c r="B2053" s="147" t="s">
        <v>641</v>
      </c>
      <c r="C2053" s="106">
        <v>54307</v>
      </c>
      <c r="D2053" s="107" t="s">
        <v>10</v>
      </c>
      <c r="E2053" s="271"/>
      <c r="F2053" s="271"/>
      <c r="G2053" s="290">
        <v>300</v>
      </c>
      <c r="H2053" s="272">
        <f t="shared" si="74"/>
        <v>300</v>
      </c>
    </row>
    <row r="2054" spans="1:18" ht="15" customHeight="1" x14ac:dyDescent="0.2">
      <c r="A2054" s="249">
        <v>8</v>
      </c>
      <c r="B2054" s="147" t="s">
        <v>641</v>
      </c>
      <c r="C2054" s="61">
        <v>54401</v>
      </c>
      <c r="D2054" s="73" t="s">
        <v>30</v>
      </c>
      <c r="E2054" s="74"/>
      <c r="F2054" s="74"/>
      <c r="G2054" s="140">
        <v>0</v>
      </c>
      <c r="H2054" s="76">
        <f t="shared" si="74"/>
        <v>0</v>
      </c>
    </row>
    <row r="2055" spans="1:18" ht="15" customHeight="1" x14ac:dyDescent="0.2">
      <c r="A2055" s="249">
        <v>8</v>
      </c>
      <c r="B2055" s="147" t="s">
        <v>641</v>
      </c>
      <c r="C2055" s="61">
        <v>61101</v>
      </c>
      <c r="D2055" s="62" t="s">
        <v>144</v>
      </c>
      <c r="E2055" s="74"/>
      <c r="F2055" s="74"/>
      <c r="G2055" s="140">
        <v>1400</v>
      </c>
      <c r="H2055" s="76">
        <f t="shared" si="74"/>
        <v>1400</v>
      </c>
    </row>
    <row r="2056" spans="1:18" ht="15" customHeight="1" x14ac:dyDescent="0.2">
      <c r="A2056" s="249">
        <v>8</v>
      </c>
      <c r="B2056" s="147" t="s">
        <v>641</v>
      </c>
      <c r="C2056" s="61">
        <v>61104</v>
      </c>
      <c r="D2056" s="62" t="s">
        <v>46</v>
      </c>
      <c r="E2056" s="74"/>
      <c r="F2056" s="74"/>
      <c r="G2056" s="140">
        <v>1200</v>
      </c>
      <c r="H2056" s="76">
        <f t="shared" si="74"/>
        <v>1200</v>
      </c>
    </row>
    <row r="2057" spans="1:18" ht="15" customHeight="1" x14ac:dyDescent="0.2">
      <c r="A2057" s="249">
        <v>8</v>
      </c>
      <c r="B2057" s="147" t="s">
        <v>641</v>
      </c>
      <c r="C2057" s="61">
        <v>61199</v>
      </c>
      <c r="D2057" s="62" t="s">
        <v>512</v>
      </c>
      <c r="E2057" s="74"/>
      <c r="F2057" s="74"/>
      <c r="G2057" s="140">
        <v>300</v>
      </c>
      <c r="H2057" s="140">
        <v>0</v>
      </c>
    </row>
    <row r="2058" spans="1:18" ht="15" customHeight="1" x14ac:dyDescent="0.2">
      <c r="A2058" s="249">
        <v>8</v>
      </c>
      <c r="B2058" s="147" t="s">
        <v>642</v>
      </c>
      <c r="C2058" s="61"/>
      <c r="D2058" s="61" t="s">
        <v>14</v>
      </c>
      <c r="E2058" s="138">
        <f>SUM(E2030:E2052)</f>
        <v>0</v>
      </c>
      <c r="F2058" s="138">
        <f>SUM(F2030:F2052)</f>
        <v>0</v>
      </c>
      <c r="G2058" s="138">
        <f>SUM(G2030:G2057)</f>
        <v>47922</v>
      </c>
      <c r="H2058" s="83">
        <f t="shared" si="74"/>
        <v>47922</v>
      </c>
      <c r="O2058" s="258"/>
      <c r="P2058" s="259"/>
    </row>
    <row r="2059" spans="1:18" ht="15" customHeight="1" x14ac:dyDescent="0.2">
      <c r="A2059" s="249" t="s">
        <v>387</v>
      </c>
      <c r="B2059" s="147" t="s">
        <v>387</v>
      </c>
      <c r="C2059" s="148"/>
      <c r="D2059" s="148"/>
      <c r="E2059" s="149"/>
      <c r="F2059" s="149"/>
      <c r="G2059" s="149"/>
      <c r="H2059" s="149"/>
      <c r="O2059" s="258"/>
      <c r="P2059" s="259"/>
      <c r="Q2059" s="147" t="s">
        <v>590</v>
      </c>
      <c r="R2059" s="259">
        <f>+H2058-P2059</f>
        <v>47922</v>
      </c>
    </row>
    <row r="2060" spans="1:18" ht="15" customHeight="1" x14ac:dyDescent="0.2">
      <c r="A2060" s="249" t="s">
        <v>387</v>
      </c>
      <c r="B2060" s="147" t="s">
        <v>387</v>
      </c>
      <c r="C2060" s="148"/>
      <c r="D2060" s="148"/>
      <c r="E2060" s="149"/>
      <c r="F2060" s="149"/>
      <c r="G2060" s="149"/>
      <c r="H2060" s="149"/>
    </row>
    <row r="2061" spans="1:18" ht="15" customHeight="1" x14ac:dyDescent="0.2">
      <c r="A2061" s="249" t="s">
        <v>387</v>
      </c>
      <c r="B2061" s="147" t="s">
        <v>387</v>
      </c>
      <c r="C2061" s="363"/>
      <c r="D2061" s="363"/>
      <c r="E2061" s="363"/>
      <c r="F2061" s="363"/>
      <c r="G2061" s="363"/>
      <c r="H2061" s="366"/>
    </row>
    <row r="2062" spans="1:18" ht="15" customHeight="1" x14ac:dyDescent="0.2">
      <c r="A2062" s="249" t="s">
        <v>387</v>
      </c>
      <c r="B2062" s="147" t="s">
        <v>387</v>
      </c>
      <c r="C2062" s="427" t="s">
        <v>119</v>
      </c>
      <c r="D2062" s="427"/>
      <c r="E2062" s="427"/>
      <c r="F2062" s="427"/>
      <c r="G2062" s="427"/>
      <c r="H2062" s="427"/>
    </row>
    <row r="2063" spans="1:18" ht="15" customHeight="1" x14ac:dyDescent="0.2">
      <c r="A2063" s="249" t="s">
        <v>387</v>
      </c>
      <c r="B2063" s="147" t="s">
        <v>387</v>
      </c>
      <c r="C2063" s="428" t="str">
        <f>C3</f>
        <v xml:space="preserve"> PRESUPUESTO AÑO 2024</v>
      </c>
      <c r="D2063" s="428"/>
      <c r="E2063" s="428"/>
      <c r="F2063" s="428"/>
      <c r="G2063" s="428"/>
      <c r="H2063" s="428"/>
    </row>
    <row r="2064" spans="1:18" ht="15" customHeight="1" x14ac:dyDescent="0.2">
      <c r="A2064" s="249" t="s">
        <v>387</v>
      </c>
      <c r="B2064" s="147" t="s">
        <v>387</v>
      </c>
      <c r="C2064" s="428" t="str">
        <f>C4</f>
        <v>PRESUPUESTO EXTRA CONTABLE</v>
      </c>
      <c r="D2064" s="428"/>
      <c r="E2064" s="428"/>
      <c r="F2064" s="428"/>
      <c r="G2064" s="428"/>
      <c r="H2064" s="428"/>
    </row>
    <row r="2065" spans="1:15" ht="15" customHeight="1" x14ac:dyDescent="0.2">
      <c r="A2065" s="249" t="s">
        <v>387</v>
      </c>
      <c r="B2065" s="147" t="s">
        <v>387</v>
      </c>
      <c r="C2065" s="427" t="s">
        <v>117</v>
      </c>
      <c r="D2065" s="427"/>
      <c r="E2065" s="427"/>
      <c r="F2065" s="427"/>
      <c r="G2065" s="427"/>
      <c r="H2065" s="427"/>
    </row>
    <row r="2066" spans="1:15" ht="15" customHeight="1" x14ac:dyDescent="0.2">
      <c r="A2066" s="249" t="s">
        <v>387</v>
      </c>
      <c r="B2066" s="147" t="s">
        <v>387</v>
      </c>
      <c r="C2066" s="427" t="s">
        <v>282</v>
      </c>
      <c r="D2066" s="427"/>
      <c r="E2066" s="427"/>
      <c r="F2066" s="427"/>
      <c r="G2066" s="427"/>
      <c r="H2066" s="427"/>
    </row>
    <row r="2067" spans="1:15" ht="15" customHeight="1" x14ac:dyDescent="0.2">
      <c r="A2067" s="249" t="s">
        <v>387</v>
      </c>
      <c r="B2067" s="147" t="s">
        <v>387</v>
      </c>
      <c r="C2067" s="430" t="s">
        <v>1</v>
      </c>
      <c r="D2067" s="430" t="s">
        <v>0</v>
      </c>
      <c r="E2067" s="255" t="s">
        <v>56</v>
      </c>
      <c r="F2067" s="255" t="str">
        <f>F7</f>
        <v>REFORMA</v>
      </c>
      <c r="G2067" s="255" t="s">
        <v>56</v>
      </c>
      <c r="H2067" s="432" t="str">
        <f>$H$7</f>
        <v>TOTAL 2024</v>
      </c>
      <c r="I2067" s="153" t="s">
        <v>285</v>
      </c>
      <c r="J2067" s="153"/>
      <c r="K2067" s="153"/>
      <c r="L2067" s="153"/>
      <c r="M2067" s="153"/>
    </row>
    <row r="2068" spans="1:15" ht="15" customHeight="1" x14ac:dyDescent="0.2">
      <c r="A2068" s="249" t="s">
        <v>387</v>
      </c>
      <c r="B2068" s="147" t="s">
        <v>387</v>
      </c>
      <c r="C2068" s="431"/>
      <c r="D2068" s="431"/>
      <c r="E2068" s="255" t="s">
        <v>139</v>
      </c>
      <c r="F2068" s="255"/>
      <c r="G2068" s="255" t="s">
        <v>140</v>
      </c>
      <c r="H2068" s="433"/>
      <c r="I2068" s="153" t="s">
        <v>286</v>
      </c>
      <c r="J2068" s="153" t="s">
        <v>290</v>
      </c>
      <c r="K2068" s="153" t="s">
        <v>291</v>
      </c>
      <c r="L2068" s="153" t="s">
        <v>293</v>
      </c>
      <c r="M2068" s="153" t="s">
        <v>292</v>
      </c>
    </row>
    <row r="2069" spans="1:15" ht="15" customHeight="1" x14ac:dyDescent="0.2">
      <c r="A2069" s="249">
        <v>6</v>
      </c>
      <c r="B2069" s="147">
        <v>64</v>
      </c>
      <c r="C2069" s="61">
        <v>51101</v>
      </c>
      <c r="D2069" s="73" t="s">
        <v>15</v>
      </c>
      <c r="E2069" s="74"/>
      <c r="F2069" s="74"/>
      <c r="G2069" s="290">
        <v>25200</v>
      </c>
      <c r="H2069" s="76">
        <f t="shared" ref="H2069:H2097" si="75">E2069+F2069+G2069</f>
        <v>25200</v>
      </c>
      <c r="I2069" s="256"/>
      <c r="J2069" s="256"/>
      <c r="K2069" s="256"/>
      <c r="L2069" s="256"/>
      <c r="M2069" s="256"/>
      <c r="N2069" s="269" t="s">
        <v>295</v>
      </c>
    </row>
    <row r="2070" spans="1:15" ht="15" customHeight="1" x14ac:dyDescent="0.2">
      <c r="A2070" s="249">
        <v>6</v>
      </c>
      <c r="B2070" s="147">
        <v>64</v>
      </c>
      <c r="C2070" s="61">
        <v>51103</v>
      </c>
      <c r="D2070" s="73" t="s">
        <v>16</v>
      </c>
      <c r="E2070" s="76"/>
      <c r="F2070" s="76"/>
      <c r="G2070" s="290">
        <v>2100</v>
      </c>
      <c r="H2070" s="76">
        <f t="shared" si="75"/>
        <v>2100</v>
      </c>
      <c r="I2070" s="256"/>
      <c r="J2070" s="256"/>
      <c r="K2070" s="256"/>
      <c r="L2070" s="256"/>
      <c r="M2070" s="256"/>
    </row>
    <row r="2071" spans="1:15" ht="15" customHeight="1" x14ac:dyDescent="0.2">
      <c r="A2071" s="249">
        <v>6</v>
      </c>
      <c r="B2071" s="147">
        <v>64</v>
      </c>
      <c r="C2071" s="61">
        <v>51107</v>
      </c>
      <c r="D2071" s="73" t="s">
        <v>34</v>
      </c>
      <c r="E2071" s="76"/>
      <c r="F2071" s="76"/>
      <c r="G2071" s="290">
        <v>1000</v>
      </c>
      <c r="H2071" s="76">
        <f t="shared" si="75"/>
        <v>1000</v>
      </c>
      <c r="I2071" s="256"/>
      <c r="J2071" s="256"/>
      <c r="K2071" s="256"/>
      <c r="L2071" s="256"/>
      <c r="M2071" s="256"/>
    </row>
    <row r="2072" spans="1:15" ht="15" customHeight="1" x14ac:dyDescent="0.2">
      <c r="A2072" s="249">
        <v>6</v>
      </c>
      <c r="B2072" s="147">
        <v>64</v>
      </c>
      <c r="C2072" s="61">
        <v>51401</v>
      </c>
      <c r="D2072" s="62" t="s">
        <v>47</v>
      </c>
      <c r="E2072" s="74"/>
      <c r="F2072" s="74"/>
      <c r="G2072" s="290">
        <v>2142</v>
      </c>
      <c r="H2072" s="76">
        <f t="shared" si="75"/>
        <v>2142</v>
      </c>
      <c r="I2072" s="256"/>
      <c r="J2072" s="256"/>
      <c r="K2072" s="256"/>
      <c r="L2072" s="256"/>
      <c r="M2072" s="256"/>
      <c r="O2072" s="257"/>
    </row>
    <row r="2073" spans="1:15" ht="15" customHeight="1" x14ac:dyDescent="0.2">
      <c r="A2073" s="249">
        <v>6</v>
      </c>
      <c r="B2073" s="147">
        <v>64</v>
      </c>
      <c r="C2073" s="61">
        <v>51501</v>
      </c>
      <c r="D2073" s="73" t="s">
        <v>29</v>
      </c>
      <c r="E2073" s="74"/>
      <c r="F2073" s="74"/>
      <c r="G2073" s="290">
        <v>2205</v>
      </c>
      <c r="H2073" s="76">
        <f t="shared" si="75"/>
        <v>2205</v>
      </c>
      <c r="I2073" s="256"/>
      <c r="J2073" s="256"/>
      <c r="K2073" s="256"/>
      <c r="L2073" s="256"/>
      <c r="M2073" s="256"/>
    </row>
    <row r="2074" spans="1:15" ht="15" customHeight="1" x14ac:dyDescent="0.2">
      <c r="A2074" s="249">
        <v>6</v>
      </c>
      <c r="B2074" s="147">
        <v>64</v>
      </c>
      <c r="C2074" s="61">
        <v>54101</v>
      </c>
      <c r="D2074" s="73" t="s">
        <v>38</v>
      </c>
      <c r="E2074" s="74"/>
      <c r="F2074" s="74"/>
      <c r="G2074" s="140">
        <v>0</v>
      </c>
      <c r="H2074" s="76">
        <f t="shared" si="75"/>
        <v>0</v>
      </c>
      <c r="I2074" s="256"/>
      <c r="J2074" s="256"/>
      <c r="K2074" s="256"/>
      <c r="L2074" s="256"/>
      <c r="M2074" s="256"/>
    </row>
    <row r="2075" spans="1:15" ht="15" customHeight="1" x14ac:dyDescent="0.2">
      <c r="A2075" s="249">
        <v>6</v>
      </c>
      <c r="B2075" s="147">
        <v>64</v>
      </c>
      <c r="C2075" s="61">
        <v>54104</v>
      </c>
      <c r="D2075" s="73" t="s">
        <v>17</v>
      </c>
      <c r="E2075" s="74"/>
      <c r="F2075" s="74"/>
      <c r="G2075" s="140">
        <v>400</v>
      </c>
      <c r="H2075" s="76">
        <f t="shared" si="75"/>
        <v>400</v>
      </c>
      <c r="I2075" s="256"/>
      <c r="J2075" s="256"/>
      <c r="K2075" s="256"/>
      <c r="L2075" s="256"/>
      <c r="M2075" s="256"/>
    </row>
    <row r="2076" spans="1:15" ht="15" customHeight="1" x14ac:dyDescent="0.2">
      <c r="A2076" s="249">
        <v>6</v>
      </c>
      <c r="B2076" s="147">
        <v>64</v>
      </c>
      <c r="C2076" s="61">
        <v>54105</v>
      </c>
      <c r="D2076" s="73" t="s">
        <v>131</v>
      </c>
      <c r="E2076" s="74"/>
      <c r="F2076" s="74"/>
      <c r="G2076" s="140">
        <v>300</v>
      </c>
      <c r="H2076" s="76">
        <f t="shared" si="75"/>
        <v>300</v>
      </c>
      <c r="I2076" s="256"/>
      <c r="J2076" s="256"/>
      <c r="K2076" s="256"/>
      <c r="L2076" s="256"/>
      <c r="M2076" s="256"/>
    </row>
    <row r="2077" spans="1:15" ht="15" customHeight="1" x14ac:dyDescent="0.2">
      <c r="A2077" s="249">
        <v>6</v>
      </c>
      <c r="B2077" s="147">
        <v>64</v>
      </c>
      <c r="C2077" s="61">
        <v>54107</v>
      </c>
      <c r="D2077" s="73" t="s">
        <v>43</v>
      </c>
      <c r="E2077" s="74"/>
      <c r="F2077" s="74"/>
      <c r="G2077" s="140">
        <v>200</v>
      </c>
      <c r="H2077" s="76">
        <f t="shared" si="75"/>
        <v>200</v>
      </c>
      <c r="I2077" s="256"/>
      <c r="J2077" s="256"/>
      <c r="K2077" s="256"/>
      <c r="L2077" s="256"/>
      <c r="M2077" s="256"/>
    </row>
    <row r="2078" spans="1:15" ht="15" customHeight="1" x14ac:dyDescent="0.2">
      <c r="A2078" s="249">
        <v>6</v>
      </c>
      <c r="B2078" s="147">
        <v>64</v>
      </c>
      <c r="C2078" s="61">
        <v>54111</v>
      </c>
      <c r="D2078" s="73" t="s">
        <v>162</v>
      </c>
      <c r="E2078" s="74"/>
      <c r="F2078" s="74"/>
      <c r="G2078" s="140">
        <v>250</v>
      </c>
      <c r="H2078" s="76">
        <f t="shared" si="75"/>
        <v>250</v>
      </c>
      <c r="I2078" s="256"/>
      <c r="J2078" s="256"/>
      <c r="K2078" s="256"/>
      <c r="L2078" s="256"/>
      <c r="M2078" s="256"/>
    </row>
    <row r="2079" spans="1:15" ht="15" customHeight="1" x14ac:dyDescent="0.2">
      <c r="A2079" s="249">
        <v>6</v>
      </c>
      <c r="B2079" s="147">
        <v>64</v>
      </c>
      <c r="C2079" s="61">
        <v>54112</v>
      </c>
      <c r="D2079" s="73" t="s">
        <v>42</v>
      </c>
      <c r="E2079" s="74"/>
      <c r="F2079" s="74"/>
      <c r="G2079" s="140">
        <v>100</v>
      </c>
      <c r="H2079" s="76">
        <f t="shared" si="75"/>
        <v>100</v>
      </c>
      <c r="I2079" s="256"/>
      <c r="J2079" s="256"/>
      <c r="K2079" s="256"/>
      <c r="L2079" s="256"/>
      <c r="M2079" s="256"/>
    </row>
    <row r="2080" spans="1:15" ht="15" customHeight="1" x14ac:dyDescent="0.2">
      <c r="A2080" s="249">
        <v>6</v>
      </c>
      <c r="B2080" s="147">
        <v>64</v>
      </c>
      <c r="C2080" s="61">
        <v>54114</v>
      </c>
      <c r="D2080" s="73" t="s">
        <v>5</v>
      </c>
      <c r="E2080" s="74"/>
      <c r="F2080" s="74"/>
      <c r="G2080" s="140">
        <v>200</v>
      </c>
      <c r="H2080" s="76">
        <f t="shared" si="75"/>
        <v>200</v>
      </c>
      <c r="I2080" s="256"/>
      <c r="J2080" s="256"/>
      <c r="K2080" s="256"/>
      <c r="L2080" s="256"/>
      <c r="M2080" s="256"/>
    </row>
    <row r="2081" spans="1:18" ht="15" customHeight="1" x14ac:dyDescent="0.2">
      <c r="A2081" s="249">
        <v>6</v>
      </c>
      <c r="B2081" s="147">
        <v>64</v>
      </c>
      <c r="C2081" s="61">
        <v>54115</v>
      </c>
      <c r="D2081" s="73" t="s">
        <v>49</v>
      </c>
      <c r="E2081" s="74"/>
      <c r="F2081" s="74"/>
      <c r="G2081" s="140">
        <v>350</v>
      </c>
      <c r="H2081" s="76">
        <f t="shared" si="75"/>
        <v>350</v>
      </c>
      <c r="I2081" s="256"/>
      <c r="J2081" s="256"/>
      <c r="K2081" s="256"/>
      <c r="L2081" s="256"/>
      <c r="M2081" s="256"/>
    </row>
    <row r="2082" spans="1:18" ht="15" customHeight="1" x14ac:dyDescent="0.2">
      <c r="A2082" s="249">
        <v>6</v>
      </c>
      <c r="B2082" s="147">
        <v>64</v>
      </c>
      <c r="C2082" s="61" t="s">
        <v>536</v>
      </c>
      <c r="D2082" s="73" t="s">
        <v>35</v>
      </c>
      <c r="E2082" s="74"/>
      <c r="F2082" s="74"/>
      <c r="G2082" s="140">
        <v>100</v>
      </c>
      <c r="H2082" s="76">
        <f t="shared" si="75"/>
        <v>100</v>
      </c>
      <c r="I2082" s="256"/>
      <c r="J2082" s="256"/>
      <c r="K2082" s="256"/>
      <c r="L2082" s="256"/>
      <c r="M2082" s="256"/>
    </row>
    <row r="2083" spans="1:18" ht="15" customHeight="1" x14ac:dyDescent="0.2">
      <c r="A2083" s="249">
        <v>6</v>
      </c>
      <c r="B2083" s="147">
        <v>64</v>
      </c>
      <c r="C2083" s="61">
        <v>54119</v>
      </c>
      <c r="D2083" s="73" t="s">
        <v>530</v>
      </c>
      <c r="E2083" s="74"/>
      <c r="F2083" s="74"/>
      <c r="G2083" s="140">
        <v>200</v>
      </c>
      <c r="H2083" s="76">
        <f t="shared" si="75"/>
        <v>200</v>
      </c>
      <c r="I2083" s="256"/>
      <c r="J2083" s="256"/>
      <c r="K2083" s="256"/>
      <c r="L2083" s="256"/>
      <c r="M2083" s="256"/>
    </row>
    <row r="2084" spans="1:18" ht="15" customHeight="1" x14ac:dyDescent="0.2">
      <c r="A2084" s="249">
        <v>6</v>
      </c>
      <c r="B2084" s="147">
        <v>64</v>
      </c>
      <c r="C2084" s="61">
        <v>54199</v>
      </c>
      <c r="D2084" s="73" t="s">
        <v>318</v>
      </c>
      <c r="E2084" s="74"/>
      <c r="F2084" s="74"/>
      <c r="G2084" s="140">
        <v>250</v>
      </c>
      <c r="H2084" s="76">
        <f t="shared" si="75"/>
        <v>250</v>
      </c>
      <c r="I2084" s="256"/>
      <c r="J2084" s="256"/>
      <c r="K2084" s="256"/>
      <c r="L2084" s="256"/>
      <c r="M2084" s="256"/>
    </row>
    <row r="2085" spans="1:18" ht="15" customHeight="1" x14ac:dyDescent="0.2">
      <c r="A2085" s="249">
        <v>6</v>
      </c>
      <c r="B2085" s="147">
        <v>64</v>
      </c>
      <c r="C2085" s="61">
        <v>54201</v>
      </c>
      <c r="D2085" s="73" t="s">
        <v>21</v>
      </c>
      <c r="E2085" s="74"/>
      <c r="F2085" s="74"/>
      <c r="G2085" s="140">
        <v>5000</v>
      </c>
      <c r="H2085" s="76">
        <f t="shared" si="75"/>
        <v>5000</v>
      </c>
      <c r="I2085" s="256"/>
      <c r="J2085" s="256"/>
      <c r="K2085" s="256"/>
      <c r="L2085" s="256"/>
      <c r="M2085" s="256"/>
    </row>
    <row r="2086" spans="1:18" ht="15" customHeight="1" x14ac:dyDescent="0.2">
      <c r="A2086" s="249">
        <v>6</v>
      </c>
      <c r="B2086" s="147">
        <v>64</v>
      </c>
      <c r="C2086" s="61">
        <v>54202</v>
      </c>
      <c r="D2086" s="73" t="s">
        <v>27</v>
      </c>
      <c r="E2086" s="76">
        <v>500</v>
      </c>
      <c r="F2086" s="76"/>
      <c r="G2086" s="140">
        <v>1000</v>
      </c>
      <c r="H2086" s="76">
        <f t="shared" si="75"/>
        <v>1500</v>
      </c>
      <c r="I2086" s="256"/>
      <c r="J2086" s="256"/>
      <c r="K2086" s="256"/>
      <c r="L2086" s="256"/>
      <c r="M2086" s="256"/>
    </row>
    <row r="2087" spans="1:18" ht="15" customHeight="1" x14ac:dyDescent="0.2">
      <c r="A2087" s="249">
        <v>6</v>
      </c>
      <c r="B2087" s="147">
        <v>64</v>
      </c>
      <c r="C2087" s="61">
        <v>54203</v>
      </c>
      <c r="D2087" s="73" t="s">
        <v>7</v>
      </c>
      <c r="E2087" s="76">
        <v>600</v>
      </c>
      <c r="F2087" s="76"/>
      <c r="G2087" s="140">
        <v>600</v>
      </c>
      <c r="H2087" s="76">
        <f t="shared" si="75"/>
        <v>1200</v>
      </c>
      <c r="I2087" s="256"/>
      <c r="J2087" s="256"/>
      <c r="K2087" s="256"/>
      <c r="L2087" s="256"/>
      <c r="M2087" s="256"/>
    </row>
    <row r="2088" spans="1:18" ht="15" customHeight="1" x14ac:dyDescent="0.2">
      <c r="A2088" s="249">
        <v>6</v>
      </c>
      <c r="B2088" s="147">
        <v>64</v>
      </c>
      <c r="C2088" s="61">
        <v>54204</v>
      </c>
      <c r="D2088" s="62" t="s">
        <v>555</v>
      </c>
      <c r="E2088" s="76">
        <v>800</v>
      </c>
      <c r="F2088" s="76"/>
      <c r="G2088" s="140">
        <v>100</v>
      </c>
      <c r="H2088" s="76">
        <f t="shared" si="75"/>
        <v>900</v>
      </c>
      <c r="I2088" s="256"/>
      <c r="J2088" s="256"/>
      <c r="K2088" s="256"/>
      <c r="L2088" s="256"/>
      <c r="M2088" s="256"/>
    </row>
    <row r="2089" spans="1:18" ht="15" customHeight="1" x14ac:dyDescent="0.2">
      <c r="A2089" s="249">
        <v>6</v>
      </c>
      <c r="B2089" s="147">
        <v>64</v>
      </c>
      <c r="C2089" s="61">
        <v>54205</v>
      </c>
      <c r="D2089" s="62" t="s">
        <v>138</v>
      </c>
      <c r="E2089" s="76">
        <v>50000</v>
      </c>
      <c r="F2089" s="76"/>
      <c r="G2089" s="140">
        <v>10000</v>
      </c>
      <c r="H2089" s="76">
        <f t="shared" si="75"/>
        <v>60000</v>
      </c>
      <c r="I2089" s="256"/>
      <c r="J2089" s="256"/>
      <c r="K2089" s="256"/>
      <c r="L2089" s="256"/>
      <c r="M2089" s="256"/>
    </row>
    <row r="2090" spans="1:18" ht="15" customHeight="1" x14ac:dyDescent="0.2">
      <c r="A2090" s="249">
        <v>6</v>
      </c>
      <c r="B2090" s="147">
        <v>64</v>
      </c>
      <c r="C2090" s="61">
        <v>54301</v>
      </c>
      <c r="D2090" s="62" t="s">
        <v>8</v>
      </c>
      <c r="E2090" s="74"/>
      <c r="F2090" s="74"/>
      <c r="G2090" s="140">
        <v>300</v>
      </c>
      <c r="H2090" s="76">
        <f t="shared" si="75"/>
        <v>300</v>
      </c>
      <c r="I2090" s="256"/>
      <c r="J2090" s="256"/>
      <c r="K2090" s="256"/>
      <c r="L2090" s="256"/>
      <c r="M2090" s="256"/>
    </row>
    <row r="2091" spans="1:18" ht="15" customHeight="1" x14ac:dyDescent="0.2">
      <c r="A2091" s="249">
        <v>6</v>
      </c>
      <c r="B2091" s="147">
        <v>64</v>
      </c>
      <c r="C2091" s="61">
        <v>54303</v>
      </c>
      <c r="D2091" s="62" t="s">
        <v>9</v>
      </c>
      <c r="E2091" s="74"/>
      <c r="F2091" s="136"/>
      <c r="G2091" s="140">
        <v>2500</v>
      </c>
      <c r="H2091" s="76">
        <f t="shared" ref="H2091" si="76">E2091+F2091+G2091</f>
        <v>2500</v>
      </c>
      <c r="I2091" s="256"/>
      <c r="J2091" s="256"/>
      <c r="K2091" s="256"/>
      <c r="L2091" s="256"/>
      <c r="M2091" s="256"/>
    </row>
    <row r="2092" spans="1:18" ht="15" customHeight="1" x14ac:dyDescent="0.2">
      <c r="A2092" s="249">
        <v>6</v>
      </c>
      <c r="B2092" s="147">
        <v>64</v>
      </c>
      <c r="C2092" s="61">
        <v>54399</v>
      </c>
      <c r="D2092" s="62" t="s">
        <v>153</v>
      </c>
      <c r="E2092" s="74"/>
      <c r="F2092" s="74"/>
      <c r="G2092" s="140">
        <v>0</v>
      </c>
      <c r="H2092" s="76">
        <f t="shared" si="75"/>
        <v>0</v>
      </c>
      <c r="I2092" s="256"/>
      <c r="J2092" s="256"/>
      <c r="K2092" s="256"/>
      <c r="L2092" s="256"/>
      <c r="M2092" s="256"/>
    </row>
    <row r="2093" spans="1:18" ht="15" customHeight="1" x14ac:dyDescent="0.2">
      <c r="A2093" s="249">
        <v>6</v>
      </c>
      <c r="B2093" s="147">
        <v>64</v>
      </c>
      <c r="C2093" s="61">
        <v>54401</v>
      </c>
      <c r="D2093" s="62" t="s">
        <v>143</v>
      </c>
      <c r="E2093" s="74"/>
      <c r="F2093" s="74"/>
      <c r="G2093" s="140">
        <v>0</v>
      </c>
      <c r="H2093" s="76">
        <f t="shared" si="75"/>
        <v>0</v>
      </c>
      <c r="I2093" s="256"/>
      <c r="J2093" s="256"/>
      <c r="K2093" s="256"/>
      <c r="L2093" s="256"/>
      <c r="M2093" s="256"/>
    </row>
    <row r="2094" spans="1:18" ht="15" customHeight="1" x14ac:dyDescent="0.2">
      <c r="A2094" s="249">
        <v>6</v>
      </c>
      <c r="B2094" s="147">
        <v>64</v>
      </c>
      <c r="C2094" s="61">
        <v>55703</v>
      </c>
      <c r="D2094" s="62" t="s">
        <v>456</v>
      </c>
      <c r="E2094" s="74"/>
      <c r="F2094" s="74"/>
      <c r="G2094" s="140">
        <v>1200</v>
      </c>
      <c r="H2094" s="140">
        <v>1200</v>
      </c>
      <c r="I2094" s="256"/>
      <c r="J2094" s="256"/>
      <c r="K2094" s="256"/>
      <c r="L2094" s="256"/>
      <c r="M2094" s="256"/>
    </row>
    <row r="2095" spans="1:18" ht="15" customHeight="1" x14ac:dyDescent="0.2">
      <c r="A2095" s="249">
        <v>6</v>
      </c>
      <c r="B2095" s="147">
        <v>64</v>
      </c>
      <c r="C2095" s="61">
        <v>61101</v>
      </c>
      <c r="D2095" s="73" t="s">
        <v>144</v>
      </c>
      <c r="E2095" s="74"/>
      <c r="F2095" s="74"/>
      <c r="G2095" s="140">
        <v>700</v>
      </c>
      <c r="H2095" s="76">
        <f t="shared" si="75"/>
        <v>700</v>
      </c>
      <c r="I2095" s="256"/>
      <c r="J2095" s="256"/>
      <c r="K2095" s="256"/>
      <c r="L2095" s="256"/>
      <c r="M2095" s="256"/>
      <c r="Q2095" s="274">
        <f>E48+E941+E947+E1206+E1369+E1370+E1371+E1372+E1464+E2085+E2086+E2087+E2088+E2089</f>
        <v>484900</v>
      </c>
    </row>
    <row r="2096" spans="1:18" ht="15" customHeight="1" x14ac:dyDescent="0.2">
      <c r="A2096" s="249">
        <v>6</v>
      </c>
      <c r="B2096" s="147">
        <v>64</v>
      </c>
      <c r="C2096" s="61">
        <v>61102</v>
      </c>
      <c r="D2096" s="62" t="s">
        <v>28</v>
      </c>
      <c r="E2096" s="74"/>
      <c r="F2096" s="74"/>
      <c r="G2096" s="140">
        <v>400</v>
      </c>
      <c r="H2096" s="76">
        <f t="shared" si="75"/>
        <v>400</v>
      </c>
      <c r="I2096" s="256"/>
      <c r="J2096" s="256"/>
      <c r="K2096" s="256"/>
      <c r="L2096" s="256"/>
      <c r="M2096" s="256"/>
      <c r="Q2096" s="274">
        <f>INGRESOS!M181</f>
        <v>0</v>
      </c>
      <c r="R2096" s="274">
        <f>Q2095-Q2096</f>
        <v>484900</v>
      </c>
    </row>
    <row r="2097" spans="1:18" ht="15" customHeight="1" x14ac:dyDescent="0.2">
      <c r="A2097" s="249">
        <v>6</v>
      </c>
      <c r="B2097" s="147">
        <v>64</v>
      </c>
      <c r="C2097" s="61">
        <v>61104</v>
      </c>
      <c r="D2097" s="73" t="s">
        <v>46</v>
      </c>
      <c r="E2097" s="74"/>
      <c r="F2097" s="74"/>
      <c r="G2097" s="140">
        <v>1500</v>
      </c>
      <c r="H2097" s="76">
        <f t="shared" si="75"/>
        <v>1500</v>
      </c>
      <c r="I2097" s="256"/>
      <c r="J2097" s="256"/>
      <c r="K2097" s="256"/>
      <c r="L2097" s="256"/>
      <c r="M2097" s="256"/>
      <c r="Q2097" s="274"/>
      <c r="R2097" s="274"/>
    </row>
    <row r="2098" spans="1:18" ht="15" customHeight="1" x14ac:dyDescent="0.2">
      <c r="A2098" s="249">
        <v>6</v>
      </c>
      <c r="B2098" s="147" t="s">
        <v>411</v>
      </c>
      <c r="C2098" s="61"/>
      <c r="D2098" s="61" t="s">
        <v>14</v>
      </c>
      <c r="E2098" s="138">
        <f>SUM(E2069:E2097)</f>
        <v>51900</v>
      </c>
      <c r="F2098" s="138">
        <f>SUM(F2069:F2096)</f>
        <v>0</v>
      </c>
      <c r="G2098" s="138">
        <f>SUM(G2069:G2097)</f>
        <v>58297</v>
      </c>
      <c r="H2098" s="83">
        <f>E2098+F2098+G2098</f>
        <v>110197</v>
      </c>
      <c r="I2098" s="73"/>
      <c r="J2098" s="73"/>
      <c r="K2098" s="73"/>
      <c r="L2098" s="73"/>
      <c r="M2098" s="73"/>
      <c r="O2098" s="258"/>
      <c r="P2098" s="259"/>
      <c r="Q2098" s="259"/>
    </row>
    <row r="2099" spans="1:18" ht="15" customHeight="1" x14ac:dyDescent="0.2">
      <c r="A2099" s="249" t="s">
        <v>387</v>
      </c>
      <c r="B2099" s="147" t="s">
        <v>387</v>
      </c>
      <c r="C2099" s="148"/>
      <c r="D2099" s="148"/>
      <c r="E2099" s="260"/>
      <c r="F2099" s="260"/>
      <c r="G2099" s="261"/>
      <c r="H2099" s="261"/>
      <c r="O2099" s="258"/>
      <c r="P2099" s="259"/>
      <c r="Q2099" s="147" t="s">
        <v>590</v>
      </c>
      <c r="R2099" s="259">
        <f>+H2098-P2099</f>
        <v>110197</v>
      </c>
    </row>
    <row r="2100" spans="1:18" ht="15" customHeight="1" x14ac:dyDescent="0.2">
      <c r="A2100" s="249" t="s">
        <v>387</v>
      </c>
      <c r="B2100" s="147" t="s">
        <v>387</v>
      </c>
      <c r="C2100" s="148"/>
      <c r="D2100" s="148"/>
      <c r="E2100" s="260"/>
      <c r="F2100" s="260"/>
      <c r="G2100" s="261"/>
      <c r="H2100" s="261"/>
      <c r="O2100" s="258"/>
      <c r="P2100" s="259"/>
      <c r="R2100" s="259"/>
    </row>
    <row r="2101" spans="1:18" ht="15" customHeight="1" x14ac:dyDescent="0.2">
      <c r="A2101" s="249" t="s">
        <v>387</v>
      </c>
      <c r="B2101" s="147" t="s">
        <v>387</v>
      </c>
      <c r="C2101" s="368"/>
      <c r="D2101" s="368"/>
      <c r="E2101" s="368"/>
      <c r="F2101" s="368"/>
      <c r="G2101" s="368"/>
      <c r="H2101" s="368"/>
    </row>
    <row r="2102" spans="1:18" ht="15" customHeight="1" x14ac:dyDescent="0.2">
      <c r="A2102" s="249" t="s">
        <v>387</v>
      </c>
      <c r="B2102" s="147" t="s">
        <v>387</v>
      </c>
      <c r="C2102" s="427" t="s">
        <v>119</v>
      </c>
      <c r="D2102" s="427"/>
      <c r="E2102" s="427"/>
      <c r="F2102" s="427"/>
      <c r="G2102" s="427"/>
      <c r="H2102" s="427"/>
    </row>
    <row r="2103" spans="1:18" ht="15" customHeight="1" x14ac:dyDescent="0.2">
      <c r="A2103" s="249" t="s">
        <v>387</v>
      </c>
      <c r="B2103" s="147" t="s">
        <v>387</v>
      </c>
      <c r="C2103" s="428" t="str">
        <f>C3</f>
        <v xml:space="preserve"> PRESUPUESTO AÑO 2024</v>
      </c>
      <c r="D2103" s="428"/>
      <c r="E2103" s="428"/>
      <c r="F2103" s="428"/>
      <c r="G2103" s="428"/>
      <c r="H2103" s="428"/>
    </row>
    <row r="2104" spans="1:18" ht="15" customHeight="1" x14ac:dyDescent="0.2">
      <c r="A2104" s="249" t="s">
        <v>387</v>
      </c>
      <c r="B2104" s="147" t="s">
        <v>387</v>
      </c>
      <c r="C2104" s="428" t="str">
        <f>C4</f>
        <v>PRESUPUESTO EXTRA CONTABLE</v>
      </c>
      <c r="D2104" s="428"/>
      <c r="E2104" s="428"/>
      <c r="F2104" s="428"/>
      <c r="G2104" s="428"/>
      <c r="H2104" s="428"/>
    </row>
    <row r="2105" spans="1:18" ht="15" customHeight="1" x14ac:dyDescent="0.2">
      <c r="A2105" s="249" t="s">
        <v>387</v>
      </c>
      <c r="B2105" s="147" t="s">
        <v>387</v>
      </c>
      <c r="C2105" s="427" t="s">
        <v>118</v>
      </c>
      <c r="D2105" s="427"/>
      <c r="E2105" s="427"/>
      <c r="F2105" s="427"/>
      <c r="G2105" s="427"/>
      <c r="H2105" s="427"/>
    </row>
    <row r="2106" spans="1:18" ht="15" customHeight="1" x14ac:dyDescent="0.2">
      <c r="A2106" s="249" t="s">
        <v>387</v>
      </c>
      <c r="B2106" s="147" t="s">
        <v>387</v>
      </c>
      <c r="C2106" s="427" t="s">
        <v>374</v>
      </c>
      <c r="D2106" s="427"/>
      <c r="E2106" s="427"/>
      <c r="F2106" s="427"/>
      <c r="G2106" s="427"/>
      <c r="H2106" s="427"/>
    </row>
    <row r="2107" spans="1:18" ht="15" customHeight="1" x14ac:dyDescent="0.2">
      <c r="A2107" s="249" t="s">
        <v>387</v>
      </c>
      <c r="B2107" s="147" t="s">
        <v>387</v>
      </c>
      <c r="C2107" s="430" t="s">
        <v>1</v>
      </c>
      <c r="D2107" s="430" t="s">
        <v>0</v>
      </c>
      <c r="E2107" s="255" t="s">
        <v>56</v>
      </c>
      <c r="F2107" s="255" t="str">
        <f>F7</f>
        <v>REFORMA</v>
      </c>
      <c r="G2107" s="255" t="s">
        <v>56</v>
      </c>
      <c r="H2107" s="432" t="str">
        <f>$H$7</f>
        <v>TOTAL 2024</v>
      </c>
      <c r="I2107" s="153" t="s">
        <v>285</v>
      </c>
      <c r="J2107" s="153"/>
      <c r="K2107" s="153"/>
      <c r="L2107" s="153" t="s">
        <v>293</v>
      </c>
      <c r="M2107" s="153"/>
    </row>
    <row r="2108" spans="1:18" ht="15" customHeight="1" x14ac:dyDescent="0.2">
      <c r="A2108" s="249" t="s">
        <v>387</v>
      </c>
      <c r="B2108" s="147" t="s">
        <v>387</v>
      </c>
      <c r="C2108" s="431"/>
      <c r="D2108" s="431"/>
      <c r="E2108" s="255" t="s">
        <v>139</v>
      </c>
      <c r="F2108" s="255"/>
      <c r="G2108" s="255" t="s">
        <v>140</v>
      </c>
      <c r="H2108" s="433"/>
      <c r="I2108" s="153" t="s">
        <v>286</v>
      </c>
      <c r="J2108" s="153" t="s">
        <v>290</v>
      </c>
      <c r="K2108" s="153" t="s">
        <v>291</v>
      </c>
      <c r="L2108" s="153"/>
      <c r="M2108" s="153" t="s">
        <v>292</v>
      </c>
    </row>
    <row r="2109" spans="1:18" ht="15" customHeight="1" x14ac:dyDescent="0.2">
      <c r="A2109" s="249">
        <v>65</v>
      </c>
      <c r="B2109" s="147">
        <v>65</v>
      </c>
      <c r="C2109" s="130">
        <v>54602</v>
      </c>
      <c r="D2109" s="73" t="s">
        <v>124</v>
      </c>
      <c r="E2109" s="75"/>
      <c r="F2109" s="75"/>
      <c r="G2109" s="291"/>
      <c r="H2109" s="76">
        <f t="shared" ref="H2109:H2119" si="77">E2109+F2109+G2109</f>
        <v>0</v>
      </c>
      <c r="I2109" s="153"/>
      <c r="J2109" s="153"/>
      <c r="K2109" s="153"/>
      <c r="L2109" s="153"/>
      <c r="M2109" s="153"/>
      <c r="P2109" s="292"/>
    </row>
    <row r="2110" spans="1:18" ht="15" customHeight="1" x14ac:dyDescent="0.2">
      <c r="A2110" s="249">
        <v>65</v>
      </c>
      <c r="B2110" s="147">
        <v>65</v>
      </c>
      <c r="C2110" s="130">
        <v>55603</v>
      </c>
      <c r="D2110" s="73" t="s">
        <v>134</v>
      </c>
      <c r="E2110" s="75"/>
      <c r="F2110" s="75"/>
      <c r="G2110" s="291"/>
      <c r="H2110" s="76">
        <f t="shared" si="77"/>
        <v>0</v>
      </c>
      <c r="I2110" s="256"/>
      <c r="J2110" s="256"/>
      <c r="K2110" s="256"/>
      <c r="L2110" s="256"/>
      <c r="M2110" s="256"/>
      <c r="P2110" s="292"/>
    </row>
    <row r="2111" spans="1:18" ht="15" customHeight="1" x14ac:dyDescent="0.2">
      <c r="A2111" s="249">
        <v>65</v>
      </c>
      <c r="B2111" s="147">
        <v>65</v>
      </c>
      <c r="C2111" s="61">
        <v>61599</v>
      </c>
      <c r="D2111" s="263" t="s">
        <v>284</v>
      </c>
      <c r="E2111" s="293">
        <v>50000</v>
      </c>
      <c r="F2111" s="294"/>
      <c r="G2111" s="295"/>
      <c r="H2111" s="76">
        <f t="shared" si="77"/>
        <v>50000</v>
      </c>
      <c r="I2111" s="256"/>
      <c r="J2111" s="256"/>
      <c r="K2111" s="256"/>
      <c r="L2111" s="256"/>
      <c r="M2111" s="256"/>
      <c r="P2111" s="292"/>
    </row>
    <row r="2112" spans="1:18" ht="15" customHeight="1" x14ac:dyDescent="0.2">
      <c r="A2112" s="249">
        <v>65</v>
      </c>
      <c r="B2112" s="147">
        <v>65</v>
      </c>
      <c r="C2112" s="265">
        <v>61601</v>
      </c>
      <c r="D2112" s="154" t="s">
        <v>287</v>
      </c>
      <c r="E2112" s="293">
        <v>150000</v>
      </c>
      <c r="F2112" s="293"/>
      <c r="G2112" s="296"/>
      <c r="H2112" s="76">
        <f t="shared" si="77"/>
        <v>150000</v>
      </c>
      <c r="I2112" s="256"/>
      <c r="J2112" s="256"/>
      <c r="K2112" s="256"/>
      <c r="L2112" s="256"/>
      <c r="M2112" s="256"/>
      <c r="P2112" s="292"/>
    </row>
    <row r="2113" spans="1:16" ht="15" customHeight="1" x14ac:dyDescent="0.2">
      <c r="A2113" s="249">
        <v>65</v>
      </c>
      <c r="B2113" s="147">
        <v>65</v>
      </c>
      <c r="C2113" s="265">
        <v>61602</v>
      </c>
      <c r="D2113" s="154" t="s">
        <v>289</v>
      </c>
      <c r="E2113" s="293">
        <v>80000</v>
      </c>
      <c r="F2113" s="293"/>
      <c r="G2113" s="296"/>
      <c r="H2113" s="76">
        <f t="shared" si="77"/>
        <v>80000</v>
      </c>
      <c r="I2113" s="256"/>
      <c r="J2113" s="256"/>
      <c r="K2113" s="256"/>
      <c r="L2113" s="256"/>
      <c r="M2113" s="256"/>
      <c r="P2113" s="292"/>
    </row>
    <row r="2114" spans="1:16" ht="15" customHeight="1" x14ac:dyDescent="0.2">
      <c r="A2114" s="249">
        <v>65</v>
      </c>
      <c r="B2114" s="147">
        <v>65</v>
      </c>
      <c r="C2114" s="265">
        <v>61603</v>
      </c>
      <c r="D2114" s="154" t="s">
        <v>327</v>
      </c>
      <c r="E2114" s="293">
        <v>60000</v>
      </c>
      <c r="F2114" s="293"/>
      <c r="G2114" s="296"/>
      <c r="H2114" s="76">
        <f t="shared" si="77"/>
        <v>60000</v>
      </c>
      <c r="I2114" s="256"/>
      <c r="J2114" s="256"/>
      <c r="K2114" s="256"/>
      <c r="L2114" s="256"/>
      <c r="M2114" s="256"/>
      <c r="P2114" s="292"/>
    </row>
    <row r="2115" spans="1:16" ht="15" customHeight="1" x14ac:dyDescent="0.2">
      <c r="A2115" s="249">
        <v>65</v>
      </c>
      <c r="B2115" s="147">
        <v>65</v>
      </c>
      <c r="C2115" s="265">
        <v>61604</v>
      </c>
      <c r="D2115" s="154" t="s">
        <v>339</v>
      </c>
      <c r="E2115" s="293"/>
      <c r="F2115" s="293"/>
      <c r="G2115" s="296"/>
      <c r="H2115" s="76">
        <f t="shared" si="77"/>
        <v>0</v>
      </c>
      <c r="I2115" s="256"/>
      <c r="J2115" s="256"/>
      <c r="K2115" s="256"/>
      <c r="L2115" s="256"/>
      <c r="M2115" s="256"/>
      <c r="P2115" s="292"/>
    </row>
    <row r="2116" spans="1:16" ht="15" customHeight="1" x14ac:dyDescent="0.2">
      <c r="A2116" s="249">
        <v>65</v>
      </c>
      <c r="B2116" s="147">
        <v>65</v>
      </c>
      <c r="C2116" s="265">
        <v>61606</v>
      </c>
      <c r="D2116" s="154" t="s">
        <v>328</v>
      </c>
      <c r="E2116" s="293"/>
      <c r="F2116" s="293"/>
      <c r="G2116" s="296"/>
      <c r="H2116" s="76">
        <f t="shared" si="77"/>
        <v>0</v>
      </c>
      <c r="I2116" s="256"/>
      <c r="J2116" s="256"/>
      <c r="K2116" s="256"/>
      <c r="L2116" s="256"/>
      <c r="M2116" s="256"/>
      <c r="P2116" s="292"/>
    </row>
    <row r="2117" spans="1:16" ht="15" customHeight="1" x14ac:dyDescent="0.2">
      <c r="A2117" s="249">
        <v>65</v>
      </c>
      <c r="B2117" s="147">
        <v>65</v>
      </c>
      <c r="C2117" s="265">
        <v>61608</v>
      </c>
      <c r="D2117" s="154" t="s">
        <v>288</v>
      </c>
      <c r="E2117" s="293"/>
      <c r="F2117" s="293"/>
      <c r="G2117" s="296"/>
      <c r="H2117" s="76">
        <f t="shared" si="77"/>
        <v>0</v>
      </c>
      <c r="I2117" s="256"/>
      <c r="J2117" s="256"/>
      <c r="K2117" s="256"/>
      <c r="L2117" s="256"/>
      <c r="M2117" s="256"/>
      <c r="N2117" s="259"/>
      <c r="P2117" s="292"/>
    </row>
    <row r="2118" spans="1:16" ht="15" customHeight="1" x14ac:dyDescent="0.2">
      <c r="A2118" s="249">
        <v>65</v>
      </c>
      <c r="B2118" s="147">
        <v>65</v>
      </c>
      <c r="C2118" s="265">
        <v>61699</v>
      </c>
      <c r="D2118" s="154" t="s">
        <v>36</v>
      </c>
      <c r="E2118" s="293">
        <f>195396.08+65577.22</f>
        <v>260973.3</v>
      </c>
      <c r="F2118" s="293"/>
      <c r="G2118" s="296"/>
      <c r="H2118" s="76">
        <f t="shared" si="77"/>
        <v>260973.3</v>
      </c>
      <c r="I2118" s="256"/>
      <c r="J2118" s="256"/>
      <c r="K2118" s="256"/>
      <c r="L2118" s="256"/>
      <c r="M2118" s="256"/>
      <c r="O2118" s="257"/>
      <c r="P2118" s="292"/>
    </row>
    <row r="2119" spans="1:16" ht="15" customHeight="1" x14ac:dyDescent="0.2">
      <c r="A2119" s="249">
        <v>65</v>
      </c>
      <c r="B2119" s="147" t="s">
        <v>413</v>
      </c>
      <c r="C2119" s="61"/>
      <c r="D2119" s="61" t="s">
        <v>14</v>
      </c>
      <c r="E2119" s="138">
        <f>SUM(E2109:E2118)</f>
        <v>600973.30000000005</v>
      </c>
      <c r="F2119" s="138">
        <f>SUM(F2110:F2118)</f>
        <v>0</v>
      </c>
      <c r="G2119" s="138">
        <f>SUM(G2109:G2118)</f>
        <v>0</v>
      </c>
      <c r="H2119" s="83">
        <f t="shared" si="77"/>
        <v>600973.30000000005</v>
      </c>
      <c r="I2119" s="256"/>
      <c r="J2119" s="256"/>
      <c r="K2119" s="256"/>
      <c r="L2119" s="256"/>
      <c r="M2119" s="256"/>
      <c r="P2119" s="259"/>
    </row>
    <row r="2120" spans="1:16" ht="15" customHeight="1" x14ac:dyDescent="0.2">
      <c r="A2120" s="249" t="s">
        <v>387</v>
      </c>
      <c r="B2120" s="147" t="s">
        <v>387</v>
      </c>
      <c r="C2120" s="252"/>
      <c r="D2120" s="297"/>
      <c r="E2120" s="261"/>
      <c r="F2120" s="261"/>
      <c r="G2120" s="260"/>
      <c r="H2120" s="261"/>
      <c r="I2120" s="259"/>
      <c r="J2120" s="259"/>
      <c r="K2120" s="259"/>
      <c r="L2120" s="259"/>
      <c r="M2120" s="259"/>
    </row>
    <row r="2121" spans="1:16" ht="15" customHeight="1" x14ac:dyDescent="0.2">
      <c r="A2121" s="249" t="s">
        <v>387</v>
      </c>
      <c r="B2121" s="147" t="s">
        <v>387</v>
      </c>
      <c r="C2121" s="252"/>
      <c r="D2121" s="297"/>
      <c r="E2121" s="274">
        <v>1132466.68</v>
      </c>
      <c r="F2121" s="261"/>
      <c r="G2121" s="260"/>
      <c r="H2121" s="261"/>
      <c r="I2121" s="259"/>
      <c r="J2121" s="259"/>
      <c r="K2121" s="259"/>
      <c r="L2121" s="259"/>
      <c r="M2121" s="259"/>
    </row>
    <row r="2122" spans="1:16" ht="15" customHeight="1" x14ac:dyDescent="0.2">
      <c r="A2122" s="249" t="s">
        <v>387</v>
      </c>
      <c r="B2122" s="147" t="s">
        <v>387</v>
      </c>
      <c r="C2122" s="368"/>
      <c r="D2122" s="369"/>
      <c r="E2122" s="370"/>
      <c r="F2122" s="370"/>
      <c r="G2122" s="366"/>
      <c r="H2122" s="366"/>
      <c r="I2122" s="259"/>
      <c r="J2122" s="259"/>
      <c r="K2122" s="259"/>
      <c r="L2122" s="259"/>
      <c r="M2122" s="259"/>
    </row>
    <row r="2123" spans="1:16" ht="15" customHeight="1" x14ac:dyDescent="0.2">
      <c r="A2123" s="249" t="s">
        <v>387</v>
      </c>
      <c r="B2123" s="147" t="s">
        <v>387</v>
      </c>
      <c r="C2123" s="427" t="s">
        <v>119</v>
      </c>
      <c r="D2123" s="427"/>
      <c r="E2123" s="427"/>
      <c r="F2123" s="427"/>
      <c r="G2123" s="427"/>
      <c r="H2123" s="427"/>
      <c r="I2123" s="259"/>
      <c r="J2123" s="259"/>
      <c r="K2123" s="259"/>
      <c r="L2123" s="259"/>
      <c r="M2123" s="259"/>
    </row>
    <row r="2124" spans="1:16" ht="15" customHeight="1" x14ac:dyDescent="0.2">
      <c r="A2124" s="249" t="s">
        <v>387</v>
      </c>
      <c r="B2124" s="147" t="s">
        <v>387</v>
      </c>
      <c r="C2124" s="428" t="str">
        <f>C3</f>
        <v xml:space="preserve"> PRESUPUESTO AÑO 2024</v>
      </c>
      <c r="D2124" s="428"/>
      <c r="E2124" s="428"/>
      <c r="F2124" s="428"/>
      <c r="G2124" s="428"/>
      <c r="H2124" s="428"/>
      <c r="I2124" s="259"/>
      <c r="J2124" s="259"/>
      <c r="K2124" s="259"/>
      <c r="L2124" s="259"/>
      <c r="M2124" s="259"/>
    </row>
    <row r="2125" spans="1:16" ht="15" customHeight="1" x14ac:dyDescent="0.2">
      <c r="A2125" s="249" t="s">
        <v>387</v>
      </c>
      <c r="B2125" s="147" t="s">
        <v>387</v>
      </c>
      <c r="C2125" s="428" t="str">
        <f>C4</f>
        <v>PRESUPUESTO EXTRA CONTABLE</v>
      </c>
      <c r="D2125" s="428"/>
      <c r="E2125" s="428"/>
      <c r="F2125" s="428"/>
      <c r="G2125" s="428"/>
      <c r="H2125" s="428"/>
      <c r="I2125" s="259"/>
      <c r="J2125" s="259"/>
      <c r="K2125" s="259"/>
      <c r="L2125" s="259"/>
      <c r="M2125" s="259"/>
    </row>
    <row r="2126" spans="1:16" ht="15" customHeight="1" x14ac:dyDescent="0.2">
      <c r="A2126" s="249" t="s">
        <v>387</v>
      </c>
      <c r="B2126" s="147" t="s">
        <v>387</v>
      </c>
      <c r="C2126" s="427" t="s">
        <v>159</v>
      </c>
      <c r="D2126" s="427"/>
      <c r="E2126" s="427"/>
      <c r="F2126" s="427"/>
      <c r="G2126" s="427"/>
      <c r="H2126" s="427"/>
      <c r="I2126" s="259"/>
      <c r="J2126" s="259"/>
      <c r="K2126" s="259"/>
      <c r="L2126" s="259"/>
      <c r="M2126" s="259"/>
    </row>
    <row r="2127" spans="1:16" ht="15" customHeight="1" x14ac:dyDescent="0.2">
      <c r="A2127" s="249" t="s">
        <v>387</v>
      </c>
      <c r="B2127" s="147" t="s">
        <v>387</v>
      </c>
      <c r="C2127" s="427" t="s">
        <v>283</v>
      </c>
      <c r="D2127" s="427"/>
      <c r="E2127" s="427"/>
      <c r="F2127" s="427"/>
      <c r="G2127" s="427"/>
      <c r="H2127" s="427"/>
      <c r="I2127" s="259"/>
      <c r="J2127" s="259"/>
      <c r="K2127" s="259"/>
      <c r="L2127" s="259"/>
      <c r="M2127" s="259"/>
    </row>
    <row r="2128" spans="1:16" ht="15" customHeight="1" x14ac:dyDescent="0.2">
      <c r="A2128" s="249" t="s">
        <v>387</v>
      </c>
      <c r="B2128" s="147" t="s">
        <v>387</v>
      </c>
      <c r="C2128" s="434" t="s">
        <v>1</v>
      </c>
      <c r="D2128" s="430" t="s">
        <v>0</v>
      </c>
      <c r="E2128" s="255" t="s">
        <v>56</v>
      </c>
      <c r="F2128" s="255" t="str">
        <f>F7</f>
        <v>REFORMA</v>
      </c>
      <c r="G2128" s="255" t="s">
        <v>56</v>
      </c>
      <c r="H2128" s="432" t="str">
        <f>$H$7</f>
        <v>TOTAL 2024</v>
      </c>
      <c r="I2128" s="259"/>
      <c r="J2128" s="259"/>
      <c r="K2128" s="259"/>
      <c r="L2128" s="259"/>
      <c r="M2128" s="259"/>
    </row>
    <row r="2129" spans="1:18" ht="15" customHeight="1" x14ac:dyDescent="0.2">
      <c r="A2129" s="249" t="s">
        <v>387</v>
      </c>
      <c r="B2129" s="147" t="s">
        <v>387</v>
      </c>
      <c r="C2129" s="434"/>
      <c r="D2129" s="431"/>
      <c r="E2129" s="255" t="s">
        <v>139</v>
      </c>
      <c r="F2129" s="255"/>
      <c r="G2129" s="255" t="s">
        <v>140</v>
      </c>
      <c r="H2129" s="433"/>
      <c r="I2129" s="259"/>
      <c r="J2129" s="259"/>
      <c r="K2129" s="259"/>
      <c r="L2129" s="259"/>
      <c r="M2129" s="259"/>
    </row>
    <row r="2130" spans="1:18" ht="15" customHeight="1" x14ac:dyDescent="0.2">
      <c r="A2130" s="249">
        <v>66</v>
      </c>
      <c r="B2130" s="147">
        <v>66</v>
      </c>
      <c r="C2130" s="130">
        <v>55307</v>
      </c>
      <c r="D2130" s="298" t="s">
        <v>865</v>
      </c>
      <c r="E2130" s="75"/>
      <c r="F2130" s="75"/>
      <c r="G2130" s="395">
        <f>(129.95*12)</f>
        <v>1559.3999999999999</v>
      </c>
      <c r="H2130" s="76">
        <f>E2130+F2130+G2130</f>
        <v>1559.3999999999999</v>
      </c>
      <c r="I2130" s="259"/>
      <c r="J2130" s="259"/>
      <c r="K2130" s="259"/>
      <c r="L2130" s="259"/>
      <c r="M2130" s="259"/>
    </row>
    <row r="2131" spans="1:18" ht="15" customHeight="1" x14ac:dyDescent="0.2">
      <c r="A2131" s="249">
        <v>66</v>
      </c>
      <c r="B2131" s="147">
        <v>66</v>
      </c>
      <c r="C2131" s="61">
        <v>55308</v>
      </c>
      <c r="D2131" s="73" t="s">
        <v>116</v>
      </c>
      <c r="E2131" s="74">
        <v>355636.74</v>
      </c>
      <c r="F2131" s="74"/>
      <c r="G2131" s="138">
        <v>266959.30799999996</v>
      </c>
      <c r="H2131" s="76">
        <f>E2131+F2131+G2131</f>
        <v>622596.04799999995</v>
      </c>
      <c r="I2131" s="259"/>
      <c r="J2131" s="259"/>
      <c r="K2131" s="259"/>
      <c r="L2131" s="259"/>
      <c r="M2131" s="259"/>
    </row>
    <row r="2132" spans="1:18" ht="15" customHeight="1" x14ac:dyDescent="0.2">
      <c r="A2132" s="249">
        <v>66</v>
      </c>
      <c r="B2132" s="147">
        <v>66</v>
      </c>
      <c r="C2132" s="61">
        <v>71308</v>
      </c>
      <c r="D2132" s="73" t="s">
        <v>116</v>
      </c>
      <c r="E2132" s="74">
        <v>355636.74</v>
      </c>
      <c r="F2132" s="74"/>
      <c r="G2132" s="138">
        <v>114411.13200000004</v>
      </c>
      <c r="H2132" s="76">
        <f>E2132+F2132+G2132</f>
        <v>470047.87200000003</v>
      </c>
      <c r="I2132" s="259"/>
      <c r="J2132" s="259"/>
      <c r="K2132" s="259"/>
      <c r="L2132" s="259"/>
      <c r="M2132" s="259"/>
      <c r="P2132" s="259"/>
      <c r="Q2132" s="292">
        <f>122219.79*12</f>
        <v>1466637.48</v>
      </c>
      <c r="R2132" s="274">
        <f>P2130+Q2132</f>
        <v>1466637.48</v>
      </c>
    </row>
    <row r="2133" spans="1:18" ht="15" customHeight="1" x14ac:dyDescent="0.2">
      <c r="A2133" s="249">
        <v>66</v>
      </c>
      <c r="B2133" s="147" t="s">
        <v>415</v>
      </c>
      <c r="C2133" s="61"/>
      <c r="D2133" s="153" t="s">
        <v>14</v>
      </c>
      <c r="E2133" s="138">
        <f>SUM(E2130:E2132)</f>
        <v>711273.48</v>
      </c>
      <c r="F2133" s="138">
        <f>SUM(F2130:F2132)</f>
        <v>0</v>
      </c>
      <c r="G2133" s="138">
        <f>SUM(G2130:G2132)</f>
        <v>382929.84</v>
      </c>
      <c r="H2133" s="83">
        <f>E2133+F2133+G2133</f>
        <v>1094203.32</v>
      </c>
      <c r="I2133" s="259"/>
      <c r="J2133" s="259"/>
      <c r="K2133" s="259"/>
      <c r="L2133" s="259"/>
      <c r="M2133" s="259"/>
      <c r="P2133" s="259"/>
    </row>
    <row r="2134" spans="1:18" ht="15" customHeight="1" x14ac:dyDescent="0.2">
      <c r="A2134" s="249" t="s">
        <v>387</v>
      </c>
      <c r="B2134" s="147" t="s">
        <v>387</v>
      </c>
      <c r="C2134" s="148"/>
      <c r="D2134" s="267"/>
      <c r="E2134" s="149"/>
      <c r="F2134" s="149"/>
      <c r="G2134" s="149"/>
      <c r="H2134" s="149"/>
      <c r="I2134" s="259"/>
      <c r="J2134" s="259"/>
      <c r="K2134" s="259"/>
      <c r="L2134" s="259"/>
      <c r="M2134" s="259"/>
    </row>
    <row r="2135" spans="1:18" ht="15" customHeight="1" x14ac:dyDescent="0.2">
      <c r="A2135" s="249" t="s">
        <v>387</v>
      </c>
      <c r="B2135" s="147" t="s">
        <v>387</v>
      </c>
      <c r="C2135" s="148"/>
      <c r="D2135" s="267"/>
      <c r="E2135" s="149"/>
      <c r="F2135" s="149"/>
      <c r="G2135" s="149"/>
      <c r="H2135" s="149"/>
      <c r="I2135" s="259"/>
      <c r="J2135" s="259"/>
      <c r="K2135" s="259"/>
      <c r="L2135" s="259"/>
      <c r="M2135" s="259"/>
    </row>
    <row r="2136" spans="1:18" ht="15" customHeight="1" x14ac:dyDescent="0.2">
      <c r="A2136" s="249" t="s">
        <v>387</v>
      </c>
      <c r="B2136" s="147" t="s">
        <v>387</v>
      </c>
      <c r="C2136" s="148"/>
      <c r="D2136" s="148"/>
      <c r="E2136" s="149"/>
      <c r="F2136" s="149"/>
      <c r="G2136" s="149"/>
      <c r="H2136" s="149"/>
      <c r="I2136" s="259"/>
      <c r="J2136" s="259"/>
      <c r="K2136" s="259"/>
      <c r="L2136" s="259"/>
      <c r="M2136" s="259"/>
    </row>
    <row r="2137" spans="1:18" ht="15" customHeight="1" x14ac:dyDescent="0.2">
      <c r="A2137" s="249" t="s">
        <v>387</v>
      </c>
      <c r="B2137" s="147" t="s">
        <v>387</v>
      </c>
      <c r="C2137" s="406" t="s">
        <v>119</v>
      </c>
      <c r="D2137" s="406"/>
      <c r="E2137" s="406"/>
      <c r="F2137" s="406"/>
      <c r="G2137" s="406"/>
      <c r="H2137" s="406"/>
      <c r="I2137" s="259"/>
      <c r="J2137" s="259"/>
      <c r="K2137" s="259"/>
      <c r="L2137" s="259"/>
      <c r="M2137" s="259"/>
    </row>
    <row r="2138" spans="1:18" ht="15" customHeight="1" x14ac:dyDescent="0.2">
      <c r="A2138" s="249" t="s">
        <v>387</v>
      </c>
      <c r="B2138" s="147" t="s">
        <v>387</v>
      </c>
      <c r="C2138" s="405" t="str">
        <f>C3</f>
        <v xml:space="preserve"> PRESUPUESTO AÑO 2024</v>
      </c>
      <c r="D2138" s="405"/>
      <c r="E2138" s="405"/>
      <c r="F2138" s="405"/>
      <c r="G2138" s="405"/>
      <c r="H2138" s="405"/>
      <c r="I2138" s="259"/>
      <c r="J2138" s="259"/>
      <c r="K2138" s="259"/>
      <c r="L2138" s="259"/>
      <c r="M2138" s="259"/>
    </row>
    <row r="2139" spans="1:18" ht="15" customHeight="1" x14ac:dyDescent="0.2">
      <c r="A2139" s="249" t="s">
        <v>387</v>
      </c>
      <c r="B2139" s="147" t="s">
        <v>387</v>
      </c>
      <c r="C2139" s="405" t="str">
        <f>C4</f>
        <v>PRESUPUESTO EXTRA CONTABLE</v>
      </c>
      <c r="D2139" s="405"/>
      <c r="E2139" s="405"/>
      <c r="F2139" s="405"/>
      <c r="G2139" s="405"/>
      <c r="H2139" s="405"/>
      <c r="I2139" s="259"/>
      <c r="J2139" s="259"/>
      <c r="K2139" s="259"/>
      <c r="L2139" s="259"/>
      <c r="M2139" s="259"/>
    </row>
    <row r="2140" spans="1:18" ht="15" customHeight="1" x14ac:dyDescent="0.2">
      <c r="A2140" s="249" t="s">
        <v>387</v>
      </c>
      <c r="B2140" s="147" t="s">
        <v>387</v>
      </c>
      <c r="C2140" s="406" t="s">
        <v>118</v>
      </c>
      <c r="D2140" s="406"/>
      <c r="E2140" s="406"/>
      <c r="F2140" s="406"/>
      <c r="G2140" s="406"/>
      <c r="H2140" s="406"/>
      <c r="I2140" s="259"/>
      <c r="J2140" s="259"/>
      <c r="K2140" s="259"/>
      <c r="L2140" s="259"/>
      <c r="M2140" s="259"/>
    </row>
    <row r="2141" spans="1:18" ht="15" customHeight="1" x14ac:dyDescent="0.2">
      <c r="A2141" s="249" t="s">
        <v>387</v>
      </c>
      <c r="B2141" s="147" t="s">
        <v>387</v>
      </c>
      <c r="C2141" s="406" t="s">
        <v>822</v>
      </c>
      <c r="D2141" s="406"/>
      <c r="E2141" s="406"/>
      <c r="F2141" s="406"/>
      <c r="G2141" s="406"/>
      <c r="H2141" s="406"/>
      <c r="I2141" s="259"/>
      <c r="J2141" s="259"/>
      <c r="K2141" s="259"/>
      <c r="L2141" s="259"/>
      <c r="M2141" s="259"/>
    </row>
    <row r="2142" spans="1:18" ht="15" customHeight="1" x14ac:dyDescent="0.2">
      <c r="A2142" s="249" t="s">
        <v>387</v>
      </c>
      <c r="B2142" s="147" t="s">
        <v>387</v>
      </c>
      <c r="C2142" s="430" t="s">
        <v>1</v>
      </c>
      <c r="D2142" s="430" t="s">
        <v>0</v>
      </c>
      <c r="E2142" s="255" t="s">
        <v>56</v>
      </c>
      <c r="F2142" s="255" t="e">
        <f>#REF!</f>
        <v>#REF!</v>
      </c>
      <c r="G2142" s="255" t="s">
        <v>56</v>
      </c>
      <c r="H2142" s="299" t="str">
        <f>$H$7</f>
        <v>TOTAL 2024</v>
      </c>
      <c r="I2142" s="259"/>
      <c r="J2142" s="259"/>
      <c r="K2142" s="259"/>
      <c r="L2142" s="259"/>
      <c r="M2142" s="259"/>
    </row>
    <row r="2143" spans="1:18" ht="15" customHeight="1" x14ac:dyDescent="0.2">
      <c r="A2143" s="249" t="s">
        <v>387</v>
      </c>
      <c r="B2143" s="147" t="s">
        <v>387</v>
      </c>
      <c r="C2143" s="431"/>
      <c r="D2143" s="431"/>
      <c r="E2143" s="255" t="s">
        <v>139</v>
      </c>
      <c r="F2143" s="255"/>
      <c r="G2143" s="255" t="s">
        <v>140</v>
      </c>
      <c r="H2143" s="255"/>
      <c r="I2143" s="259"/>
      <c r="J2143" s="259"/>
      <c r="K2143" s="259"/>
      <c r="L2143" s="259"/>
      <c r="M2143" s="259"/>
    </row>
    <row r="2144" spans="1:18" ht="15" customHeight="1" x14ac:dyDescent="0.2">
      <c r="A2144" s="249">
        <v>68</v>
      </c>
      <c r="B2144" s="147">
        <v>68</v>
      </c>
      <c r="C2144" s="61">
        <v>61599</v>
      </c>
      <c r="D2144" s="263" t="s">
        <v>284</v>
      </c>
      <c r="E2144" s="397"/>
      <c r="F2144" s="397"/>
      <c r="G2144" s="75">
        <v>62792.95</v>
      </c>
      <c r="H2144" s="76">
        <f t="shared" ref="H2144:H2146" si="78">E2144+F2144+G2144</f>
        <v>62792.95</v>
      </c>
      <c r="I2144" s="259"/>
      <c r="J2144" s="259"/>
      <c r="K2144" s="259"/>
      <c r="L2144" s="259"/>
      <c r="M2144" s="259"/>
    </row>
    <row r="2145" spans="1:17" ht="15" customHeight="1" x14ac:dyDescent="0.2">
      <c r="A2145" s="249">
        <v>68</v>
      </c>
      <c r="B2145" s="147">
        <v>68</v>
      </c>
      <c r="C2145" s="61">
        <v>61608</v>
      </c>
      <c r="D2145" s="73" t="s">
        <v>288</v>
      </c>
      <c r="E2145" s="397"/>
      <c r="F2145" s="397"/>
      <c r="G2145" s="75">
        <v>146516.88</v>
      </c>
      <c r="H2145" s="76">
        <f t="shared" si="78"/>
        <v>146516.88</v>
      </c>
      <c r="I2145" s="259"/>
      <c r="J2145" s="259"/>
      <c r="K2145" s="259"/>
      <c r="L2145" s="259"/>
      <c r="M2145" s="259"/>
    </row>
    <row r="2146" spans="1:17" ht="15" customHeight="1" x14ac:dyDescent="0.2">
      <c r="A2146" s="249">
        <v>68</v>
      </c>
      <c r="B2146" s="147">
        <v>68</v>
      </c>
      <c r="C2146" s="61">
        <v>61601</v>
      </c>
      <c r="D2146" s="73" t="s">
        <v>287</v>
      </c>
      <c r="E2146" s="397"/>
      <c r="F2146" s="397"/>
      <c r="G2146" s="75">
        <v>135287.87</v>
      </c>
      <c r="H2146" s="76">
        <f t="shared" si="78"/>
        <v>135287.87</v>
      </c>
      <c r="I2146" s="259"/>
      <c r="J2146" s="259"/>
      <c r="K2146" s="259"/>
      <c r="L2146" s="259"/>
      <c r="M2146" s="259"/>
      <c r="Q2146" s="274"/>
    </row>
    <row r="2147" spans="1:17" ht="15" customHeight="1" x14ac:dyDescent="0.2">
      <c r="A2147" s="249">
        <v>68</v>
      </c>
      <c r="B2147" s="147">
        <v>68</v>
      </c>
      <c r="C2147" s="61">
        <v>61699</v>
      </c>
      <c r="D2147" s="154" t="s">
        <v>36</v>
      </c>
      <c r="E2147" s="75"/>
      <c r="F2147" s="75"/>
      <c r="G2147" s="75">
        <f>65.62+2236879.06</f>
        <v>2236944.6800000002</v>
      </c>
      <c r="H2147" s="76">
        <f>E2147+F2147+G2147</f>
        <v>2236944.6800000002</v>
      </c>
      <c r="I2147" s="259"/>
      <c r="J2147" s="259"/>
      <c r="K2147" s="259"/>
      <c r="L2147" s="259"/>
      <c r="M2147" s="259"/>
    </row>
    <row r="2148" spans="1:17" ht="15" customHeight="1" x14ac:dyDescent="0.2">
      <c r="A2148" s="249">
        <v>68</v>
      </c>
      <c r="B2148" s="147" t="s">
        <v>616</v>
      </c>
      <c r="C2148" s="61"/>
      <c r="D2148" s="61" t="s">
        <v>14</v>
      </c>
      <c r="E2148" s="138">
        <f>SUM(E2147:E2147)</f>
        <v>0</v>
      </c>
      <c r="F2148" s="138">
        <f>SUM(F2147:F2147)</f>
        <v>0</v>
      </c>
      <c r="G2148" s="138">
        <f>SUM(G2144:G2147)</f>
        <v>2581542.3800000004</v>
      </c>
      <c r="H2148" s="83">
        <f>E2148+F2148+G2148</f>
        <v>2581542.3800000004</v>
      </c>
      <c r="I2148" s="259"/>
      <c r="J2148" s="259"/>
      <c r="K2148" s="259"/>
      <c r="L2148" s="259"/>
      <c r="M2148" s="259"/>
    </row>
    <row r="2149" spans="1:17" ht="15" customHeight="1" x14ac:dyDescent="0.2">
      <c r="A2149" s="249" t="s">
        <v>387</v>
      </c>
      <c r="B2149" s="147" t="s">
        <v>387</v>
      </c>
      <c r="C2149" s="148"/>
      <c r="D2149" s="148"/>
      <c r="E2149" s="149"/>
      <c r="F2149" s="149"/>
      <c r="G2149" s="149"/>
      <c r="H2149" s="149"/>
      <c r="I2149" s="259"/>
      <c r="J2149" s="259"/>
      <c r="K2149" s="259"/>
      <c r="L2149" s="259"/>
      <c r="M2149" s="259"/>
    </row>
    <row r="2150" spans="1:17" ht="15" customHeight="1" x14ac:dyDescent="0.2">
      <c r="A2150" s="249" t="s">
        <v>387</v>
      </c>
      <c r="B2150" s="147" t="s">
        <v>387</v>
      </c>
      <c r="C2150" s="148"/>
      <c r="D2150" s="267"/>
      <c r="E2150" s="149"/>
      <c r="F2150" s="149"/>
      <c r="G2150" s="149"/>
      <c r="H2150" s="149"/>
      <c r="I2150" s="259"/>
      <c r="J2150" s="259"/>
      <c r="K2150" s="259"/>
      <c r="L2150" s="259"/>
      <c r="M2150" s="259"/>
    </row>
    <row r="2151" spans="1:17" ht="15" customHeight="1" x14ac:dyDescent="0.2">
      <c r="A2151" s="249" t="s">
        <v>387</v>
      </c>
      <c r="B2151" s="147" t="s">
        <v>387</v>
      </c>
      <c r="C2151" s="368"/>
      <c r="D2151" s="368"/>
      <c r="E2151" s="370"/>
      <c r="F2151" s="370"/>
      <c r="G2151" s="370"/>
      <c r="H2151" s="370"/>
      <c r="I2151" s="259"/>
      <c r="J2151" s="259"/>
      <c r="K2151" s="259"/>
      <c r="L2151" s="259"/>
      <c r="M2151" s="259"/>
    </row>
    <row r="2152" spans="1:17" ht="15" customHeight="1" x14ac:dyDescent="0.2">
      <c r="A2152" s="249" t="s">
        <v>387</v>
      </c>
      <c r="B2152" s="147" t="s">
        <v>387</v>
      </c>
      <c r="C2152" s="427" t="s">
        <v>119</v>
      </c>
      <c r="D2152" s="427"/>
      <c r="E2152" s="427"/>
      <c r="F2152" s="427"/>
      <c r="G2152" s="427"/>
      <c r="H2152" s="427"/>
      <c r="I2152" s="259"/>
      <c r="J2152" s="259"/>
      <c r="K2152" s="259"/>
      <c r="L2152" s="259"/>
      <c r="M2152" s="259"/>
    </row>
    <row r="2153" spans="1:17" ht="15" customHeight="1" x14ac:dyDescent="0.2">
      <c r="A2153" s="249" t="s">
        <v>387</v>
      </c>
      <c r="B2153" s="147" t="s">
        <v>387</v>
      </c>
      <c r="C2153" s="428" t="str">
        <f>C3</f>
        <v xml:space="preserve"> PRESUPUESTO AÑO 2024</v>
      </c>
      <c r="D2153" s="428"/>
      <c r="E2153" s="428"/>
      <c r="F2153" s="428"/>
      <c r="G2153" s="428"/>
      <c r="H2153" s="428"/>
      <c r="I2153" s="259"/>
      <c r="J2153" s="259"/>
      <c r="K2153" s="259"/>
      <c r="L2153" s="259"/>
      <c r="M2153" s="259"/>
    </row>
    <row r="2154" spans="1:17" ht="15" customHeight="1" x14ac:dyDescent="0.2">
      <c r="A2154" s="249" t="s">
        <v>387</v>
      </c>
      <c r="B2154" s="147" t="s">
        <v>387</v>
      </c>
      <c r="C2154" s="428" t="str">
        <f>C4</f>
        <v>PRESUPUESTO EXTRA CONTABLE</v>
      </c>
      <c r="D2154" s="428"/>
      <c r="E2154" s="428"/>
      <c r="F2154" s="428"/>
      <c r="G2154" s="428"/>
      <c r="H2154" s="428"/>
      <c r="I2154" s="259"/>
      <c r="J2154" s="259"/>
      <c r="K2154" s="259"/>
      <c r="L2154" s="259"/>
      <c r="M2154" s="259"/>
    </row>
    <row r="2155" spans="1:17" ht="15" customHeight="1" x14ac:dyDescent="0.2">
      <c r="A2155" s="249" t="s">
        <v>387</v>
      </c>
      <c r="B2155" s="147" t="s">
        <v>387</v>
      </c>
      <c r="C2155" s="427" t="s">
        <v>118</v>
      </c>
      <c r="D2155" s="427"/>
      <c r="E2155" s="427"/>
      <c r="F2155" s="427"/>
      <c r="G2155" s="427"/>
      <c r="H2155" s="427"/>
      <c r="I2155" s="259"/>
      <c r="J2155" s="259"/>
      <c r="K2155" s="259"/>
      <c r="L2155" s="259"/>
      <c r="M2155" s="259"/>
    </row>
    <row r="2156" spans="1:17" ht="15" customHeight="1" x14ac:dyDescent="0.2">
      <c r="A2156" s="249" t="s">
        <v>387</v>
      </c>
      <c r="B2156" s="147" t="s">
        <v>387</v>
      </c>
      <c r="C2156" s="427" t="s">
        <v>617</v>
      </c>
      <c r="D2156" s="427"/>
      <c r="E2156" s="427"/>
      <c r="F2156" s="427"/>
      <c r="G2156" s="427"/>
      <c r="H2156" s="427"/>
      <c r="I2156" s="259"/>
      <c r="J2156" s="259"/>
      <c r="K2156" s="259"/>
      <c r="L2156" s="259"/>
      <c r="M2156" s="259"/>
    </row>
    <row r="2157" spans="1:17" ht="15" customHeight="1" x14ac:dyDescent="0.2">
      <c r="A2157" s="249" t="s">
        <v>387</v>
      </c>
      <c r="B2157" s="147" t="s">
        <v>387</v>
      </c>
      <c r="C2157" s="430" t="s">
        <v>1</v>
      </c>
      <c r="D2157" s="430" t="s">
        <v>0</v>
      </c>
      <c r="E2157" s="255" t="s">
        <v>56</v>
      </c>
      <c r="F2157" s="255" t="str">
        <f>F7</f>
        <v>REFORMA</v>
      </c>
      <c r="G2157" s="255" t="s">
        <v>56</v>
      </c>
      <c r="H2157" s="432" t="str">
        <f>$H$7</f>
        <v>TOTAL 2024</v>
      </c>
      <c r="I2157" s="259"/>
      <c r="J2157" s="259"/>
      <c r="K2157" s="259"/>
      <c r="L2157" s="259"/>
      <c r="M2157" s="259"/>
    </row>
    <row r="2158" spans="1:17" ht="15" customHeight="1" x14ac:dyDescent="0.2">
      <c r="A2158" s="249" t="s">
        <v>387</v>
      </c>
      <c r="B2158" s="147" t="s">
        <v>387</v>
      </c>
      <c r="C2158" s="431"/>
      <c r="D2158" s="431"/>
      <c r="E2158" s="255" t="s">
        <v>139</v>
      </c>
      <c r="F2158" s="255"/>
      <c r="G2158" s="255" t="s">
        <v>140</v>
      </c>
      <c r="H2158" s="433"/>
      <c r="I2158" s="259"/>
      <c r="J2158" s="259"/>
      <c r="K2158" s="259"/>
      <c r="L2158" s="259"/>
      <c r="M2158" s="259"/>
    </row>
    <row r="2159" spans="1:17" ht="15" customHeight="1" x14ac:dyDescent="0.2">
      <c r="A2159" s="249">
        <v>35</v>
      </c>
      <c r="B2159" s="147" t="s">
        <v>615</v>
      </c>
      <c r="C2159" s="61">
        <v>61601</v>
      </c>
      <c r="D2159" s="62" t="s">
        <v>287</v>
      </c>
      <c r="E2159" s="293">
        <v>73207.87</v>
      </c>
      <c r="F2159" s="293"/>
      <c r="G2159" s="293"/>
      <c r="H2159" s="76">
        <f>E2159+F2159+G2159</f>
        <v>73207.87</v>
      </c>
      <c r="I2159" s="259"/>
      <c r="J2159" s="259"/>
      <c r="K2159" s="259"/>
      <c r="L2159" s="259"/>
      <c r="M2159" s="259"/>
    </row>
    <row r="2160" spans="1:17" ht="15" customHeight="1" x14ac:dyDescent="0.2">
      <c r="A2160" s="249">
        <v>35</v>
      </c>
      <c r="B2160" s="147" t="s">
        <v>615</v>
      </c>
      <c r="C2160" s="61">
        <v>61603</v>
      </c>
      <c r="D2160" s="154" t="s">
        <v>327</v>
      </c>
      <c r="E2160" s="293"/>
      <c r="F2160" s="293"/>
      <c r="G2160" s="293"/>
      <c r="H2160" s="76">
        <f>E2160+F2160+G2160</f>
        <v>0</v>
      </c>
      <c r="I2160" s="259"/>
      <c r="J2160" s="259"/>
      <c r="K2160" s="259"/>
      <c r="L2160" s="259"/>
      <c r="M2160" s="259"/>
      <c r="P2160" s="259"/>
    </row>
    <row r="2161" spans="1:18" ht="15" customHeight="1" x14ac:dyDescent="0.2">
      <c r="A2161" s="249">
        <v>35</v>
      </c>
      <c r="B2161" s="147" t="s">
        <v>615</v>
      </c>
      <c r="C2161" s="61">
        <v>61604</v>
      </c>
      <c r="D2161" s="62" t="s">
        <v>339</v>
      </c>
      <c r="E2161" s="294"/>
      <c r="F2161" s="294"/>
      <c r="G2161" s="294"/>
      <c r="H2161" s="76">
        <f>E2161+F2161+G2161</f>
        <v>0</v>
      </c>
      <c r="I2161" s="259"/>
      <c r="J2161" s="259"/>
      <c r="K2161" s="259"/>
      <c r="L2161" s="259"/>
      <c r="M2161" s="259"/>
      <c r="Q2161" s="292">
        <f>INGRESOS!P177</f>
        <v>73207.869999999981</v>
      </c>
    </row>
    <row r="2162" spans="1:18" ht="15" customHeight="1" x14ac:dyDescent="0.2">
      <c r="A2162" s="249">
        <v>35</v>
      </c>
      <c r="B2162" s="147" t="s">
        <v>615</v>
      </c>
      <c r="C2162" s="61">
        <v>61699</v>
      </c>
      <c r="D2162" s="154" t="s">
        <v>36</v>
      </c>
      <c r="E2162" s="75"/>
      <c r="F2162" s="75"/>
      <c r="G2162" s="75"/>
      <c r="H2162" s="76">
        <f>E2162+F2162+G2162</f>
        <v>0</v>
      </c>
      <c r="I2162" s="259"/>
      <c r="J2162" s="259"/>
      <c r="K2162" s="259"/>
      <c r="L2162" s="259"/>
      <c r="M2162" s="259"/>
      <c r="Q2162" s="274">
        <f>E2163-Q2161</f>
        <v>0</v>
      </c>
    </row>
    <row r="2163" spans="1:18" ht="15" customHeight="1" x14ac:dyDescent="0.2">
      <c r="A2163" s="249">
        <v>35</v>
      </c>
      <c r="B2163" s="147" t="s">
        <v>616</v>
      </c>
      <c r="C2163" s="61"/>
      <c r="D2163" s="61" t="s">
        <v>14</v>
      </c>
      <c r="E2163" s="138">
        <f>SUM(E2159:E2162)</f>
        <v>73207.87</v>
      </c>
      <c r="F2163" s="138">
        <f>SUM(F2159:F2162)</f>
        <v>0</v>
      </c>
      <c r="G2163" s="138">
        <f>SUM(G2159:G2162)</f>
        <v>0</v>
      </c>
      <c r="H2163" s="83">
        <f>E2163+F2163+G2163</f>
        <v>73207.87</v>
      </c>
      <c r="I2163" s="259"/>
      <c r="J2163" s="259"/>
      <c r="K2163" s="259"/>
      <c r="L2163" s="259"/>
      <c r="M2163" s="259"/>
    </row>
    <row r="2164" spans="1:18" ht="15" customHeight="1" x14ac:dyDescent="0.2">
      <c r="A2164" s="249" t="s">
        <v>387</v>
      </c>
      <c r="B2164" s="147" t="s">
        <v>387</v>
      </c>
      <c r="C2164" s="148"/>
      <c r="D2164" s="148"/>
      <c r="E2164" s="149"/>
      <c r="F2164" s="149"/>
      <c r="G2164" s="149"/>
      <c r="H2164" s="149"/>
      <c r="I2164" s="259"/>
      <c r="J2164" s="259"/>
      <c r="K2164" s="259"/>
      <c r="L2164" s="259"/>
      <c r="M2164" s="259"/>
    </row>
    <row r="2165" spans="1:18" ht="15" customHeight="1" x14ac:dyDescent="0.2">
      <c r="A2165" s="249" t="s">
        <v>387</v>
      </c>
      <c r="B2165" s="147" t="s">
        <v>387</v>
      </c>
      <c r="C2165" s="148"/>
      <c r="D2165" s="267"/>
      <c r="E2165" s="149"/>
      <c r="F2165" s="149"/>
      <c r="G2165" s="149"/>
      <c r="H2165" s="149"/>
      <c r="I2165" s="259"/>
      <c r="J2165" s="259"/>
      <c r="K2165" s="259"/>
      <c r="L2165" s="259"/>
      <c r="M2165" s="259"/>
    </row>
    <row r="2166" spans="1:18" ht="15" customHeight="1" x14ac:dyDescent="0.2">
      <c r="A2166" s="249" t="s">
        <v>387</v>
      </c>
      <c r="B2166" s="147" t="s">
        <v>387</v>
      </c>
      <c r="C2166" s="364"/>
      <c r="D2166" s="365"/>
      <c r="E2166" s="366"/>
      <c r="F2166" s="366"/>
      <c r="G2166" s="367"/>
      <c r="H2166" s="366"/>
      <c r="I2166" s="259"/>
      <c r="J2166" s="259"/>
      <c r="K2166" s="259"/>
      <c r="L2166" s="259"/>
      <c r="M2166" s="259"/>
    </row>
    <row r="2167" spans="1:18" ht="15" customHeight="1" x14ac:dyDescent="0.2">
      <c r="A2167" s="249" t="s">
        <v>387</v>
      </c>
      <c r="B2167" s="147" t="s">
        <v>387</v>
      </c>
      <c r="C2167" s="427" t="s">
        <v>119</v>
      </c>
      <c r="D2167" s="427"/>
      <c r="E2167" s="427"/>
      <c r="F2167" s="427"/>
      <c r="G2167" s="427"/>
      <c r="H2167" s="427"/>
      <c r="I2167" s="259"/>
      <c r="J2167" s="259"/>
      <c r="K2167" s="259"/>
      <c r="L2167" s="259"/>
      <c r="M2167" s="259"/>
    </row>
    <row r="2168" spans="1:18" ht="15" customHeight="1" x14ac:dyDescent="0.2">
      <c r="A2168" s="249" t="s">
        <v>387</v>
      </c>
      <c r="B2168" s="147" t="s">
        <v>387</v>
      </c>
      <c r="C2168" s="428" t="str">
        <f>C3</f>
        <v xml:space="preserve"> PRESUPUESTO AÑO 2024</v>
      </c>
      <c r="D2168" s="428"/>
      <c r="E2168" s="428"/>
      <c r="F2168" s="428"/>
      <c r="G2168" s="428"/>
      <c r="H2168" s="428"/>
      <c r="I2168" s="259"/>
      <c r="J2168" s="259"/>
      <c r="K2168" s="259"/>
      <c r="L2168" s="259"/>
      <c r="M2168" s="259"/>
    </row>
    <row r="2169" spans="1:18" ht="15" customHeight="1" x14ac:dyDescent="0.2">
      <c r="A2169" s="249" t="s">
        <v>387</v>
      </c>
      <c r="B2169" s="147" t="s">
        <v>387</v>
      </c>
      <c r="C2169" s="428" t="str">
        <f>C4</f>
        <v>PRESUPUESTO EXTRA CONTABLE</v>
      </c>
      <c r="D2169" s="428"/>
      <c r="E2169" s="428"/>
      <c r="F2169" s="428"/>
      <c r="G2169" s="428"/>
      <c r="H2169" s="428"/>
      <c r="I2169" s="259"/>
      <c r="J2169" s="259"/>
      <c r="K2169" s="259"/>
      <c r="L2169" s="259"/>
      <c r="M2169" s="259"/>
    </row>
    <row r="2170" spans="1:18" ht="15" customHeight="1" x14ac:dyDescent="0.2">
      <c r="A2170" s="249" t="s">
        <v>387</v>
      </c>
      <c r="B2170" s="147" t="s">
        <v>387</v>
      </c>
      <c r="C2170" s="427" t="s">
        <v>118</v>
      </c>
      <c r="D2170" s="427"/>
      <c r="E2170" s="427"/>
      <c r="F2170" s="427"/>
      <c r="G2170" s="427"/>
      <c r="H2170" s="427"/>
      <c r="I2170" s="259"/>
      <c r="J2170" s="259"/>
      <c r="K2170" s="259"/>
      <c r="L2170" s="259"/>
      <c r="M2170" s="259"/>
    </row>
    <row r="2171" spans="1:18" ht="15" customHeight="1" x14ac:dyDescent="0.2">
      <c r="A2171" s="249" t="s">
        <v>387</v>
      </c>
      <c r="B2171" s="147" t="s">
        <v>387</v>
      </c>
      <c r="C2171" s="427" t="s">
        <v>329</v>
      </c>
      <c r="D2171" s="427"/>
      <c r="E2171" s="427"/>
      <c r="F2171" s="427"/>
      <c r="G2171" s="427"/>
      <c r="H2171" s="427"/>
      <c r="I2171" s="259"/>
      <c r="J2171" s="259"/>
      <c r="K2171" s="259"/>
      <c r="L2171" s="259"/>
      <c r="M2171" s="259"/>
    </row>
    <row r="2172" spans="1:18" ht="15" customHeight="1" x14ac:dyDescent="0.2">
      <c r="A2172" s="249" t="s">
        <v>387</v>
      </c>
      <c r="B2172" s="147" t="s">
        <v>387</v>
      </c>
      <c r="C2172" s="434" t="s">
        <v>1</v>
      </c>
      <c r="D2172" s="430" t="s">
        <v>0</v>
      </c>
      <c r="E2172" s="255" t="s">
        <v>56</v>
      </c>
      <c r="F2172" s="255" t="str">
        <f>F7</f>
        <v>REFORMA</v>
      </c>
      <c r="G2172" s="255" t="s">
        <v>56</v>
      </c>
      <c r="H2172" s="432" t="str">
        <f>$H$7</f>
        <v>TOTAL 2024</v>
      </c>
      <c r="I2172" s="256"/>
      <c r="J2172" s="256"/>
      <c r="K2172" s="256"/>
      <c r="L2172" s="256"/>
      <c r="M2172" s="256"/>
    </row>
    <row r="2173" spans="1:18" ht="15" customHeight="1" x14ac:dyDescent="0.2">
      <c r="A2173" s="249" t="s">
        <v>387</v>
      </c>
      <c r="B2173" s="147" t="s">
        <v>387</v>
      </c>
      <c r="C2173" s="434"/>
      <c r="D2173" s="431"/>
      <c r="E2173" s="255" t="s">
        <v>139</v>
      </c>
      <c r="F2173" s="255"/>
      <c r="G2173" s="255" t="s">
        <v>140</v>
      </c>
      <c r="H2173" s="433"/>
      <c r="I2173" s="153" t="s">
        <v>286</v>
      </c>
      <c r="J2173" s="153" t="s">
        <v>290</v>
      </c>
      <c r="K2173" s="153" t="s">
        <v>291</v>
      </c>
      <c r="L2173" s="153" t="s">
        <v>293</v>
      </c>
      <c r="M2173" s="153" t="s">
        <v>292</v>
      </c>
    </row>
    <row r="2174" spans="1:18" ht="15" customHeight="1" x14ac:dyDescent="0.2">
      <c r="A2174" s="249">
        <v>70</v>
      </c>
      <c r="B2174" s="147">
        <v>70</v>
      </c>
      <c r="C2174" s="61">
        <v>51901</v>
      </c>
      <c r="D2174" s="73" t="s">
        <v>330</v>
      </c>
      <c r="E2174" s="74"/>
      <c r="F2174" s="74"/>
      <c r="G2174" s="74">
        <v>20000</v>
      </c>
      <c r="H2174" s="76">
        <f t="shared" ref="H2174:H2180" si="79">E2174+F2174+G2174</f>
        <v>20000</v>
      </c>
      <c r="I2174" s="256"/>
      <c r="J2174" s="256"/>
      <c r="K2174" s="256"/>
      <c r="L2174" s="256"/>
      <c r="M2174" s="256"/>
      <c r="O2174" s="252" t="s">
        <v>819</v>
      </c>
    </row>
    <row r="2175" spans="1:18" ht="15" customHeight="1" x14ac:dyDescent="0.2">
      <c r="A2175" s="249">
        <v>70</v>
      </c>
      <c r="B2175" s="147">
        <v>70</v>
      </c>
      <c r="C2175" s="61">
        <v>55603</v>
      </c>
      <c r="D2175" s="263" t="s">
        <v>134</v>
      </c>
      <c r="E2175" s="74"/>
      <c r="F2175" s="74"/>
      <c r="G2175" s="74"/>
      <c r="H2175" s="76">
        <f t="shared" si="79"/>
        <v>0</v>
      </c>
      <c r="I2175" s="256"/>
      <c r="J2175" s="256"/>
      <c r="K2175" s="256"/>
      <c r="L2175" s="256"/>
      <c r="M2175" s="256"/>
      <c r="O2175" s="252" t="s">
        <v>820</v>
      </c>
      <c r="Q2175" s="147">
        <v>58790.1</v>
      </c>
      <c r="R2175" s="274">
        <f>Q2175-G2174</f>
        <v>38790.1</v>
      </c>
    </row>
    <row r="2176" spans="1:18" ht="15" customHeight="1" x14ac:dyDescent="0.2">
      <c r="A2176" s="249">
        <v>70</v>
      </c>
      <c r="B2176" s="147">
        <v>70</v>
      </c>
      <c r="C2176" s="61">
        <v>61599</v>
      </c>
      <c r="D2176" s="263" t="s">
        <v>284</v>
      </c>
      <c r="E2176" s="74"/>
      <c r="F2176" s="74"/>
      <c r="G2176" s="74"/>
      <c r="H2176" s="76">
        <f t="shared" si="79"/>
        <v>0</v>
      </c>
      <c r="I2176" s="256"/>
      <c r="J2176" s="256"/>
      <c r="K2176" s="256"/>
      <c r="L2176" s="256"/>
      <c r="M2176" s="256"/>
      <c r="O2176" s="252" t="s">
        <v>821</v>
      </c>
      <c r="Q2176" s="147">
        <v>10350.98</v>
      </c>
    </row>
    <row r="2177" spans="1:17" ht="15" customHeight="1" x14ac:dyDescent="0.2">
      <c r="A2177" s="249">
        <v>70</v>
      </c>
      <c r="B2177" s="147">
        <v>70</v>
      </c>
      <c r="C2177" s="265">
        <v>61601</v>
      </c>
      <c r="D2177" s="154" t="s">
        <v>287</v>
      </c>
      <c r="E2177" s="74"/>
      <c r="F2177" s="74"/>
      <c r="G2177" s="74">
        <v>0</v>
      </c>
      <c r="H2177" s="76">
        <f t="shared" si="79"/>
        <v>0</v>
      </c>
      <c r="I2177" s="256"/>
      <c r="J2177" s="256"/>
      <c r="K2177" s="256"/>
      <c r="L2177" s="256"/>
      <c r="M2177" s="256"/>
      <c r="Q2177" s="147">
        <f>SUM(Q2174:Q2176)</f>
        <v>69141.08</v>
      </c>
    </row>
    <row r="2178" spans="1:17" ht="15" customHeight="1" x14ac:dyDescent="0.2">
      <c r="A2178" s="249">
        <v>70</v>
      </c>
      <c r="B2178" s="147">
        <v>70</v>
      </c>
      <c r="C2178" s="265">
        <v>61603</v>
      </c>
      <c r="D2178" s="154" t="s">
        <v>327</v>
      </c>
      <c r="E2178" s="74"/>
      <c r="F2178" s="74"/>
      <c r="G2178" s="74">
        <v>38790.1</v>
      </c>
      <c r="H2178" s="76">
        <f t="shared" si="79"/>
        <v>38790.1</v>
      </c>
      <c r="I2178" s="256"/>
      <c r="J2178" s="256"/>
      <c r="K2178" s="256"/>
      <c r="L2178" s="256"/>
      <c r="M2178" s="256"/>
      <c r="P2178" s="259"/>
    </row>
    <row r="2179" spans="1:17" ht="15" customHeight="1" x14ac:dyDescent="0.2">
      <c r="A2179" s="249">
        <v>70</v>
      </c>
      <c r="B2179" s="147">
        <v>70</v>
      </c>
      <c r="C2179" s="265">
        <v>61699</v>
      </c>
      <c r="D2179" s="154" t="s">
        <v>36</v>
      </c>
      <c r="E2179" s="74"/>
      <c r="F2179" s="74"/>
      <c r="G2179" s="74">
        <v>10350.98</v>
      </c>
      <c r="H2179" s="76">
        <f t="shared" si="79"/>
        <v>10350.98</v>
      </c>
      <c r="I2179" s="256"/>
      <c r="J2179" s="256"/>
      <c r="K2179" s="256"/>
      <c r="L2179" s="256"/>
      <c r="M2179" s="256"/>
    </row>
    <row r="2180" spans="1:17" ht="15" customHeight="1" x14ac:dyDescent="0.2">
      <c r="A2180" s="249">
        <v>70</v>
      </c>
      <c r="B2180" s="147" t="s">
        <v>414</v>
      </c>
      <c r="C2180" s="61"/>
      <c r="D2180" s="153" t="s">
        <v>14</v>
      </c>
      <c r="E2180" s="138">
        <f>SUM(E2174:E2179)</f>
        <v>0</v>
      </c>
      <c r="F2180" s="138">
        <f>SUM(F2174:F2177)</f>
        <v>0</v>
      </c>
      <c r="G2180" s="138">
        <f>SUM(G2174:G2179)</f>
        <v>69141.08</v>
      </c>
      <c r="H2180" s="83">
        <f t="shared" si="79"/>
        <v>69141.08</v>
      </c>
      <c r="I2180" s="256"/>
      <c r="J2180" s="256"/>
      <c r="K2180" s="256"/>
      <c r="L2180" s="256"/>
      <c r="M2180" s="256"/>
    </row>
    <row r="2181" spans="1:17" ht="15" customHeight="1" x14ac:dyDescent="0.2">
      <c r="A2181" s="249" t="s">
        <v>387</v>
      </c>
      <c r="B2181" s="147" t="s">
        <v>387</v>
      </c>
      <c r="C2181" s="148"/>
      <c r="D2181" s="267"/>
      <c r="E2181" s="149"/>
      <c r="F2181" s="149"/>
      <c r="G2181" s="261"/>
      <c r="H2181" s="261"/>
      <c r="I2181" s="259"/>
      <c r="J2181" s="259"/>
      <c r="K2181" s="259"/>
      <c r="L2181" s="259"/>
      <c r="M2181" s="259"/>
    </row>
    <row r="2182" spans="1:17" ht="15" customHeight="1" x14ac:dyDescent="0.2">
      <c r="A2182" s="249" t="s">
        <v>387</v>
      </c>
      <c r="B2182" s="147" t="s">
        <v>387</v>
      </c>
      <c r="C2182" s="368"/>
      <c r="D2182" s="369"/>
      <c r="E2182" s="370"/>
      <c r="F2182" s="370"/>
      <c r="G2182" s="366"/>
      <c r="H2182" s="366"/>
      <c r="I2182" s="259"/>
      <c r="J2182" s="259"/>
      <c r="K2182" s="259"/>
      <c r="L2182" s="259"/>
      <c r="M2182" s="259"/>
    </row>
    <row r="2183" spans="1:17" ht="15" customHeight="1" x14ac:dyDescent="0.2">
      <c r="A2183" s="249" t="s">
        <v>387</v>
      </c>
      <c r="B2183" s="147" t="s">
        <v>387</v>
      </c>
      <c r="C2183" s="368"/>
      <c r="D2183" s="369"/>
      <c r="E2183" s="370"/>
      <c r="F2183" s="370"/>
      <c r="G2183" s="366"/>
      <c r="H2183" s="366"/>
      <c r="I2183" s="259"/>
      <c r="J2183" s="259"/>
      <c r="K2183" s="259"/>
      <c r="L2183" s="259"/>
      <c r="M2183" s="259"/>
    </row>
    <row r="2184" spans="1:17" ht="15" customHeight="1" x14ac:dyDescent="0.2">
      <c r="A2184" s="249" t="s">
        <v>387</v>
      </c>
      <c r="B2184" s="147" t="s">
        <v>387</v>
      </c>
      <c r="C2184" s="427" t="s">
        <v>119</v>
      </c>
      <c r="D2184" s="427"/>
      <c r="E2184" s="427"/>
      <c r="F2184" s="427"/>
      <c r="G2184" s="427"/>
      <c r="H2184" s="427"/>
      <c r="I2184" s="259"/>
      <c r="J2184" s="259"/>
      <c r="K2184" s="259"/>
      <c r="L2184" s="259"/>
      <c r="M2184" s="259"/>
    </row>
    <row r="2185" spans="1:17" ht="15" customHeight="1" x14ac:dyDescent="0.2">
      <c r="A2185" s="249" t="s">
        <v>387</v>
      </c>
      <c r="B2185" s="147" t="s">
        <v>387</v>
      </c>
      <c r="C2185" s="428" t="str">
        <f>C3</f>
        <v xml:space="preserve"> PRESUPUESTO AÑO 2024</v>
      </c>
      <c r="D2185" s="428"/>
      <c r="E2185" s="428"/>
      <c r="F2185" s="428"/>
      <c r="G2185" s="428"/>
      <c r="H2185" s="428"/>
      <c r="I2185" s="259"/>
      <c r="J2185" s="259"/>
      <c r="K2185" s="259"/>
      <c r="L2185" s="259"/>
      <c r="M2185" s="259"/>
    </row>
    <row r="2186" spans="1:17" ht="15" customHeight="1" x14ac:dyDescent="0.2">
      <c r="A2186" s="249" t="s">
        <v>387</v>
      </c>
      <c r="B2186" s="147" t="s">
        <v>387</v>
      </c>
      <c r="C2186" s="428" t="str">
        <f>C4</f>
        <v>PRESUPUESTO EXTRA CONTABLE</v>
      </c>
      <c r="D2186" s="428"/>
      <c r="E2186" s="428"/>
      <c r="F2186" s="428"/>
      <c r="G2186" s="428"/>
      <c r="H2186" s="428"/>
      <c r="I2186" s="259"/>
      <c r="J2186" s="259"/>
      <c r="K2186" s="259"/>
      <c r="L2186" s="259"/>
      <c r="M2186" s="259"/>
    </row>
    <row r="2187" spans="1:17" ht="15" customHeight="1" x14ac:dyDescent="0.2">
      <c r="A2187" s="249" t="s">
        <v>387</v>
      </c>
      <c r="B2187" s="147" t="s">
        <v>387</v>
      </c>
      <c r="C2187" s="427" t="s">
        <v>118</v>
      </c>
      <c r="D2187" s="427"/>
      <c r="E2187" s="427"/>
      <c r="F2187" s="427"/>
      <c r="G2187" s="427"/>
      <c r="H2187" s="427"/>
      <c r="I2187" s="259"/>
      <c r="J2187" s="259"/>
      <c r="K2187" s="259"/>
      <c r="L2187" s="259"/>
      <c r="M2187" s="259"/>
    </row>
    <row r="2188" spans="1:17" ht="15" customHeight="1" x14ac:dyDescent="0.2">
      <c r="A2188" s="249" t="s">
        <v>387</v>
      </c>
      <c r="B2188" s="147" t="s">
        <v>387</v>
      </c>
      <c r="C2188" s="427" t="s">
        <v>367</v>
      </c>
      <c r="D2188" s="427"/>
      <c r="E2188" s="427"/>
      <c r="F2188" s="427"/>
      <c r="G2188" s="427"/>
      <c r="H2188" s="427"/>
      <c r="I2188" s="259"/>
      <c r="J2188" s="259"/>
      <c r="K2188" s="259"/>
      <c r="L2188" s="259"/>
      <c r="M2188" s="259"/>
    </row>
    <row r="2189" spans="1:17" ht="15" customHeight="1" x14ac:dyDescent="0.2">
      <c r="A2189" s="249" t="s">
        <v>387</v>
      </c>
      <c r="B2189" s="147" t="s">
        <v>387</v>
      </c>
      <c r="C2189" s="430" t="s">
        <v>1</v>
      </c>
      <c r="D2189" s="430" t="s">
        <v>0</v>
      </c>
      <c r="E2189" s="255" t="s">
        <v>56</v>
      </c>
      <c r="F2189" s="255" t="str">
        <f>F7</f>
        <v>REFORMA</v>
      </c>
      <c r="G2189" s="255" t="s">
        <v>56</v>
      </c>
      <c r="H2189" s="432" t="str">
        <f>$H$7</f>
        <v>TOTAL 2024</v>
      </c>
      <c r="I2189" s="259"/>
      <c r="J2189" s="259"/>
      <c r="K2189" s="259"/>
      <c r="L2189" s="259"/>
      <c r="M2189" s="259"/>
    </row>
    <row r="2190" spans="1:17" ht="15" customHeight="1" x14ac:dyDescent="0.2">
      <c r="A2190" s="249" t="s">
        <v>387</v>
      </c>
      <c r="B2190" s="147" t="s">
        <v>387</v>
      </c>
      <c r="C2190" s="431"/>
      <c r="D2190" s="431"/>
      <c r="E2190" s="255" t="s">
        <v>139</v>
      </c>
      <c r="F2190" s="255"/>
      <c r="G2190" s="255" t="s">
        <v>140</v>
      </c>
      <c r="H2190" s="433"/>
      <c r="I2190" s="259"/>
      <c r="J2190" s="259"/>
      <c r="K2190" s="259"/>
      <c r="L2190" s="259"/>
      <c r="M2190" s="259"/>
    </row>
    <row r="2191" spans="1:17" ht="15" customHeight="1" x14ac:dyDescent="0.2">
      <c r="A2191" s="249">
        <v>72</v>
      </c>
      <c r="B2191" s="147">
        <v>72</v>
      </c>
      <c r="C2191" s="61">
        <v>72101</v>
      </c>
      <c r="D2191" s="154" t="s">
        <v>366</v>
      </c>
      <c r="E2191" s="75">
        <v>46593.38</v>
      </c>
      <c r="F2191" s="75"/>
      <c r="G2191" s="291">
        <v>160</v>
      </c>
      <c r="H2191" s="76">
        <f>E2191+F2191+G2191</f>
        <v>46753.38</v>
      </c>
      <c r="I2191" s="259"/>
      <c r="J2191" s="259"/>
      <c r="K2191" s="259"/>
      <c r="L2191" s="259"/>
      <c r="M2191" s="259"/>
    </row>
    <row r="2192" spans="1:17" ht="15" customHeight="1" x14ac:dyDescent="0.2">
      <c r="A2192" s="249" t="s">
        <v>387</v>
      </c>
      <c r="B2192" s="147" t="s">
        <v>387</v>
      </c>
      <c r="C2192" s="61"/>
      <c r="D2192" s="62"/>
      <c r="E2192" s="293"/>
      <c r="F2192" s="293"/>
      <c r="G2192" s="296"/>
      <c r="H2192" s="76">
        <f>E2192+F2192+G2192</f>
        <v>0</v>
      </c>
      <c r="I2192" s="259"/>
      <c r="J2192" s="259"/>
      <c r="K2192" s="259"/>
      <c r="L2192" s="259"/>
      <c r="M2192" s="259"/>
    </row>
    <row r="2193" spans="1:17" ht="15" customHeight="1" x14ac:dyDescent="0.2">
      <c r="A2193" s="249" t="s">
        <v>387</v>
      </c>
      <c r="B2193" s="147" t="s">
        <v>387</v>
      </c>
      <c r="C2193" s="61"/>
      <c r="D2193" s="61" t="s">
        <v>14</v>
      </c>
      <c r="E2193" s="138">
        <f>SUM(E2191:E2192)</f>
        <v>46593.38</v>
      </c>
      <c r="F2193" s="138">
        <f>SUM(F2191:F2192)</f>
        <v>0</v>
      </c>
      <c r="G2193" s="138">
        <f>SUM(G2191:G2192)</f>
        <v>160</v>
      </c>
      <c r="H2193" s="83">
        <f>E2193+F2193+G2193</f>
        <v>46753.38</v>
      </c>
      <c r="I2193" s="259"/>
      <c r="J2193" s="259"/>
      <c r="K2193" s="259"/>
      <c r="L2193" s="259"/>
      <c r="M2193" s="259"/>
    </row>
    <row r="2194" spans="1:17" ht="15" customHeight="1" x14ac:dyDescent="0.2">
      <c r="A2194" s="249" t="s">
        <v>387</v>
      </c>
      <c r="B2194" s="147" t="s">
        <v>387</v>
      </c>
      <c r="C2194" s="148"/>
      <c r="D2194" s="148"/>
      <c r="E2194" s="149"/>
      <c r="F2194" s="149"/>
      <c r="G2194" s="149"/>
      <c r="H2194" s="149"/>
      <c r="I2194" s="259"/>
      <c r="J2194" s="259"/>
      <c r="K2194" s="259"/>
      <c r="L2194" s="259"/>
      <c r="M2194" s="259"/>
    </row>
    <row r="2195" spans="1:17" ht="15" customHeight="1" x14ac:dyDescent="0.2">
      <c r="A2195" s="249" t="s">
        <v>387</v>
      </c>
      <c r="B2195" s="147" t="s">
        <v>387</v>
      </c>
      <c r="C2195" s="148"/>
      <c r="D2195" s="148"/>
      <c r="E2195" s="149"/>
      <c r="F2195" s="149"/>
      <c r="G2195" s="149"/>
      <c r="H2195" s="149"/>
      <c r="I2195" s="259"/>
      <c r="J2195" s="259"/>
      <c r="K2195" s="259"/>
      <c r="L2195" s="259"/>
      <c r="M2195" s="259"/>
    </row>
    <row r="2196" spans="1:17" ht="15" customHeight="1" x14ac:dyDescent="0.2">
      <c r="A2196" s="249" t="s">
        <v>387</v>
      </c>
      <c r="B2196" s="147" t="s">
        <v>387</v>
      </c>
      <c r="C2196" s="427" t="s">
        <v>274</v>
      </c>
      <c r="D2196" s="427"/>
      <c r="E2196" s="427"/>
      <c r="F2196" s="427"/>
      <c r="G2196" s="427"/>
      <c r="H2196" s="427"/>
      <c r="I2196" s="259"/>
      <c r="J2196" s="259"/>
      <c r="K2196" s="259"/>
      <c r="L2196" s="259"/>
      <c r="M2196" s="259"/>
    </row>
    <row r="2197" spans="1:17" ht="15" customHeight="1" x14ac:dyDescent="0.2">
      <c r="A2197" s="249" t="s">
        <v>387</v>
      </c>
      <c r="B2197" s="147" t="s">
        <v>387</v>
      </c>
      <c r="C2197" s="427" t="s">
        <v>119</v>
      </c>
      <c r="D2197" s="427"/>
      <c r="E2197" s="427"/>
      <c r="F2197" s="427"/>
      <c r="G2197" s="427"/>
      <c r="H2197" s="427"/>
      <c r="I2197" s="259"/>
      <c r="J2197" s="259"/>
      <c r="K2197" s="259"/>
      <c r="L2197" s="259"/>
      <c r="M2197" s="259"/>
    </row>
    <row r="2198" spans="1:17" ht="15" customHeight="1" x14ac:dyDescent="0.2">
      <c r="A2198" s="249" t="s">
        <v>387</v>
      </c>
      <c r="B2198" s="147" t="s">
        <v>387</v>
      </c>
      <c r="C2198" s="427" t="str">
        <f>C4</f>
        <v>PRESUPUESTO EXTRA CONTABLE</v>
      </c>
      <c r="D2198" s="427"/>
      <c r="E2198" s="427"/>
      <c r="F2198" s="427"/>
      <c r="G2198" s="427"/>
      <c r="H2198" s="427"/>
      <c r="I2198" s="259"/>
      <c r="J2198" s="259"/>
      <c r="K2198" s="259"/>
      <c r="L2198" s="259"/>
      <c r="M2198" s="259"/>
    </row>
    <row r="2199" spans="1:17" ht="15" customHeight="1" x14ac:dyDescent="0.2">
      <c r="A2199" s="249" t="s">
        <v>387</v>
      </c>
      <c r="B2199" s="147" t="s">
        <v>387</v>
      </c>
      <c r="C2199" s="427" t="s">
        <v>252</v>
      </c>
      <c r="D2199" s="427"/>
      <c r="E2199" s="427"/>
      <c r="F2199" s="427"/>
      <c r="G2199" s="427"/>
      <c r="H2199" s="427"/>
      <c r="I2199" s="259"/>
      <c r="J2199" s="259"/>
      <c r="K2199" s="259"/>
      <c r="L2199" s="259"/>
      <c r="M2199" s="259"/>
    </row>
    <row r="2200" spans="1:17" ht="15" customHeight="1" x14ac:dyDescent="0.2">
      <c r="A2200" s="249" t="s">
        <v>387</v>
      </c>
      <c r="B2200" s="147" t="s">
        <v>387</v>
      </c>
      <c r="C2200" s="439" t="s">
        <v>852</v>
      </c>
      <c r="D2200" s="439"/>
      <c r="E2200" s="439"/>
      <c r="F2200" s="439"/>
      <c r="G2200" s="439"/>
      <c r="H2200" s="439"/>
      <c r="I2200" s="259"/>
      <c r="J2200" s="259"/>
      <c r="K2200" s="259"/>
      <c r="L2200" s="259"/>
      <c r="M2200" s="259"/>
    </row>
    <row r="2201" spans="1:17" ht="15" customHeight="1" x14ac:dyDescent="0.2">
      <c r="A2201" s="249" t="s">
        <v>387</v>
      </c>
      <c r="B2201" s="147" t="s">
        <v>387</v>
      </c>
      <c r="C2201" s="430" t="s">
        <v>1</v>
      </c>
      <c r="D2201" s="300"/>
      <c r="E2201" s="255" t="s">
        <v>56</v>
      </c>
      <c r="F2201" s="255" t="str">
        <f>F7</f>
        <v>REFORMA</v>
      </c>
      <c r="G2201" s="255" t="s">
        <v>56</v>
      </c>
      <c r="H2201" s="432" t="str">
        <f>$H$7</f>
        <v>TOTAL 2024</v>
      </c>
      <c r="I2201" s="259"/>
      <c r="J2201" s="259"/>
      <c r="K2201" s="259"/>
      <c r="L2201" s="259"/>
      <c r="M2201" s="259"/>
    </row>
    <row r="2202" spans="1:17" ht="15" customHeight="1" x14ac:dyDescent="0.2">
      <c r="A2202" s="249" t="s">
        <v>387</v>
      </c>
      <c r="B2202" s="147" t="s">
        <v>387</v>
      </c>
      <c r="C2202" s="431"/>
      <c r="D2202" s="301" t="s">
        <v>0</v>
      </c>
      <c r="E2202" s="255" t="s">
        <v>139</v>
      </c>
      <c r="F2202" s="255"/>
      <c r="G2202" s="255" t="s">
        <v>140</v>
      </c>
      <c r="H2202" s="433"/>
      <c r="I2202" s="259"/>
      <c r="J2202" s="259"/>
      <c r="K2202" s="259"/>
      <c r="L2202" s="259"/>
      <c r="M2202" s="259"/>
    </row>
    <row r="2203" spans="1:17" ht="15" customHeight="1" x14ac:dyDescent="0.2">
      <c r="A2203" s="249" t="s">
        <v>387</v>
      </c>
      <c r="B2203" s="147" t="s">
        <v>387</v>
      </c>
      <c r="C2203" s="302">
        <v>511</v>
      </c>
      <c r="D2203" s="303" t="s">
        <v>141</v>
      </c>
      <c r="E2203" s="291">
        <f>SUM(E2204:E2207)</f>
        <v>0</v>
      </c>
      <c r="F2203" s="291">
        <f>SUM(F2204:F2207)</f>
        <v>0</v>
      </c>
      <c r="G2203" s="291">
        <f>SUM(G2204:G2207)</f>
        <v>2773762.2800000003</v>
      </c>
      <c r="H2203" s="291">
        <f>SUM(H2204:H2207)</f>
        <v>2773762.2800000003</v>
      </c>
      <c r="I2203" s="259"/>
      <c r="J2203" s="259"/>
      <c r="K2203" s="259"/>
      <c r="L2203" s="259"/>
      <c r="M2203" s="259"/>
    </row>
    <row r="2204" spans="1:17" ht="15" customHeight="1" x14ac:dyDescent="0.2">
      <c r="A2204" s="249" t="s">
        <v>387</v>
      </c>
      <c r="B2204" s="147" t="s">
        <v>387</v>
      </c>
      <c r="C2204" s="279">
        <v>51101</v>
      </c>
      <c r="D2204" s="73" t="s">
        <v>15</v>
      </c>
      <c r="E2204" s="74">
        <f>E63+E115+E152+E195+E230+E270+E288+E329+E370+E407+E445+E482+E521+E564+E601+E639+E680+E731+E784+E823+E857+E890+E927+E962+E1003+E1034+E1068+E1105+E1144+E1189+E1231+E1262+E1306+E1347+E1402+E1442+E1482+E1522+E1557+E1601+E1648+E1683+E1725+E1759+E1802+E1845+E1884+E1920+E1954+E1988+E2030+E2069</f>
        <v>0</v>
      </c>
      <c r="F2204" s="74">
        <f>F63+F115+F152+F195+F230+F270+F288+F329+F370+F407+F445+F482+F521+F564+F601+F639+F680+F731+F784+F823+F857+F890+F927+F962+F1003+F1034+F1068+F1105+F1144+F1189+F1231+F1262+F1306+F1347+F1402+F1442+F1482+F1522+F1557+F1601+F1648+F1683+F1725+F1759+F1802+F1845+F1884+F1920+F1954+F1988+F2030+F2069</f>
        <v>0</v>
      </c>
      <c r="G2204" s="74">
        <f>G63+G115+G152+G195+G230+G270+G288+G329+G370+G407+G445+G482+G521+G564+G601+G639+G680+G731+G784+G823+G857+G890+G927+G962+G1003+G1034+G1068+G1105+G1144+G1189+G1231+G1262+G1306+G1347+G1402+G1442+G1482+G1522+G1557+G1601+G1648+G1683+G1725+G1759+G1802+G1845+G1884+G1920+G1954+G1988+G2030+G2069</f>
        <v>2112401.2800000003</v>
      </c>
      <c r="H2204" s="76">
        <f>E2204+F2204+G2204</f>
        <v>2112401.2800000003</v>
      </c>
      <c r="I2204" s="259"/>
      <c r="J2204" s="259"/>
      <c r="K2204" s="259"/>
      <c r="L2204" s="259"/>
      <c r="M2204" s="259"/>
      <c r="O2204" s="304">
        <f>H2204/$G$2322</f>
        <v>0.21395928390516694</v>
      </c>
      <c r="P2204" s="259">
        <v>2015176.95</v>
      </c>
      <c r="Q2204" s="274">
        <f>G2204-P2204</f>
        <v>97224.330000000307</v>
      </c>
    </row>
    <row r="2205" spans="1:17" ht="15" customHeight="1" x14ac:dyDescent="0.2">
      <c r="A2205" s="249" t="s">
        <v>387</v>
      </c>
      <c r="B2205" s="147" t="s">
        <v>387</v>
      </c>
      <c r="C2205" s="279">
        <v>51103</v>
      </c>
      <c r="D2205" s="73" t="s">
        <v>16</v>
      </c>
      <c r="E2205" s="76">
        <f>E64+E116+E153+E196+E231+E289+E330+E371+E408+E446+E483+E522+E565+E602+E640+E681+E732+E785+E824+E858+E891+E928+E963+E1004+E1035+E1069+E1106+E1145+E1190+E1232+E1263+E1307+E1348+E1403+E1443+E1483+E1523+E1558+E1602+E1649+E1684+E1726+E1760+E1803+E1846+E1885+E1921+E1955+E1989+E2031+E2070</f>
        <v>0</v>
      </c>
      <c r="F2205" s="76">
        <f>F64+F116+F153+F196+F231+F289+F330+F371+F408+F446+F483+F522+F565+F602+F640+F681+F732+F785+F824+F858+F891+F928+F963+F1004+F1035+F1069+F1106+F1145+F1190+F1232+F1263+F1307+F1348+F1403+F1443+F1483+F1523+F1558+F1602+F1649+F1684+F1726+F1760+F1803+F1846+F1885+F1921+F1955+F1989+F2031+F2070</f>
        <v>0</v>
      </c>
      <c r="G2205" s="76">
        <f>G64+G116+G153+G196+G231+G271+G289+G330+G371+G408+G446+G483+G522+G565+G602+G640+G681+G732+G785+G824+G858+G891+G928+G963+G1004+G1035+G1069+G1106+G1145+G1190+G1232+G1263+G1307+G1348+G1403+G1443+G1483+G1523+G1558+G1602+G1649+G1684+G1726+G1760+G1803+G1846+G1885+G1921+G1955+G1989+G2031+G2070</f>
        <v>175721</v>
      </c>
      <c r="H2205" s="76">
        <f>E2205+F2205+G2205</f>
        <v>175721</v>
      </c>
      <c r="I2205" s="259"/>
      <c r="J2205" s="259"/>
      <c r="K2205" s="259"/>
      <c r="L2205" s="259"/>
      <c r="M2205" s="259"/>
      <c r="O2205" s="304">
        <f>H2205/$G$2322</f>
        <v>1.7798294141868648E-2</v>
      </c>
      <c r="P2205" s="259"/>
    </row>
    <row r="2206" spans="1:17" ht="15" customHeight="1" x14ac:dyDescent="0.2">
      <c r="A2206" s="249" t="s">
        <v>387</v>
      </c>
      <c r="B2206" s="147" t="s">
        <v>387</v>
      </c>
      <c r="C2206" s="279">
        <v>51105</v>
      </c>
      <c r="D2206" s="73" t="s">
        <v>2</v>
      </c>
      <c r="E2206" s="76">
        <f>+E9</f>
        <v>0</v>
      </c>
      <c r="F2206" s="76">
        <f>+F9</f>
        <v>0</v>
      </c>
      <c r="G2206" s="76">
        <f>+G9</f>
        <v>306240</v>
      </c>
      <c r="H2206" s="76">
        <f>E2206+F2206+G2206</f>
        <v>306240</v>
      </c>
      <c r="I2206" s="259"/>
      <c r="J2206" s="259"/>
      <c r="K2206" s="259"/>
      <c r="L2206" s="259"/>
      <c r="M2206" s="259"/>
      <c r="O2206" s="304">
        <f>H2206/$G$2322</f>
        <v>3.101820270773473E-2</v>
      </c>
      <c r="P2206" s="259"/>
    </row>
    <row r="2207" spans="1:17" ht="15" customHeight="1" x14ac:dyDescent="0.2">
      <c r="A2207" s="249" t="s">
        <v>387</v>
      </c>
      <c r="B2207" s="147" t="s">
        <v>387</v>
      </c>
      <c r="C2207" s="279">
        <v>51107</v>
      </c>
      <c r="D2207" s="73" t="s">
        <v>34</v>
      </c>
      <c r="E2207" s="74">
        <f>E10+E65+E117+E154+E197+E232+E290+E331+E372+E409+E447+E484+E523+E566+E603+E641+E682+E733+E786+E825+E859+E892+E929+E964+E1005+E1036+E1070+E1107+E1146+E1191+E1233+E1264+E1308+E1349+E1404+E1444+E1484+E1524+E1559+E1603+E1650+E1685+E1727+E1761+E1804+E1847+E1886+E1990+E2032+E2071</f>
        <v>0</v>
      </c>
      <c r="F2207" s="74">
        <f>F10+F65+F117+F154+F197+F232+F290+F331+F372+F409+F447+F484+F523+F566+F603+F641+F682+F733+F786+F825+F859+F892+F929+F964+F1005+F1036+F1070+F1107+F1146+F1191+F1233+F1264+F1308+F1349+F1404+F1444+F1484+F1524+F1559+F1603+F1650+F1685+F1727+F1761+F1804+F1847+F1886+F1990+F2032+F2071</f>
        <v>0</v>
      </c>
      <c r="G2207" s="74">
        <f>G10+G65+G117+G154+G197+G232+G272+G290+G331+G372+G409+G447+G484+G523+G566+G603+G641+G682+G733+G786+G825+G859+G892+G929+G964+G1005+G1036+G1070+G1107+G1146+G1191+G1233+G1264+G1308+G1349+G1404+G1444+G1484+G1524+G1559+G1603+G1650+G1685+G1727+G1761+G1804+G1847+G1886+G1990+G2032+G2071+G1956+G1922</f>
        <v>179400</v>
      </c>
      <c r="H2207" s="76">
        <f>E2207+F2207+G2207</f>
        <v>179400</v>
      </c>
      <c r="I2207" s="259"/>
      <c r="J2207" s="259"/>
      <c r="K2207" s="259"/>
      <c r="L2207" s="259"/>
      <c r="M2207" s="259"/>
      <c r="O2207" s="304">
        <f>H2207/$G$2322</f>
        <v>1.8170929877767798E-2</v>
      </c>
      <c r="P2207" s="259">
        <f>88497.65+G10</f>
        <v>179497.65</v>
      </c>
      <c r="Q2207" s="274">
        <f>G2207-P2207</f>
        <v>-97.649999999994179</v>
      </c>
    </row>
    <row r="2208" spans="1:17" ht="15" customHeight="1" x14ac:dyDescent="0.2">
      <c r="A2208" s="249" t="s">
        <v>387</v>
      </c>
      <c r="B2208" s="147" t="s">
        <v>387</v>
      </c>
      <c r="C2208" s="302">
        <v>512</v>
      </c>
      <c r="D2208" s="150" t="s">
        <v>23</v>
      </c>
      <c r="E2208" s="138">
        <f>E2210</f>
        <v>0</v>
      </c>
      <c r="F2208" s="138">
        <f>F2210</f>
        <v>0</v>
      </c>
      <c r="G2208" s="138">
        <f>SUM(G2209:G2210)</f>
        <v>0</v>
      </c>
      <c r="H2208" s="138">
        <f t="shared" ref="H2208:N2208" si="80">SUM(H2209:H2210)</f>
        <v>0</v>
      </c>
      <c r="I2208" s="138">
        <f t="shared" si="80"/>
        <v>0</v>
      </c>
      <c r="J2208" s="138">
        <f t="shared" si="80"/>
        <v>0</v>
      </c>
      <c r="K2208" s="138">
        <f t="shared" si="80"/>
        <v>0</v>
      </c>
      <c r="L2208" s="138">
        <f t="shared" si="80"/>
        <v>0</v>
      </c>
      <c r="M2208" s="138">
        <f t="shared" si="80"/>
        <v>0</v>
      </c>
      <c r="N2208" s="305">
        <f t="shared" si="80"/>
        <v>0</v>
      </c>
      <c r="O2208" s="304"/>
      <c r="P2208" s="259"/>
    </row>
    <row r="2209" spans="1:19" ht="15" customHeight="1" x14ac:dyDescent="0.2">
      <c r="A2209" s="249" t="s">
        <v>387</v>
      </c>
      <c r="B2209" s="147" t="s">
        <v>387</v>
      </c>
      <c r="C2209" s="279">
        <v>51201</v>
      </c>
      <c r="D2209" s="73" t="s">
        <v>458</v>
      </c>
      <c r="E2209" s="74">
        <f>E787+E1309+E1445</f>
        <v>0</v>
      </c>
      <c r="F2209" s="74">
        <f>F787+F1309+F1445</f>
        <v>0</v>
      </c>
      <c r="G2209" s="74">
        <f>G787+G1309+G1445</f>
        <v>0</v>
      </c>
      <c r="H2209" s="76">
        <f>E2209+F2209+G2209</f>
        <v>0</v>
      </c>
      <c r="I2209" s="259"/>
      <c r="J2209" s="259"/>
      <c r="K2209" s="259"/>
      <c r="L2209" s="259"/>
      <c r="M2209" s="259"/>
      <c r="O2209" s="304">
        <f>H2209/$G$2322</f>
        <v>0</v>
      </c>
    </row>
    <row r="2210" spans="1:19" ht="15" customHeight="1" x14ac:dyDescent="0.2">
      <c r="A2210" s="249" t="s">
        <v>387</v>
      </c>
      <c r="B2210" s="147" t="s">
        <v>387</v>
      </c>
      <c r="C2210" s="279">
        <v>51202</v>
      </c>
      <c r="D2210" s="73" t="s">
        <v>152</v>
      </c>
      <c r="E2210" s="74">
        <v>0</v>
      </c>
      <c r="F2210" s="74"/>
      <c r="G2210" s="74">
        <v>0</v>
      </c>
      <c r="H2210" s="76">
        <f>E2210+F2210+G2210</f>
        <v>0</v>
      </c>
      <c r="I2210" s="259"/>
      <c r="J2210" s="259"/>
      <c r="K2210" s="259"/>
      <c r="L2210" s="259"/>
      <c r="M2210" s="259"/>
      <c r="O2210" s="304">
        <f>H2210/$G$2322</f>
        <v>0</v>
      </c>
    </row>
    <row r="2211" spans="1:19" ht="15" customHeight="1" x14ac:dyDescent="0.2">
      <c r="A2211" s="249" t="s">
        <v>387</v>
      </c>
      <c r="B2211" s="147" t="s">
        <v>387</v>
      </c>
      <c r="C2211" s="302">
        <v>514</v>
      </c>
      <c r="D2211" s="150" t="s">
        <v>149</v>
      </c>
      <c r="E2211" s="138">
        <f>E2212</f>
        <v>0</v>
      </c>
      <c r="F2211" s="138">
        <f>F2212</f>
        <v>0</v>
      </c>
      <c r="G2211" s="138">
        <f>G2212</f>
        <v>198482.13000000003</v>
      </c>
      <c r="H2211" s="138">
        <f>H2212</f>
        <v>198482.13000000003</v>
      </c>
      <c r="I2211" s="259"/>
      <c r="J2211" s="259"/>
      <c r="K2211" s="259"/>
      <c r="L2211" s="259"/>
      <c r="M2211" s="259"/>
      <c r="O2211" s="304"/>
    </row>
    <row r="2212" spans="1:19" ht="15" customHeight="1" x14ac:dyDescent="0.2">
      <c r="A2212" s="249" t="s">
        <v>387</v>
      </c>
      <c r="B2212" s="147" t="s">
        <v>387</v>
      </c>
      <c r="C2212" s="279">
        <v>51401</v>
      </c>
      <c r="D2212" s="62" t="s">
        <v>47</v>
      </c>
      <c r="E2212" s="74">
        <f>E11+E66+E118+E155+E198+E233+E291+E332+E373+E410+E448+E485+E524+E567+E604+E642+E683+E734+E788+E826+E860+E893+E930+E965+E1006+E1037+E1071+E1108+E1147+E1192+E1234+E1265+E1310+E1350+E1405+E1446+E1485+E1525+E1560+E1604+E1651+E1686+E1728+E1762+E1805+E1848+E1887+E1923+E1957+E1991+E2033+E2072</f>
        <v>0</v>
      </c>
      <c r="F2212" s="74">
        <f>F11+F66+F118+F155+F198+F233+F291+F332+F373+F410+F448+F485+F524+F567+F604+F642+F683+F734+F788+F826+F860+F893+F930+F965+F1006+F1037+F1071+F1108+F1147+F1192+F1234+F1265+F1310+F1350+F1405+F1446+F1485+F1525+F1560+F1604+F1651+F1686+F1728+F1762+F1805+F1848+F1887+F1923+F1957+F1991+F2033+F2072</f>
        <v>0</v>
      </c>
      <c r="G2212" s="74">
        <f>G11+G66+G118+G155+G198+G233+G273+G291+G332+G373+G410+G448+G485+G524+G567+G604+G642+G683+G734+G788+G826+G860+G893+G930+G965+G1006+G1037+G1071+G1108+G1147+G1192+G1234+G1265+G1310+G1350+G1405+G1446+G1485+G1525+G1560+G1604+G1651+G1686+G1728+G1762+G1805+G1848+G1887+G1923+G1957+G1991+G2033+G2072</f>
        <v>198482.13000000003</v>
      </c>
      <c r="H2212" s="76">
        <f>E2212+F2212+G2212</f>
        <v>198482.13000000003</v>
      </c>
      <c r="I2212" s="259"/>
      <c r="J2212" s="259"/>
      <c r="K2212" s="259"/>
      <c r="L2212" s="259"/>
      <c r="M2212" s="259"/>
      <c r="O2212" s="304">
        <f>H2212/$G$2322</f>
        <v>2.0103706054737977E-2</v>
      </c>
      <c r="P2212" s="259"/>
    </row>
    <row r="2213" spans="1:19" ht="15" customHeight="1" x14ac:dyDescent="0.2">
      <c r="A2213" s="249" t="s">
        <v>387</v>
      </c>
      <c r="B2213" s="147" t="s">
        <v>387</v>
      </c>
      <c r="C2213" s="302">
        <v>515</v>
      </c>
      <c r="D2213" s="150" t="s">
        <v>150</v>
      </c>
      <c r="E2213" s="138">
        <f>E2214</f>
        <v>0</v>
      </c>
      <c r="F2213" s="138">
        <f>F2214</f>
        <v>0</v>
      </c>
      <c r="G2213" s="138">
        <f>G2214</f>
        <v>195985.34000000003</v>
      </c>
      <c r="H2213" s="138">
        <f>H2214</f>
        <v>195985.34000000003</v>
      </c>
      <c r="O2213" s="304"/>
      <c r="P2213" s="259"/>
    </row>
    <row r="2214" spans="1:19" ht="15" customHeight="1" x14ac:dyDescent="0.2">
      <c r="A2214" s="249" t="s">
        <v>387</v>
      </c>
      <c r="B2214" s="147" t="s">
        <v>387</v>
      </c>
      <c r="C2214" s="279">
        <v>51501</v>
      </c>
      <c r="D2214" s="73" t="s">
        <v>29</v>
      </c>
      <c r="E2214" s="74">
        <f>E12+E67+E119+E156+E199+E234+E274+E292+E333+E374+E411+E449+E486+E525+E568+E605+E643+E684+E735+E789+E827+E861+E894+E931+E966+E1007+E1038+E1072+E1109+E1148+E1193+E1235+E1266+E1311+E1351+E1406+E1447+E1486+E1526+E1561+E1605+E1652+E1687+E1729+E1763+E1806+E1849+E1888+E1924+E1958+E1992+E2034+E2073</f>
        <v>0</v>
      </c>
      <c r="F2214" s="74">
        <f>F12+F67+F119+F156+F199+F234+F274+F292+F333+F374+F411+F449+F486+F525+F568+F605+F643+F684+F735+F789+F827+F861+F894+F931+F966+F1007+F1038+F1072+F1109+F1148+F1193+F1235+F1266+F1311+F1351+F1406+F1447+F1486+F1526+F1561+F1605+F1652+F1687+F1729+F1763+F1806+F1849+F1888+F1924+F1958+F1992+F2034+F2073</f>
        <v>0</v>
      </c>
      <c r="G2214" s="74">
        <f>G12+G67+G119+G156+G199+G234+G274+G292+G333+G374+G411+G449+G486+G525+G568+G605+G643+G684+G735+G789+G827+G861+G894+G931+G966+G1007+G1038+G1072+G1109+G1148+G1193+G1235+G1266+G1311+G1351+G1406+G1447+G1486+G1526+G1561+G1605+G1652+G1687+G1729+G1763+G1806+G1849+G1888+G1924+G1958+G1992+G2034+G2073</f>
        <v>195985.34000000003</v>
      </c>
      <c r="H2214" s="76">
        <f>E2214+F2214+G2214</f>
        <v>195985.34000000003</v>
      </c>
      <c r="O2214" s="304">
        <f>H2214/$G$2322</f>
        <v>1.985081310039287E-2</v>
      </c>
      <c r="P2214" s="259"/>
    </row>
    <row r="2215" spans="1:19" ht="15" customHeight="1" x14ac:dyDescent="0.2">
      <c r="A2215" s="249" t="s">
        <v>387</v>
      </c>
      <c r="B2215" s="147" t="s">
        <v>387</v>
      </c>
      <c r="C2215" s="302">
        <v>516</v>
      </c>
      <c r="D2215" s="150" t="s">
        <v>314</v>
      </c>
      <c r="E2215" s="138">
        <f>E2216</f>
        <v>0</v>
      </c>
      <c r="F2215" s="138">
        <f>F2216</f>
        <v>0</v>
      </c>
      <c r="G2215" s="138">
        <f>G2216</f>
        <v>30000</v>
      </c>
      <c r="H2215" s="138">
        <f>H2216</f>
        <v>30000</v>
      </c>
      <c r="O2215" s="304"/>
    </row>
    <row r="2216" spans="1:19" ht="15" customHeight="1" x14ac:dyDescent="0.2">
      <c r="A2216" s="249" t="s">
        <v>387</v>
      </c>
      <c r="B2216" s="147" t="s">
        <v>387</v>
      </c>
      <c r="C2216" s="279">
        <v>51601</v>
      </c>
      <c r="D2216" s="73" t="s">
        <v>315</v>
      </c>
      <c r="E2216" s="74">
        <f>E68+E828</f>
        <v>0</v>
      </c>
      <c r="F2216" s="74">
        <f>F68+F828</f>
        <v>0</v>
      </c>
      <c r="G2216" s="74">
        <f>+G68+G828</f>
        <v>30000</v>
      </c>
      <c r="H2216" s="76">
        <f>E2216+F2216+G2216</f>
        <v>30000</v>
      </c>
      <c r="O2216" s="304">
        <f>H2216/$G$2322</f>
        <v>3.0386170364160199E-3</v>
      </c>
      <c r="P2216" s="259"/>
    </row>
    <row r="2217" spans="1:19" ht="15" customHeight="1" x14ac:dyDescent="0.2">
      <c r="A2217" s="249" t="s">
        <v>387</v>
      </c>
      <c r="B2217" s="147" t="s">
        <v>387</v>
      </c>
      <c r="C2217" s="302">
        <v>517</v>
      </c>
      <c r="D2217" s="150" t="s">
        <v>51</v>
      </c>
      <c r="E2217" s="138">
        <f>E2218</f>
        <v>0</v>
      </c>
      <c r="F2217" s="138">
        <f>F2218</f>
        <v>0</v>
      </c>
      <c r="G2217" s="138">
        <f>G2218</f>
        <v>40196.589999999997</v>
      </c>
      <c r="H2217" s="138">
        <f>H2218</f>
        <v>40196.589999999997</v>
      </c>
      <c r="O2217" s="304"/>
    </row>
    <row r="2218" spans="1:19" ht="15" customHeight="1" x14ac:dyDescent="0.2">
      <c r="A2218" s="249" t="s">
        <v>387</v>
      </c>
      <c r="B2218" s="147" t="s">
        <v>387</v>
      </c>
      <c r="C2218" s="279">
        <v>51701</v>
      </c>
      <c r="D2218" s="73" t="s">
        <v>168</v>
      </c>
      <c r="E2218" s="74">
        <f>E13</f>
        <v>0</v>
      </c>
      <c r="F2218" s="74">
        <f>F13</f>
        <v>0</v>
      </c>
      <c r="G2218" s="74">
        <f>+G13</f>
        <v>40196.589999999997</v>
      </c>
      <c r="H2218" s="76">
        <f>E2218+F2218+G2218</f>
        <v>40196.589999999997</v>
      </c>
      <c r="I2218" s="153" t="s">
        <v>285</v>
      </c>
      <c r="J2218" s="153"/>
      <c r="K2218" s="153"/>
      <c r="L2218" s="153"/>
      <c r="M2218" s="153"/>
      <c r="O2218" s="304">
        <f>H2218/$G$2322</f>
        <v>4.0714014393276607E-3</v>
      </c>
      <c r="P2218" s="282"/>
      <c r="R2218" s="259"/>
    </row>
    <row r="2219" spans="1:19" ht="15" customHeight="1" x14ac:dyDescent="0.2">
      <c r="A2219" s="249" t="s">
        <v>387</v>
      </c>
      <c r="B2219" s="147" t="s">
        <v>387</v>
      </c>
      <c r="C2219" s="302">
        <v>519</v>
      </c>
      <c r="D2219" s="150" t="s">
        <v>333</v>
      </c>
      <c r="E2219" s="138">
        <f>E2220</f>
        <v>0</v>
      </c>
      <c r="F2219" s="138">
        <f>F2220</f>
        <v>0</v>
      </c>
      <c r="G2219" s="138">
        <f>G2220</f>
        <v>85750</v>
      </c>
      <c r="H2219" s="138">
        <f>H2220</f>
        <v>85750</v>
      </c>
      <c r="I2219" s="153" t="s">
        <v>286</v>
      </c>
      <c r="J2219" s="153" t="s">
        <v>290</v>
      </c>
      <c r="K2219" s="153" t="s">
        <v>291</v>
      </c>
      <c r="L2219" s="153" t="s">
        <v>293</v>
      </c>
      <c r="M2219" s="153" t="s">
        <v>292</v>
      </c>
      <c r="O2219" s="304"/>
      <c r="P2219" s="259"/>
      <c r="Q2219" s="259"/>
      <c r="R2219" s="259"/>
    </row>
    <row r="2220" spans="1:19" ht="15" customHeight="1" x14ac:dyDescent="0.2">
      <c r="A2220" s="249" t="s">
        <v>387</v>
      </c>
      <c r="B2220" s="147" t="s">
        <v>387</v>
      </c>
      <c r="C2220" s="279">
        <v>51901</v>
      </c>
      <c r="D2220" s="73" t="s">
        <v>330</v>
      </c>
      <c r="E2220" s="74">
        <f>E14+E69+E275+E829+E862+E895+E967+E1764+E2174+E1110</f>
        <v>0</v>
      </c>
      <c r="F2220" s="74">
        <f>F14+F69+F275+F829+F862+F895+F967+F1764+F2174+F1110</f>
        <v>0</v>
      </c>
      <c r="G2220" s="74">
        <f>G14+G69+G275+G829+G862+G895+G967+G1764+G2174+G1110</f>
        <v>85750</v>
      </c>
      <c r="H2220" s="76">
        <f>E2220+F2220+G2220</f>
        <v>85750</v>
      </c>
      <c r="I2220" s="291"/>
      <c r="J2220" s="291"/>
      <c r="K2220" s="291"/>
      <c r="L2220" s="291"/>
      <c r="M2220" s="291"/>
      <c r="O2220" s="304">
        <f>H2220/$G$2322</f>
        <v>8.6853803624224579E-3</v>
      </c>
      <c r="P2220" s="259"/>
      <c r="Q2220" s="259">
        <f>+P2220+O2220</f>
        <v>8.6853803624224579E-3</v>
      </c>
      <c r="R2220" s="259">
        <f>+Q2220-H2220</f>
        <v>-85749.991314619634</v>
      </c>
      <c r="S2220" s="259"/>
    </row>
    <row r="2221" spans="1:19" ht="15" customHeight="1" x14ac:dyDescent="0.2">
      <c r="A2221" s="249" t="s">
        <v>387</v>
      </c>
      <c r="B2221" s="147" t="s">
        <v>387</v>
      </c>
      <c r="C2221" s="302">
        <v>541</v>
      </c>
      <c r="D2221" s="150" t="s">
        <v>142</v>
      </c>
      <c r="E2221" s="138">
        <f>SUM(E2222:E2242)</f>
        <v>46000</v>
      </c>
      <c r="F2221" s="138">
        <f>SUM(F2222:F2242)</f>
        <v>0</v>
      </c>
      <c r="G2221" s="138">
        <f>SUM(G2222:G2242)</f>
        <v>846878</v>
      </c>
      <c r="H2221" s="138">
        <f>SUM(H2222:H2242)</f>
        <v>892878</v>
      </c>
      <c r="I2221" s="74"/>
      <c r="J2221" s="74"/>
      <c r="K2221" s="74"/>
      <c r="L2221" s="74"/>
      <c r="M2221" s="74"/>
      <c r="O2221" s="304"/>
      <c r="R2221" s="259"/>
    </row>
    <row r="2222" spans="1:19" ht="15" customHeight="1" x14ac:dyDescent="0.2">
      <c r="A2222" s="249" t="s">
        <v>387</v>
      </c>
      <c r="B2222" s="147" t="s">
        <v>387</v>
      </c>
      <c r="C2222" s="279">
        <v>54101</v>
      </c>
      <c r="D2222" s="73" t="s">
        <v>38</v>
      </c>
      <c r="E2222" s="74">
        <f>E15+E70+E120+E157+E200+E235+E293+E334+E375+E412+E450+E487+E526+E569+E606+E644+E685+E736+E968+E1008+E1111+E1149+E1194+E1267+E1312+E1352+E1448+E1487+E1527+E1562+E1688+E1730+E1765+E1807+E1850+E1889+E1925+E1959+E1993+E2035+E2074</f>
        <v>0</v>
      </c>
      <c r="F2222" s="74">
        <f>F15+F70+F120+F157+F200+F235+F293+F334+F375+F412+F450+F487+F526+F569+F606+F644+F685+F736+F968+F1008+F1111+F1149+F1194+F1267+F1312+F1352+F1448+F1487+F1527+F1562+F1688+F1730+F1765+F1807+F1850+F1889+F1925+F1959+F1993+F2035+F2074</f>
        <v>0</v>
      </c>
      <c r="G2222" s="74">
        <f>G15+G70+G120+G157+G200+G235+G293+G334+G375+G412+G450+G487+G526+G569+G606+G644+G685+G736+G968+G1008+G1111+G1149+G1194+G1267+G1312+G1352+G1448+G1487+G1527+G1562+G1688+G1730+G1765+G1807+G1850+G1889+G1925+G1959+G1993+G2035+G2074+G1606</f>
        <v>77530</v>
      </c>
      <c r="H2222" s="76">
        <f t="shared" ref="H2222:H2266" si="81">E2222+F2222+G2222</f>
        <v>77530</v>
      </c>
      <c r="I2222" s="74"/>
      <c r="J2222" s="74"/>
      <c r="K2222" s="74"/>
      <c r="L2222" s="74"/>
      <c r="M2222" s="74"/>
      <c r="O2222" s="304">
        <f t="shared" ref="O2222:O2242" si="82">H2222/$G$2322</f>
        <v>7.8527992944444677E-3</v>
      </c>
      <c r="P2222" s="259"/>
      <c r="R2222" s="259"/>
    </row>
    <row r="2223" spans="1:19" ht="15" customHeight="1" x14ac:dyDescent="0.2">
      <c r="A2223" s="249" t="s">
        <v>387</v>
      </c>
      <c r="B2223" s="147" t="s">
        <v>387</v>
      </c>
      <c r="C2223" s="279">
        <v>54102</v>
      </c>
      <c r="D2223" s="73" t="s">
        <v>37</v>
      </c>
      <c r="E2223" s="74">
        <f>+E1689+E276+E1268+E71</f>
        <v>0</v>
      </c>
      <c r="F2223" s="74">
        <f>+F1689+F276+F1268+F71</f>
        <v>0</v>
      </c>
      <c r="G2223" s="74">
        <f>+G1689+G276+G1268+G71</f>
        <v>4300</v>
      </c>
      <c r="H2223" s="76">
        <f t="shared" si="81"/>
        <v>4300</v>
      </c>
      <c r="I2223" s="74"/>
      <c r="J2223" s="74"/>
      <c r="K2223" s="74"/>
      <c r="L2223" s="74"/>
      <c r="M2223" s="74"/>
      <c r="O2223" s="304">
        <f t="shared" si="82"/>
        <v>4.3553510855296287E-4</v>
      </c>
      <c r="P2223" s="259"/>
      <c r="R2223" s="259"/>
    </row>
    <row r="2224" spans="1:19" ht="15" customHeight="1" x14ac:dyDescent="0.2">
      <c r="A2224" s="249" t="s">
        <v>387</v>
      </c>
      <c r="B2224" s="147" t="s">
        <v>387</v>
      </c>
      <c r="C2224" s="279">
        <v>54103</v>
      </c>
      <c r="D2224" s="73" t="s">
        <v>41</v>
      </c>
      <c r="E2224" s="74">
        <f>E16+E236+E294+E686+E737+E1195+E1269+E1353+E1690+E1766+E1926</f>
        <v>0</v>
      </c>
      <c r="F2224" s="74">
        <f>F16+F236+F294+F686+F737+F1195+F1269+F1353+F1690+F1766+F1926</f>
        <v>0</v>
      </c>
      <c r="G2224" s="74">
        <f>G16+G236+G294+G686+G737+G1195+G1269+G1353+G1690+G1766+G1926+G1607+G527</f>
        <v>23580</v>
      </c>
      <c r="H2224" s="76">
        <f t="shared" si="81"/>
        <v>23580</v>
      </c>
      <c r="I2224" s="138"/>
      <c r="J2224" s="138"/>
      <c r="K2224" s="138"/>
      <c r="L2224" s="138"/>
      <c r="M2224" s="138"/>
      <c r="O2224" s="304">
        <f t="shared" si="82"/>
        <v>2.3883529906229919E-3</v>
      </c>
      <c r="P2224" s="259"/>
      <c r="R2224" s="259"/>
    </row>
    <row r="2225" spans="1:18" ht="15" customHeight="1" x14ac:dyDescent="0.2">
      <c r="A2225" s="249" t="s">
        <v>387</v>
      </c>
      <c r="B2225" s="147" t="s">
        <v>387</v>
      </c>
      <c r="C2225" s="279">
        <v>54104</v>
      </c>
      <c r="D2225" s="73" t="s">
        <v>17</v>
      </c>
      <c r="E2225" s="74">
        <f t="shared" ref="E2225:G2226" si="83">E17+E72+E121+E158+E201+E237+E295+E335+E376+E413+E451+E488+E528+E570+E607+E645+E687+E738+E790+E830+E863+E896+E932+E969+E1009+E1039+E1073+E1112+E1150+E1196+E1236+E1270+E1313+E1354+E1407+E1449+E1488+E1528+E1563+E1608+E1653+E1691+E1731+E1767+E1808+E1851+E1890+E1927+E1960+E1994+E2036+E2075</f>
        <v>0</v>
      </c>
      <c r="F2225" s="74">
        <f t="shared" si="83"/>
        <v>0</v>
      </c>
      <c r="G2225" s="74">
        <f t="shared" si="83"/>
        <v>54465</v>
      </c>
      <c r="H2225" s="76">
        <f t="shared" si="81"/>
        <v>54465</v>
      </c>
      <c r="I2225" s="306"/>
      <c r="J2225" s="74"/>
      <c r="K2225" s="74"/>
      <c r="L2225" s="74"/>
      <c r="M2225" s="74"/>
      <c r="O2225" s="304">
        <f t="shared" si="82"/>
        <v>5.5166092296132846E-3</v>
      </c>
      <c r="P2225" s="259"/>
      <c r="R2225" s="259"/>
    </row>
    <row r="2226" spans="1:18" ht="15" customHeight="1" x14ac:dyDescent="0.2">
      <c r="A2226" s="249" t="s">
        <v>387</v>
      </c>
      <c r="B2226" s="147" t="s">
        <v>387</v>
      </c>
      <c r="C2226" s="279">
        <v>54105</v>
      </c>
      <c r="D2226" s="73" t="s">
        <v>50</v>
      </c>
      <c r="E2226" s="74">
        <f t="shared" si="83"/>
        <v>0</v>
      </c>
      <c r="F2226" s="74">
        <f t="shared" si="83"/>
        <v>0</v>
      </c>
      <c r="G2226" s="74">
        <f t="shared" si="83"/>
        <v>53280</v>
      </c>
      <c r="H2226" s="76">
        <f t="shared" si="81"/>
        <v>53280</v>
      </c>
      <c r="I2226" s="306"/>
      <c r="J2226" s="74"/>
      <c r="K2226" s="74"/>
      <c r="L2226" s="74"/>
      <c r="M2226" s="74"/>
      <c r="O2226" s="304">
        <f t="shared" si="82"/>
        <v>5.3965838566748517E-3</v>
      </c>
      <c r="P2226" s="259"/>
      <c r="R2226" s="259"/>
    </row>
    <row r="2227" spans="1:18" ht="15" customHeight="1" x14ac:dyDescent="0.2">
      <c r="A2227" s="249" t="s">
        <v>387</v>
      </c>
      <c r="B2227" s="147" t="s">
        <v>387</v>
      </c>
      <c r="C2227" s="279">
        <v>54106</v>
      </c>
      <c r="D2227" s="73" t="s">
        <v>18</v>
      </c>
      <c r="E2227" s="74">
        <f>E19+E160+E203+E297+E337+E378+E415+E453+E490+E530+E572+E609+E647+E689+E740+E792+E1152+E1272+E1315+E1356+E1451+E1490+E1565+E1693+E1769+E1853+E1962+E1996</f>
        <v>0</v>
      </c>
      <c r="F2227" s="74">
        <f>F19+F160+F203+F297+F337+F378+F415+F453+F490+F530+F572+F609+F647+F689+F740+F792+F1152+F1272+F1315+F1356+F1451+F1490+F1565+F1693+F1769+F1853+F1962+F1996</f>
        <v>0</v>
      </c>
      <c r="G2227" s="74">
        <f>G19+G160+G203+G297+G337+G378+G415+G453+G490+G530+G572+G609+G647+G689+G740+G792+G1152+G1272+G1315+G1356+G1451+G1490+G1565+G1693+G1769+G1853+G1962+G1996+G1610+G1810+G1409</f>
        <v>12140</v>
      </c>
      <c r="H2227" s="76">
        <f t="shared" si="81"/>
        <v>12140</v>
      </c>
      <c r="I2227" s="306"/>
      <c r="J2227" s="74"/>
      <c r="K2227" s="74"/>
      <c r="L2227" s="74"/>
      <c r="M2227" s="74"/>
      <c r="O2227" s="304">
        <f t="shared" si="82"/>
        <v>1.2296270274030161E-3</v>
      </c>
      <c r="P2227" s="259"/>
      <c r="R2227" s="259"/>
    </row>
    <row r="2228" spans="1:18" ht="15" customHeight="1" x14ac:dyDescent="0.2">
      <c r="A2228" s="249" t="s">
        <v>387</v>
      </c>
      <c r="B2228" s="147" t="s">
        <v>387</v>
      </c>
      <c r="C2228" s="279">
        <v>54107</v>
      </c>
      <c r="D2228" s="73" t="s">
        <v>43</v>
      </c>
      <c r="E2228" s="74">
        <f>E20+E123+E161+E74++E204+E239+E298+E338+E379+E416+E454+E491+E531+E573+E610+E648+E690+E741+E793+E832+E865+E898+E934+E971+E1011+E1041+E1075+E1114+E1198+E1273+E1316+E1357+E1410+E1452+E1491+E1530+E1566+E1611+E1655+E1694+E1733+E1770+E1854+E1929+E1963+E1997+E2038+E2077</f>
        <v>0</v>
      </c>
      <c r="F2228" s="74">
        <f>F20+F123+F161+F74++F204+F239+F298+F338+F379+F416+F454+F491+F531+F573+F610+F648+F690+F741+F793+F832+F865+F898+F934+F971+F1011+F1041+F1075+F1114+F1198+F1273+F1316+F1357+F1410+F1452+F1491+F1530+F1566+F1611+F1655+F1694+F1733+F1770+F1854+F1929+F1963+F1997+F2038+F2077</f>
        <v>0</v>
      </c>
      <c r="G2228" s="74">
        <f>G20+G123+G161+G74++G204+G239+G298+G338+G379+G416+G454+G491+G531+G573+G610+G648+G690+G741+G793+G832+G865+G898+G934+G971+G1011+G1041+G1075+G1114+G1198+G1273+G1316+G1357+G1410+G1452+G1491+G1530+G1566+G1611+G1655+G1694+G1733+G1770+G1854+G1929+G1963+G1997+G2038+G2077+G1153</f>
        <v>87283</v>
      </c>
      <c r="H2228" s="76">
        <f t="shared" si="81"/>
        <v>87283</v>
      </c>
      <c r="I2228" s="74"/>
      <c r="J2228" s="74"/>
      <c r="K2228" s="74"/>
      <c r="L2228" s="74"/>
      <c r="M2228" s="74"/>
      <c r="O2228" s="304">
        <f t="shared" si="82"/>
        <v>8.8406536929833152E-3</v>
      </c>
      <c r="P2228" s="259"/>
      <c r="R2228" s="259"/>
    </row>
    <row r="2229" spans="1:18" ht="15" customHeight="1" x14ac:dyDescent="0.2">
      <c r="A2229" s="249" t="s">
        <v>387</v>
      </c>
      <c r="B2229" s="147" t="s">
        <v>387</v>
      </c>
      <c r="C2229" s="279">
        <v>54108</v>
      </c>
      <c r="D2229" s="73" t="s">
        <v>169</v>
      </c>
      <c r="E2229" s="74">
        <f>E691+E742+E1274+E1358+E1453+E1567+E1734+E1855</f>
        <v>0</v>
      </c>
      <c r="F2229" s="74">
        <f>F691+F742+F1274+F1358+F1453+F1567+F1734+F1855</f>
        <v>0</v>
      </c>
      <c r="G2229" s="74">
        <f>G75+G691+G742+G1274+G1358+G1453+G1567+G1734+G1855+G1612+G1317+G972</f>
        <v>14570</v>
      </c>
      <c r="H2229" s="76">
        <f t="shared" si="81"/>
        <v>14570</v>
      </c>
      <c r="I2229" s="138"/>
      <c r="J2229" s="138"/>
      <c r="K2229" s="138"/>
      <c r="L2229" s="138"/>
      <c r="M2229" s="138"/>
      <c r="O2229" s="304">
        <f t="shared" si="82"/>
        <v>1.4757550073527137E-3</v>
      </c>
      <c r="P2229" s="259"/>
      <c r="R2229" s="259"/>
    </row>
    <row r="2230" spans="1:18" ht="15" customHeight="1" x14ac:dyDescent="0.2">
      <c r="A2230" s="249" t="s">
        <v>387</v>
      </c>
      <c r="B2230" s="147" t="s">
        <v>387</v>
      </c>
      <c r="C2230" s="279">
        <v>54109</v>
      </c>
      <c r="D2230" s="73" t="s">
        <v>19</v>
      </c>
      <c r="E2230" s="74">
        <f>+E1695+E1454+E1411+E1359+E794+E743+E692+E162+E76</f>
        <v>0</v>
      </c>
      <c r="F2230" s="74">
        <f>+F1695+F1454+F1411+F1359+F794+F743+F692+F162+F76</f>
        <v>0</v>
      </c>
      <c r="G2230" s="74">
        <f>+G1695+G1454+G1411+G1359+G794+G743+G692+G162+G76</f>
        <v>33200</v>
      </c>
      <c r="H2230" s="76">
        <f t="shared" si="81"/>
        <v>33200</v>
      </c>
      <c r="I2230" s="74"/>
      <c r="J2230" s="74"/>
      <c r="K2230" s="74"/>
      <c r="L2230" s="74"/>
      <c r="M2230" s="74"/>
      <c r="O2230" s="304">
        <f t="shared" si="82"/>
        <v>3.3627361869670619E-3</v>
      </c>
      <c r="P2230" s="259"/>
      <c r="R2230" s="259"/>
    </row>
    <row r="2231" spans="1:18" ht="15" customHeight="1" x14ac:dyDescent="0.2">
      <c r="A2231" s="249" t="s">
        <v>387</v>
      </c>
      <c r="B2231" s="147" t="s">
        <v>387</v>
      </c>
      <c r="C2231" s="279">
        <v>54110</v>
      </c>
      <c r="D2231" s="73" t="s">
        <v>20</v>
      </c>
      <c r="E2231" s="74">
        <f>E21+E77+E163+E240+E299+E339+E380+E417+E455+E492+E532+E574+E611+E651+E693+E744+E795+E1154+E1275+E1318+E1360+E1412+E1455+E1492+E1568+E1696+E1856+E1930++E1998+E2039</f>
        <v>0</v>
      </c>
      <c r="F2231" s="74">
        <f>F21+F77+F163+F240+F299+F339+F380+F417+F455+F492+F532+F574+F611+F651+F693+F744+F795+F1154+F1275+F1318+F1360+F1412+F1455+F1492+F1568+F1696+F1856+F1930++F1998+F2039</f>
        <v>0</v>
      </c>
      <c r="G2231" s="74">
        <f>G21+G77+G163+G240+G299+G339+G380+G417+G455+G492+G532+G574+G611+G651+G693+G744+G795+G1154+G1275+G1318+G1360+G1412+G1455+G1492+G1568+G1696+G1856+G1930++G1998+G2039+G1613</f>
        <v>147700</v>
      </c>
      <c r="H2231" s="76">
        <f t="shared" si="81"/>
        <v>147700</v>
      </c>
      <c r="I2231" s="74"/>
      <c r="J2231" s="74"/>
      <c r="K2231" s="74"/>
      <c r="L2231" s="74"/>
      <c r="M2231" s="74"/>
      <c r="O2231" s="304">
        <f t="shared" si="82"/>
        <v>1.4960124542621538E-2</v>
      </c>
      <c r="P2231" s="259"/>
      <c r="R2231" s="259"/>
    </row>
    <row r="2232" spans="1:18" ht="15" customHeight="1" x14ac:dyDescent="0.2">
      <c r="A2232" s="249" t="s">
        <v>387</v>
      </c>
      <c r="B2232" s="147" t="s">
        <v>387</v>
      </c>
      <c r="C2232" s="279">
        <v>54111</v>
      </c>
      <c r="D2232" s="62" t="s">
        <v>48</v>
      </c>
      <c r="E2232" s="74">
        <f>+E2078+E2040+E1999+E1931+E1892+E1857+E1811+E1735+E1697+E1656+E1614+E1569+E1531+E1493+E1456+E1413+E1361+E1319+E1276+E1238+E1199+E1115+E1076+E1042+E1012+E973+E935+E833+E796+E745+E694+E300+E241+E205+E164+E124+E78+E22</f>
        <v>0</v>
      </c>
      <c r="F2232" s="74">
        <f>+F2078+F2040+F1999+F1931+F1892+F1857+F1811+F1735+F1697+F1656+F1614+F1569+F1531+F1493+F1456+F1413+F1361+F1319+F1276+F1238+F1199+F1115+F1076+F1042+F1012+F973+F935+F833+F796+F745+F694+F300+F241+F205+F164+F124+F78+F22</f>
        <v>0</v>
      </c>
      <c r="G2232" s="74">
        <f>+G2078+G2040+G1999+G1931+G1892+G1857+G1811+G1735+G1697+G1656+G1614+G1569+G1531+G1493+G1456+G1413+G1361+G1319+G1276+G1238+G1199+G1115+G1076+G1042+G1012+G973+G935+G833+G796+G745+G694+G300+G241+G205+G164+G124+G78+G22+G533+G1155+G493+G649+G1964+G340</f>
        <v>55610</v>
      </c>
      <c r="H2232" s="76">
        <f t="shared" si="81"/>
        <v>55610</v>
      </c>
      <c r="I2232" s="74"/>
      <c r="J2232" s="74"/>
      <c r="K2232" s="74"/>
      <c r="L2232" s="74"/>
      <c r="M2232" s="74"/>
      <c r="O2232" s="304">
        <f t="shared" si="82"/>
        <v>5.6325831131698294E-3</v>
      </c>
      <c r="P2232" s="259"/>
      <c r="R2232" s="259"/>
    </row>
    <row r="2233" spans="1:18" ht="15" customHeight="1" x14ac:dyDescent="0.2">
      <c r="A2233" s="249" t="s">
        <v>387</v>
      </c>
      <c r="B2233" s="147" t="s">
        <v>387</v>
      </c>
      <c r="C2233" s="279">
        <v>54112</v>
      </c>
      <c r="D2233" s="62" t="s">
        <v>39</v>
      </c>
      <c r="E2233" s="74">
        <f>+E2079+E2041+E2000+E1932+E1893+E1858+E1812+E1736+E1698+E1657+E1615+E1570+E1532+E1494+E1457+E1414+E1362+E1320+E1277+E1239+E1200+E1116+E1077+E1043+E1013+E974+E936+E899+E866+E834+E797+E746+E695+E301+E242+E206+E165+E125+E79+E23</f>
        <v>0</v>
      </c>
      <c r="F2233" s="74">
        <f>+F2079+F2041+F2000+F1932+F1893+F1858+F1812+F1736+F1698+F1657+F1615+F1570+F1532+F1494+F1457+F1414+F1362+F1320+F1277+F1239+F1200+F1116+F1077+F1043+F1013+F974+F936+F899+F866+F834+F797+F746+F695+F301+F242+F206+F165+F125+F79+F23</f>
        <v>0</v>
      </c>
      <c r="G2233" s="74">
        <f>+G2079+G2041+G2000+G1932+G1893+G1858+G1812+G1736+G1698+G1657+G1615+G1570+G1532+G1494+G1457+G1414+G1362+G1320+G1277+G1239+G1200+G1116+G1077+G1043+G1013+G974+G936+G899+G866+G834+G797+G746+G695+G301+G242+G206+G165+G125+G79+G23+G534+G1156+G494+G650+G1965+G341</f>
        <v>50965</v>
      </c>
      <c r="H2233" s="76">
        <f t="shared" si="81"/>
        <v>50965</v>
      </c>
      <c r="I2233" s="138"/>
      <c r="J2233" s="138"/>
      <c r="K2233" s="138"/>
      <c r="L2233" s="138"/>
      <c r="M2233" s="138"/>
      <c r="O2233" s="304">
        <f t="shared" si="82"/>
        <v>5.1621039086980815E-3</v>
      </c>
      <c r="P2233" s="259"/>
      <c r="R2233" s="259"/>
    </row>
    <row r="2234" spans="1:18" ht="15" customHeight="1" x14ac:dyDescent="0.2">
      <c r="A2234" s="249" t="s">
        <v>387</v>
      </c>
      <c r="B2234" s="147" t="s">
        <v>387</v>
      </c>
      <c r="C2234" s="279">
        <v>54113</v>
      </c>
      <c r="D2234" s="62" t="s">
        <v>195</v>
      </c>
      <c r="E2234" s="74">
        <f>E302+E696+E900+E1321+E1571+E1737+E2001+E2042</f>
        <v>0</v>
      </c>
      <c r="F2234" s="74">
        <f>F302+F696+F900+F1321+F1571+F1737+F2001+F2042</f>
        <v>0</v>
      </c>
      <c r="G2234" s="74">
        <f>G302+G696+G900+G1321+G1571+G1737+G2001+G2042+G1157+G342</f>
        <v>17800</v>
      </c>
      <c r="H2234" s="76">
        <f t="shared" si="81"/>
        <v>17800</v>
      </c>
      <c r="I2234" s="74"/>
      <c r="J2234" s="74"/>
      <c r="K2234" s="74"/>
      <c r="L2234" s="74"/>
      <c r="M2234" s="74"/>
      <c r="O2234" s="304">
        <f t="shared" si="82"/>
        <v>1.8029127749401718E-3</v>
      </c>
      <c r="P2234" s="259"/>
      <c r="R2234" s="259"/>
    </row>
    <row r="2235" spans="1:18" ht="15" customHeight="1" x14ac:dyDescent="0.2">
      <c r="A2235" s="249" t="s">
        <v>387</v>
      </c>
      <c r="B2235" s="147" t="s">
        <v>387</v>
      </c>
      <c r="C2235" s="279">
        <v>54114</v>
      </c>
      <c r="D2235" s="73" t="s">
        <v>5</v>
      </c>
      <c r="E2235" s="74">
        <f>E24+E80+E126+E166+E207+E243+E303+E343+E697+E747+E798+E835+E867+E901+E937+E975+E1014+E1044+E1078+E1117+E1158+E1201+E1240+E1278+E1322+E1363+E1415+E1458+E1495+E1533+E1572+E1616+E1658+E1699+E1738+E1771+E1813+E1859+E1894+E1933+E1966+E2002+E2043+E2080+E381+E418+E456+E495+E535+E575+E612+E652</f>
        <v>0</v>
      </c>
      <c r="F2235" s="74">
        <f>F24+F80+F126+F166+F207+F243+F303+F343+F697+F747+F798+F835+F867+F901+F937+F975+F1014+F1044+F1078+F1117+F1158+F1201+F1240+F1278+F1322+F1363+F1415+F1458+F1495+F1533+F1572+F1616+F1658+F1699+F1738+F1771+F1813+F1859+F1894+F1933+F1966+F2002+F2043+F2080+F381+F418+F456+F495+F535+F575+F612+F652</f>
        <v>0</v>
      </c>
      <c r="G2235" s="74">
        <f>G24+G80+G126+G166+G207+G243+G303+G343+G697+G747+G798+G835+G867+G901+G937+G975+G1014+G1044+G1078+G1117+G1158+G1201+G1240+G1278+G1322+G1363+G1415+G1458+G1495+G1533+G1572+G1616+G1658+G1699+G1738+G1771+G1813+G1859+G1894+G1933+G1966+G2002+G2043+G2080+G381+G418+G456+G495+G535+G575+G612+G652</f>
        <v>31190</v>
      </c>
      <c r="H2235" s="76">
        <f>E2235+F2235+G2235</f>
        <v>31190</v>
      </c>
      <c r="I2235" s="74"/>
      <c r="J2235" s="74"/>
      <c r="K2235" s="74"/>
      <c r="L2235" s="74"/>
      <c r="M2235" s="74"/>
      <c r="O2235" s="304">
        <f t="shared" si="82"/>
        <v>3.1591488455271887E-3</v>
      </c>
      <c r="P2235" s="259"/>
      <c r="R2235" s="259"/>
    </row>
    <row r="2236" spans="1:18" ht="15" customHeight="1" x14ac:dyDescent="0.2">
      <c r="A2236" s="249" t="s">
        <v>387</v>
      </c>
      <c r="B2236" s="147" t="s">
        <v>387</v>
      </c>
      <c r="C2236" s="279">
        <v>54115</v>
      </c>
      <c r="D2236" s="73" t="s">
        <v>49</v>
      </c>
      <c r="E2236" s="74">
        <f>E25+E81+E127+E167+E208+E244+E304+E344+E382+E419+E457+E496+E536+E576+E613+E653+E698+E748+E799+E836+E868+E902+E938+E976+E1015+E1045+E1079+E1118+E1159+E1202+E1241+E1279+E1323+E1364+E1416+E1459+E1496+E1534+E1573+E1617+E1659+E1700+E1739+E1772+E1814+E1860+E1895+E1934+E1967+E2003+E2044+E2081</f>
        <v>0</v>
      </c>
      <c r="F2236" s="74">
        <f>F25+F81+F127+F167+F208+F244+F304+F344+F382+F419+F457+F496+F536+F576+F613+F653+F698+F748+F799+F836+F868+F902+F938+F976+F1015+F1045+F1079+F1118+F1159+F1202+F1241+F1279+F1323+F1364+F1416+F1459+F1496+F1534+F1573+F1617+F1659+F1700+F1739+F1772+F1814+F1860+F1895+F1934+F1967+F2003+F2044+F2081</f>
        <v>0</v>
      </c>
      <c r="G2236" s="74">
        <f>G25+G81+G127+G167+G208+G244+G304+G344+G382+G419+G457+G496+G536+G576+G613+G653+G698+G748+G799+G836+G868+G902+G938+G976+G1015+G1045+G1079+G1118+G1159+G1202+G1241+G1279+G1323+G1364+G1416+G1459+G1496+G1534+G1573+G1617+G1659+G1700+G1739+G1772+G1814+G1860+G1895+G1934+G1967+G2003+G2044+G2081</f>
        <v>44135</v>
      </c>
      <c r="H2236" s="76">
        <f t="shared" si="81"/>
        <v>44135</v>
      </c>
      <c r="I2236" s="74"/>
      <c r="J2236" s="74"/>
      <c r="K2236" s="74"/>
      <c r="L2236" s="74"/>
      <c r="M2236" s="74"/>
      <c r="O2236" s="304">
        <f t="shared" si="82"/>
        <v>4.4703120967407011E-3</v>
      </c>
      <c r="P2236" s="259"/>
      <c r="R2236" s="259"/>
    </row>
    <row r="2237" spans="1:18" ht="15" customHeight="1" x14ac:dyDescent="0.2">
      <c r="A2237" s="249" t="s">
        <v>387</v>
      </c>
      <c r="B2237" s="147" t="s">
        <v>387</v>
      </c>
      <c r="C2237" s="279">
        <v>54116</v>
      </c>
      <c r="D2237" s="62" t="s">
        <v>167</v>
      </c>
      <c r="E2237" s="74">
        <f>E82+E168+E209+E245+E305+E345+E383+E420+E458+E497+E537+E577+E614+E654+E699+E749+E939+E977+E1046+E1080+E1119+E1160+E1203+E1242+E1280+E1365+E1417+E1497+E1535+E1574+E1618+E1701+E1773+E1815+E1861+E1896+E2004+E2045</f>
        <v>0</v>
      </c>
      <c r="F2237" s="74">
        <f>F82+F168+F209+F245+F305+F345+F383+F420+F458+F497+F537+F577+F614+F654+F699+F749+F939+F977+F1046+F1080+F1119+F1160+F1203+F1242+F1280+F1365+F1417+F1497+F1535+F1574+F1618+F1701+F1773+F1815+F1861+F1896+F2004+F2045</f>
        <v>0</v>
      </c>
      <c r="G2237" s="74">
        <f>G82+G168+G209+G245+G305+G345+G383+G420+G458+G497+G537+G577+G614+G654+G699+G749+G939+G977+G1046+G1080+G1119+G1160+G1203+G1242+G1280+G1365+G1417+G1497+G1535+G1574+G1618+G1701+G1773+G1815+G1861+G1896+G2004+G2045+G128</f>
        <v>13800</v>
      </c>
      <c r="H2237" s="76">
        <f t="shared" si="81"/>
        <v>13800</v>
      </c>
      <c r="I2237" s="74"/>
      <c r="J2237" s="74"/>
      <c r="K2237" s="74"/>
      <c r="L2237" s="74"/>
      <c r="M2237" s="74"/>
      <c r="O2237" s="304">
        <f t="shared" si="82"/>
        <v>1.3977638367513691E-3</v>
      </c>
      <c r="P2237" s="259"/>
      <c r="R2237" s="259"/>
    </row>
    <row r="2238" spans="1:18" ht="15" customHeight="1" x14ac:dyDescent="0.2">
      <c r="A2238" s="249" t="s">
        <v>387</v>
      </c>
      <c r="B2238" s="147" t="s">
        <v>387</v>
      </c>
      <c r="C2238" s="279">
        <v>54117</v>
      </c>
      <c r="D2238" s="73" t="s">
        <v>186</v>
      </c>
      <c r="E2238" s="74">
        <f>+E1460</f>
        <v>0</v>
      </c>
      <c r="F2238" s="74">
        <f>+F1460</f>
        <v>0</v>
      </c>
      <c r="G2238" s="74">
        <f>+G1460</f>
        <v>8000</v>
      </c>
      <c r="H2238" s="76">
        <f t="shared" si="81"/>
        <v>8000</v>
      </c>
      <c r="I2238" s="74"/>
      <c r="J2238" s="74"/>
      <c r="K2238" s="74"/>
      <c r="L2238" s="74"/>
      <c r="M2238" s="74"/>
      <c r="O2238" s="304">
        <f t="shared" si="82"/>
        <v>8.1029787637760533E-4</v>
      </c>
      <c r="P2238" s="259"/>
      <c r="R2238" s="259"/>
    </row>
    <row r="2239" spans="1:18" ht="15" customHeight="1" x14ac:dyDescent="0.2">
      <c r="A2239" s="249" t="s">
        <v>387</v>
      </c>
      <c r="B2239" s="147" t="s">
        <v>387</v>
      </c>
      <c r="C2239" s="279">
        <v>54118</v>
      </c>
      <c r="D2239" s="62" t="s">
        <v>35</v>
      </c>
      <c r="E2239" s="74">
        <f>E26+E83+E129+E169+E246+E306+E346+E384+E421+E459+E498+E538+E578+E615+E655+E700+E750+E800+E903+E1016+E1047+E1081+E1120+E1204+E1281+E1324+E1366+E1418+E1461+E1575+E1660+E1702+E1740+E1935+E2005+E2046+E2082</f>
        <v>0</v>
      </c>
      <c r="F2239" s="74">
        <f>F26+F83+F129+F169+F246+F306+F346+F384+F421+F459+F498+F538+F578+F615+F655+F700+F750+F800+F903+F1016+F1047+F1081+F1120+F1204+F1281+F1324+F1366+F1418+F1461+F1575+F1660+F1702+F1740+F1935+F2005+F2046+F2082</f>
        <v>0</v>
      </c>
      <c r="G2239" s="74">
        <f>G26+G83+G129+G169+G246+G306+G346+G384+G421+G459+G498+G538+G578+G615+G655+G700+G750+G800+G903+G1016+G1047+G1081+G1120+G1204+G1281+G1324+G1366+G1418+G1461+G1575+G1660+G1702+G1740+G1935+G2005+G2046+G2082+G1161</f>
        <v>43550</v>
      </c>
      <c r="H2239" s="76">
        <f t="shared" si="81"/>
        <v>43550</v>
      </c>
      <c r="I2239" s="74"/>
      <c r="J2239" s="74"/>
      <c r="K2239" s="74"/>
      <c r="L2239" s="74"/>
      <c r="M2239" s="74"/>
      <c r="O2239" s="304">
        <f t="shared" si="82"/>
        <v>4.4110590645305894E-3</v>
      </c>
      <c r="P2239" s="259"/>
      <c r="R2239" s="259"/>
    </row>
    <row r="2240" spans="1:18" ht="15" customHeight="1" x14ac:dyDescent="0.2">
      <c r="A2240" s="249" t="s">
        <v>387</v>
      </c>
      <c r="B2240" s="147" t="s">
        <v>387</v>
      </c>
      <c r="C2240" s="279">
        <v>54119</v>
      </c>
      <c r="D2240" s="73" t="s">
        <v>6</v>
      </c>
      <c r="E2240" s="74">
        <f>E27+E84+E130+E170+E210+E247+E307+E347+E385+E422+E460+E499+E539+E579+E616+E656+E701+E751+E801+E837+E869+E904+E940+E978+E1017+E1048+E1082+E1121+E1162+E1205+E1243+E1282+E1325+E1367+E1419+E1462+E1498+E1536+E1576+E1619+E1661+E1703+E1741+E1774+E1816+E1862+E1897+E1936+E1968+E2006+E2047+E2083</f>
        <v>0</v>
      </c>
      <c r="F2240" s="74">
        <f>F27+F84+F130+F170+F210+F247+F307+F347+F385+F422+F460+F499+F539+F579+F616+F656+F701+F751+F801+F837+F869+F904+F940+F978+F1017+F1048+F1082+F1121+F1162+F1205+F1243+F1282+F1325+F1367+F1419+F1462+F1498+F1536+F1576+F1619+F1661+F1703+F1741+F1774+F1816+F1862+F1897+F1936+F1968+F2006+F2047+F2083</f>
        <v>0</v>
      </c>
      <c r="G2240" s="74">
        <f>G27+G84+G130+G170+G210+G247+G307+G347+G385+G422+G460+G499+G539+G579+G616+G656+G701+G751+G801+G837+G869+G904+G940+G978+G1017+G1048+G1082+G1121+G1162+G1205+G1243+G1282+G1325+G1367+G1419+G1462+G1498+G1536+G1576+G1619+G1661+G1703+G1741+G1774+G1816+G1862+G1897+G1936+G1968+G2006+G2047+G2083</f>
        <v>46110</v>
      </c>
      <c r="H2240" s="76">
        <f t="shared" si="81"/>
        <v>46110</v>
      </c>
      <c r="I2240" s="74"/>
      <c r="J2240" s="74"/>
      <c r="K2240" s="74"/>
      <c r="L2240" s="74"/>
      <c r="M2240" s="74"/>
      <c r="O2240" s="304">
        <f t="shared" si="82"/>
        <v>4.6703543849714226E-3</v>
      </c>
      <c r="P2240" s="259"/>
      <c r="R2240" s="259"/>
    </row>
    <row r="2241" spans="1:18" ht="15" customHeight="1" x14ac:dyDescent="0.2">
      <c r="A2241" s="249" t="s">
        <v>387</v>
      </c>
      <c r="B2241" s="147" t="s">
        <v>387</v>
      </c>
      <c r="C2241" s="279">
        <v>54121</v>
      </c>
      <c r="D2241" s="62" t="s">
        <v>136</v>
      </c>
      <c r="E2241" s="74">
        <f>E941+E1206</f>
        <v>46000</v>
      </c>
      <c r="F2241" s="74">
        <f>F941+F1206</f>
        <v>0</v>
      </c>
      <c r="G2241" s="74">
        <f>G941+G1206</f>
        <v>300</v>
      </c>
      <c r="H2241" s="76">
        <f t="shared" si="81"/>
        <v>46300</v>
      </c>
      <c r="I2241" s="74"/>
      <c r="J2241" s="74"/>
      <c r="K2241" s="74"/>
      <c r="L2241" s="74"/>
      <c r="M2241" s="74"/>
      <c r="O2241" s="304">
        <f t="shared" si="82"/>
        <v>4.6895989595353909E-3</v>
      </c>
      <c r="P2241" s="259"/>
      <c r="R2241" s="259"/>
    </row>
    <row r="2242" spans="1:18" ht="15" customHeight="1" x14ac:dyDescent="0.2">
      <c r="A2242" s="249" t="s">
        <v>387</v>
      </c>
      <c r="B2242" s="147" t="s">
        <v>387</v>
      </c>
      <c r="C2242" s="279">
        <v>54199</v>
      </c>
      <c r="D2242" s="62" t="s">
        <v>26</v>
      </c>
      <c r="E2242" s="74">
        <f>E28+E85+E171+E211+E248+E308+E348+E386+E423+E461+E500+E540+E580+E617+E657+E702+E752+E838+E870+E905+E942+E979+E1019+E1049+E1083+E1122+E1163+E1283+E1326+E1368+E1463+E1499+E1537+E1577+E1620+E1704+E1775+E1817+E1863+E1898+E1969+E2007+E2048+E2084</f>
        <v>0</v>
      </c>
      <c r="F2242" s="74">
        <f>F28+F85+F171+F211+F248+F308+F348+F386+F423+F461+F500+F540+F580+F617+F657+F702+F752+F838+F870+F905+F942+F979+F1019+F1049+F1083+F1122+F1163+F1283+F1326+F1368+F1463+F1499+F1537+F1577+F1620+F1704+F1775+F1817+F1863+F1898+F1969+F2007+F2048+F2084</f>
        <v>0</v>
      </c>
      <c r="G2242" s="74">
        <f>G28+G85+G171+G211+G248+G277+G308+G348+G386+G423+G461+G500+G540+G580+G617+G657+G702+G752+G838+G870+G905+G942+G979+G1019+G1049+G1083+G1122+G1163+G1283+G1326+G1368+G1463+G1499+G1537+G1577+G1620+G1704+G1775+G1817+G1863+G1898+G1969+G2007+G2048+G2084+G1420</f>
        <v>27370</v>
      </c>
      <c r="H2242" s="76">
        <f t="shared" si="81"/>
        <v>27370</v>
      </c>
      <c r="I2242" s="74"/>
      <c r="J2242" s="74"/>
      <c r="K2242" s="74"/>
      <c r="L2242" s="74"/>
      <c r="M2242" s="74"/>
      <c r="O2242" s="304">
        <f t="shared" si="82"/>
        <v>2.7722316095568824E-3</v>
      </c>
      <c r="P2242" s="259"/>
      <c r="R2242" s="259"/>
    </row>
    <row r="2243" spans="1:18" ht="15" customHeight="1" x14ac:dyDescent="0.2">
      <c r="A2243" s="249" t="s">
        <v>387</v>
      </c>
      <c r="B2243" s="147" t="s">
        <v>387</v>
      </c>
      <c r="C2243" s="302">
        <v>542</v>
      </c>
      <c r="D2243" s="307" t="s">
        <v>121</v>
      </c>
      <c r="E2243" s="138">
        <f>SUM(E2244:E2248)</f>
        <v>436900</v>
      </c>
      <c r="F2243" s="138">
        <f>SUM(F2244:F2248)</f>
        <v>0</v>
      </c>
      <c r="G2243" s="138">
        <f>SUM(G2244:G2248)</f>
        <v>235100</v>
      </c>
      <c r="H2243" s="138">
        <f>SUM(H2244:H2248)</f>
        <v>672000</v>
      </c>
      <c r="I2243" s="74"/>
      <c r="J2243" s="74"/>
      <c r="K2243" s="74"/>
      <c r="L2243" s="74"/>
      <c r="M2243" s="74"/>
      <c r="O2243" s="304"/>
    </row>
    <row r="2244" spans="1:18" ht="15" customHeight="1" x14ac:dyDescent="0.2">
      <c r="A2244" s="249" t="s">
        <v>387</v>
      </c>
      <c r="B2244" s="147" t="s">
        <v>387</v>
      </c>
      <c r="C2244" s="279">
        <v>54201</v>
      </c>
      <c r="D2244" s="73" t="s">
        <v>21</v>
      </c>
      <c r="E2244" s="74">
        <f>E172+E349+E387+E424+E462+E501+E541+E581+E618+E658+E753+E1284+E1369+E1500+E1776+E1818+E2008+E2049+E2085</f>
        <v>50000</v>
      </c>
      <c r="F2244" s="74">
        <f>F172+F349+F387+F424+F462+F501+F541+F581+F618+F658+F753+F1284+F1369+F1500+F1776+F1818+F2008+F2049+F2085</f>
        <v>0</v>
      </c>
      <c r="G2244" s="74">
        <f>G172+G349+G387+G424+G462+G501+G541+G581+G618+G658+G753+G1284+G1369+G1500+G1776+G1818+G2008+G2049+G2085</f>
        <v>85200</v>
      </c>
      <c r="H2244" s="76">
        <f t="shared" si="81"/>
        <v>135200</v>
      </c>
      <c r="I2244" s="74"/>
      <c r="J2244" s="74"/>
      <c r="K2244" s="74"/>
      <c r="L2244" s="74"/>
      <c r="M2244" s="74"/>
      <c r="O2244" s="304">
        <f>H2244/$G$2322</f>
        <v>1.3694034110781531E-2</v>
      </c>
      <c r="P2244" s="259"/>
    </row>
    <row r="2245" spans="1:18" ht="15" customHeight="1" x14ac:dyDescent="0.2">
      <c r="A2245" s="249" t="s">
        <v>387</v>
      </c>
      <c r="B2245" s="147" t="s">
        <v>387</v>
      </c>
      <c r="C2245" s="279">
        <v>54202</v>
      </c>
      <c r="D2245" s="73" t="s">
        <v>27</v>
      </c>
      <c r="E2245" s="76">
        <f>E173+E309+E350+E388+E425+E463+E502+E542+E582+E619+E659+E754+E1285+E1370+E1501+E1777+E1819+E2009+E2050+E2086</f>
        <v>20500</v>
      </c>
      <c r="F2245" s="76">
        <f>F173+F309+F350+F388+F425+F463+F502+F542+F582+F619+F659+F754+F1285+F1370+F1501+F1777+F1819+F2009+F2050+F2086</f>
        <v>0</v>
      </c>
      <c r="G2245" s="76">
        <f>G173+G309+G350+G388+G425+G463+G502+G542+G582+G619+G659+G754+G1285+G1370+G1501+G1777+G1819+G2009+G2050+G2086</f>
        <v>64700</v>
      </c>
      <c r="H2245" s="76">
        <f t="shared" si="81"/>
        <v>85200</v>
      </c>
      <c r="I2245" s="74"/>
      <c r="J2245" s="74"/>
      <c r="K2245" s="74"/>
      <c r="L2245" s="74"/>
      <c r="M2245" s="74"/>
      <c r="O2245" s="304">
        <f>H2245/$G$2322</f>
        <v>8.6296723834214974E-3</v>
      </c>
      <c r="P2245" s="259"/>
    </row>
    <row r="2246" spans="1:18" ht="15" customHeight="1" x14ac:dyDescent="0.2">
      <c r="A2246" s="249" t="s">
        <v>387</v>
      </c>
      <c r="B2246" s="147" t="s">
        <v>387</v>
      </c>
      <c r="C2246" s="279">
        <v>54203</v>
      </c>
      <c r="D2246" s="62" t="s">
        <v>7</v>
      </c>
      <c r="E2246" s="76">
        <f>E29+E86+E174+E351+E389+E426+E464+E503+E543+E583+E620+E660+E755+E1286+E1371+E1464+E1502+E1778+E1820+E2010+E2051+E2087</f>
        <v>15600</v>
      </c>
      <c r="F2246" s="76">
        <f>F29+F86+F174+F351+F389+F426+F464+F503+F543+F583+F620+F660+F755+F1286+F1371+F1464+F1502+F1778+F1820+F2010+F2051+F2087</f>
        <v>0</v>
      </c>
      <c r="G2246" s="76">
        <f>G29+G86+G174+G351+G389+G426+G464+G503+G543+G583+G620+G660+G755+G1286+G1371+G1464+G1502+G1778+G1820+G2010+G2051+G2087</f>
        <v>24100</v>
      </c>
      <c r="H2246" s="76">
        <f t="shared" si="81"/>
        <v>39700</v>
      </c>
      <c r="I2246" s="74"/>
      <c r="J2246" s="74"/>
      <c r="K2246" s="74"/>
      <c r="L2246" s="74"/>
      <c r="M2246" s="74"/>
      <c r="O2246" s="304">
        <f>H2246/$G$2322</f>
        <v>4.0211032115238668E-3</v>
      </c>
      <c r="P2246" s="259"/>
    </row>
    <row r="2247" spans="1:18" ht="15" customHeight="1" x14ac:dyDescent="0.2">
      <c r="A2247" s="249" t="s">
        <v>387</v>
      </c>
      <c r="B2247" s="147" t="s">
        <v>387</v>
      </c>
      <c r="C2247" s="279">
        <v>54204</v>
      </c>
      <c r="D2247" s="62" t="s">
        <v>32</v>
      </c>
      <c r="E2247" s="76">
        <f>+E2088+E1208+E87+E30</f>
        <v>800</v>
      </c>
      <c r="F2247" s="76">
        <f>+F2088+F1208+F87+F30</f>
        <v>0</v>
      </c>
      <c r="G2247" s="76">
        <f>+G2088+G1208+G87+G30</f>
        <v>1100</v>
      </c>
      <c r="H2247" s="76">
        <f t="shared" si="81"/>
        <v>1900</v>
      </c>
      <c r="I2247" s="74"/>
      <c r="J2247" s="74"/>
      <c r="K2247" s="74"/>
      <c r="L2247" s="74"/>
      <c r="M2247" s="74"/>
      <c r="O2247" s="304">
        <f>H2247/$G$2322</f>
        <v>1.9244574563968126E-4</v>
      </c>
      <c r="P2247" s="259"/>
    </row>
    <row r="2248" spans="1:18" ht="15" customHeight="1" x14ac:dyDescent="0.2">
      <c r="A2248" s="249" t="s">
        <v>387</v>
      </c>
      <c r="B2248" s="147" t="s">
        <v>387</v>
      </c>
      <c r="C2248" s="279">
        <v>54205</v>
      </c>
      <c r="D2248" s="62" t="s">
        <v>138</v>
      </c>
      <c r="E2248" s="76">
        <f>+E2089+E1372+E756</f>
        <v>350000</v>
      </c>
      <c r="F2248" s="76">
        <f>+F2089+F1372+F756</f>
        <v>0</v>
      </c>
      <c r="G2248" s="76">
        <f>+G2089+G1372+G756</f>
        <v>60000</v>
      </c>
      <c r="H2248" s="76">
        <f t="shared" si="81"/>
        <v>410000</v>
      </c>
      <c r="I2248" s="74"/>
      <c r="J2248" s="74"/>
      <c r="K2248" s="74"/>
      <c r="L2248" s="74"/>
      <c r="M2248" s="74"/>
      <c r="O2248" s="304">
        <f>H2248/$G$2322</f>
        <v>4.1527766164352276E-2</v>
      </c>
      <c r="P2248" s="259"/>
    </row>
    <row r="2249" spans="1:18" ht="15" customHeight="1" x14ac:dyDescent="0.2">
      <c r="A2249" s="249" t="s">
        <v>387</v>
      </c>
      <c r="B2249" s="147" t="s">
        <v>387</v>
      </c>
      <c r="C2249" s="302">
        <v>543</v>
      </c>
      <c r="D2249" s="307" t="s">
        <v>122</v>
      </c>
      <c r="E2249" s="83">
        <f>SUM(E2250:E2261)</f>
        <v>0</v>
      </c>
      <c r="F2249" s="83">
        <f>SUM(F2250:F2261)</f>
        <v>0</v>
      </c>
      <c r="G2249" s="83">
        <f>SUM(G2250:G2261)</f>
        <v>1213345</v>
      </c>
      <c r="H2249" s="83">
        <f>SUM(H2250:H2261)</f>
        <v>1213345</v>
      </c>
      <c r="I2249" s="74"/>
      <c r="J2249" s="74"/>
      <c r="K2249" s="74"/>
      <c r="L2249" s="74"/>
      <c r="M2249" s="74"/>
      <c r="O2249" s="304"/>
    </row>
    <row r="2250" spans="1:18" ht="15" customHeight="1" x14ac:dyDescent="0.2">
      <c r="A2250" s="249" t="s">
        <v>387</v>
      </c>
      <c r="B2250" s="147" t="s">
        <v>387</v>
      </c>
      <c r="C2250" s="279">
        <v>54301</v>
      </c>
      <c r="D2250" s="62" t="s">
        <v>8</v>
      </c>
      <c r="E2250" s="76">
        <f>E31+E88+E131+E175+E212+E249+E310+E352+E390+E427+E465+E504+E544+E584+E621+E661+E703+E757+E802+E839+E871+E906+E943+E980+E1018+E1050+E1084+E1123+E1164+E1209+E1244+E1327+E1373+E1421+E1465+E1503+E1538+E1578+E1621+E1662+E1705+E1742+E1779+E1821+E1864+E1899+E1970+E2011+E2052+E2090</f>
        <v>0</v>
      </c>
      <c r="F2250" s="76">
        <f>F31+F88+F131+F175+F212+F249+F310+F352+F390+F427+F465+F504+F544+F584+F621+F661+F703+F757+F802+F839+F871+F906+F943+F980+F1018+F1050+F1084+F1123+F1164+F1209+F1244+F1327+F1373+F1421+F1465+F1503+F1538+F1578+F1621+F1662+F1705+F1742+F1779+F1821+F1864+F1899+F1970+F2011+F2052+F2090</f>
        <v>0</v>
      </c>
      <c r="G2250" s="76">
        <f>G31+G88+G131+G175+G212+G249+G310+G352+G390+G427+G465+G504+G544+G584+G621+G661+G703+G757+G802+G839+G871+G906+G943+G980+G1018+G1050+G1084+G1123+G1164+G1209+G1244+G1327+G1373+G1421+G1465+G1503+G1538+G1578+G1621+G1662+G1705+G1742+G1779+G1821+G1864+G1899+G1970+G2011+G2052+G2090</f>
        <v>28230</v>
      </c>
      <c r="H2250" s="76">
        <f t="shared" si="81"/>
        <v>28230</v>
      </c>
      <c r="I2250" s="74"/>
      <c r="J2250" s="74"/>
      <c r="K2250" s="74"/>
      <c r="L2250" s="74"/>
      <c r="M2250" s="74"/>
      <c r="N2250" s="259"/>
      <c r="O2250" s="304">
        <f t="shared" ref="O2250:O2261" si="84">H2250/$G$2322</f>
        <v>2.8593386312674748E-3</v>
      </c>
      <c r="P2250" s="259"/>
    </row>
    <row r="2251" spans="1:18" ht="15" customHeight="1" x14ac:dyDescent="0.2">
      <c r="A2251" s="249" t="s">
        <v>387</v>
      </c>
      <c r="B2251" s="147" t="s">
        <v>387</v>
      </c>
      <c r="C2251" s="279">
        <v>54302</v>
      </c>
      <c r="D2251" s="62" t="s">
        <v>22</v>
      </c>
      <c r="E2251" s="76">
        <f>E89+E176+E353+E391+E428+E466+E505+E546+E585+E622+E662+E704+E758+E803+E981+E1374+E1466+E1504</f>
        <v>0</v>
      </c>
      <c r="F2251" s="76">
        <f>F89+F176+F353+F391+F428+F466+F505+F546+F585+F622+F662+F704+F758+F803+F981+F1374+F1466+F1504</f>
        <v>0</v>
      </c>
      <c r="G2251" s="76">
        <f>G89+G176+G353+G391+G428+G466+G505+G546+G585+G622+G662+G704+G758+G803+G981+G1374+G1466+G1504+G2091+G1422</f>
        <v>30600</v>
      </c>
      <c r="H2251" s="76">
        <f t="shared" si="81"/>
        <v>30600</v>
      </c>
      <c r="I2251" s="74"/>
      <c r="J2251" s="74"/>
      <c r="K2251" s="74"/>
      <c r="L2251" s="74"/>
      <c r="M2251" s="74"/>
      <c r="O2251" s="304">
        <f t="shared" si="84"/>
        <v>3.0993893771443402E-3</v>
      </c>
      <c r="P2251" s="259"/>
    </row>
    <row r="2252" spans="1:18" ht="15" customHeight="1" x14ac:dyDescent="0.2">
      <c r="A2252" s="249" t="s">
        <v>387</v>
      </c>
      <c r="B2252" s="147" t="s">
        <v>387</v>
      </c>
      <c r="C2252" s="279">
        <v>54303</v>
      </c>
      <c r="D2252" s="62" t="s">
        <v>9</v>
      </c>
      <c r="E2252" s="76">
        <f>E213+E250+E705+E759+E1165+E1287+E1328+E1375+E1706+E1743+E1780+E1822</f>
        <v>0</v>
      </c>
      <c r="F2252" s="76">
        <f>F213+F250+F705+F759+F1165+F1287+F1328+F1375+F1706+F1743+F1780+F1822</f>
        <v>0</v>
      </c>
      <c r="G2252" s="76">
        <f>G90+G213+G250+G705+G759+G1165+G1287+G1328+G1375+G1706+G1743+G1780+G1822+G1865+G2012+G545</f>
        <v>22700</v>
      </c>
      <c r="H2252" s="76">
        <f t="shared" si="81"/>
        <v>22700</v>
      </c>
      <c r="I2252" s="74"/>
      <c r="J2252" s="74"/>
      <c r="K2252" s="74"/>
      <c r="L2252" s="74"/>
      <c r="M2252" s="74"/>
      <c r="N2252" s="259"/>
      <c r="O2252" s="304">
        <f t="shared" si="84"/>
        <v>2.299220224221455E-3</v>
      </c>
      <c r="P2252" s="259"/>
    </row>
    <row r="2253" spans="1:18" ht="15" customHeight="1" x14ac:dyDescent="0.2">
      <c r="A2253" s="249" t="s">
        <v>387</v>
      </c>
      <c r="B2253" s="147" t="s">
        <v>387</v>
      </c>
      <c r="C2253" s="279">
        <v>54304</v>
      </c>
      <c r="D2253" s="62" t="s">
        <v>248</v>
      </c>
      <c r="E2253" s="76">
        <f>E32+E760+E1376</f>
        <v>0</v>
      </c>
      <c r="F2253" s="76">
        <f>F32+F760+F1376</f>
        <v>0</v>
      </c>
      <c r="G2253" s="76">
        <f>+G1376+G760+G32+G1423</f>
        <v>31300</v>
      </c>
      <c r="H2253" s="76">
        <f t="shared" si="81"/>
        <v>31300</v>
      </c>
      <c r="I2253" s="74"/>
      <c r="J2253" s="74"/>
      <c r="K2253" s="74"/>
      <c r="L2253" s="74"/>
      <c r="M2253" s="74"/>
      <c r="O2253" s="304">
        <f t="shared" si="84"/>
        <v>3.170290441327381E-3</v>
      </c>
      <c r="P2253" s="259"/>
    </row>
    <row r="2254" spans="1:18" ht="15" customHeight="1" x14ac:dyDescent="0.2">
      <c r="A2254" s="249" t="s">
        <v>387</v>
      </c>
      <c r="B2254" s="147" t="s">
        <v>387</v>
      </c>
      <c r="C2254" s="279">
        <v>54305</v>
      </c>
      <c r="D2254" s="62" t="s">
        <v>33</v>
      </c>
      <c r="E2254" s="76">
        <f>E91+E761+E982+E1124+E1210+E1288+E1377+E1622+E1900</f>
        <v>0</v>
      </c>
      <c r="F2254" s="76">
        <f>F91+F761+F982+F1124+F1210+F1288+F1377+F1622+F1900</f>
        <v>0</v>
      </c>
      <c r="G2254" s="76">
        <f>+G1900+G1622+G1377+G1288+G1210+G1124+G982+G761+G706+G91</f>
        <v>16400</v>
      </c>
      <c r="H2254" s="76">
        <f t="shared" si="81"/>
        <v>16400</v>
      </c>
      <c r="I2254" s="74"/>
      <c r="J2254" s="74"/>
      <c r="K2254" s="74"/>
      <c r="L2254" s="74"/>
      <c r="M2254" s="74"/>
      <c r="O2254" s="304">
        <f t="shared" si="84"/>
        <v>1.6611106465740909E-3</v>
      </c>
      <c r="P2254" s="259"/>
    </row>
    <row r="2255" spans="1:18" ht="15" customHeight="1" x14ac:dyDescent="0.2">
      <c r="A2255" s="249" t="s">
        <v>387</v>
      </c>
      <c r="B2255" s="147" t="s">
        <v>387</v>
      </c>
      <c r="C2255" s="279">
        <v>54307</v>
      </c>
      <c r="D2255" s="62" t="s">
        <v>10</v>
      </c>
      <c r="E2255" s="76">
        <f>E92+E177+E214+E311+E354+E392+E429+E467+E506+E547+E586+E623+E663+E707+E762+E804+E840+E1051+E1085+E1125+E1211+E1289+E1329+E1378+E1505+E1823+E2013+E2053</f>
        <v>0</v>
      </c>
      <c r="F2255" s="76">
        <f>F92+F177+F214+F311+F354+F392+F429+F467+F506+F547+F586+F623+F663+F707+F762+F804+F840+F1051+F1085+F1125+F1211+F1289+F1329+F1378+F1505+F1823+F2013+F2053</f>
        <v>0</v>
      </c>
      <c r="G2255" s="76">
        <f>G92+G177+G214+G311+G354+G392+G429+G467+G506+G547+G586+G623+G663+G707+G762+G804+G840+G1051+G1085+G1125+G1211+G1289+G1329+G1378+G1505+G1823+G2013+G2053</f>
        <v>22800</v>
      </c>
      <c r="H2255" s="76">
        <f t="shared" si="81"/>
        <v>22800</v>
      </c>
      <c r="I2255" s="138"/>
      <c r="J2255" s="138"/>
      <c r="K2255" s="138"/>
      <c r="L2255" s="138"/>
      <c r="M2255" s="138"/>
      <c r="O2255" s="304">
        <f t="shared" si="84"/>
        <v>2.3093489476761751E-3</v>
      </c>
      <c r="P2255" s="259"/>
    </row>
    <row r="2256" spans="1:18" ht="15" customHeight="1" x14ac:dyDescent="0.2">
      <c r="A2256" s="249" t="s">
        <v>387</v>
      </c>
      <c r="B2256" s="147" t="s">
        <v>387</v>
      </c>
      <c r="C2256" s="279">
        <v>54310</v>
      </c>
      <c r="D2256" s="62" t="s">
        <v>390</v>
      </c>
      <c r="E2256" s="76">
        <f>E33+E251+E708+E1166+E1781+E1824+E1901+E1937</f>
        <v>0</v>
      </c>
      <c r="F2256" s="76">
        <f>F33+F251+F708+F1166+F1781+F1824+F1901+F1937</f>
        <v>0</v>
      </c>
      <c r="G2256" s="76">
        <f>G33+G251+G708+G1166+G1781+G1824+G1901+G1937</f>
        <v>3800</v>
      </c>
      <c r="H2256" s="76">
        <f t="shared" si="81"/>
        <v>3800</v>
      </c>
      <c r="I2256" s="76"/>
      <c r="J2256" s="76"/>
      <c r="K2256" s="76"/>
      <c r="L2256" s="76"/>
      <c r="M2256" s="76"/>
      <c r="O2256" s="304">
        <f t="shared" si="84"/>
        <v>3.8489149127936251E-4</v>
      </c>
      <c r="P2256" s="259"/>
    </row>
    <row r="2257" spans="1:16" ht="15" customHeight="1" x14ac:dyDescent="0.2">
      <c r="A2257" s="249" t="s">
        <v>387</v>
      </c>
      <c r="B2257" s="147" t="s">
        <v>387</v>
      </c>
      <c r="C2257" s="279">
        <v>54313</v>
      </c>
      <c r="D2257" s="62" t="s">
        <v>249</v>
      </c>
      <c r="E2257" s="76">
        <f>E34+E93+E252+E709+E763+E805+E872+E907+E983+E1052+E1086+E1126+E1167+E1212+E1245+E1290+E1330+E1379+E1424+E1539+E1579+E1623+E1707+E1782+E1825+E1866+E1971</f>
        <v>0</v>
      </c>
      <c r="F2257" s="76">
        <f>F34+F93+F252+F709+F763+F805+F872+F907+F983+F1052+F1086+F1126+F1167+F1212+F1245+F1290+F1330+F1379+F1424+F1539+F1579+F1623+F1707+F1782+F1825+F1866+F1971</f>
        <v>0</v>
      </c>
      <c r="G2257" s="76">
        <f>G34+G93+G252+G709+G763+G805+G872+G907+G944+G983+G1052+G1086+G1126+G1167+G1212+G1245+G1290+G1330+G1379+G1424+G1539+G1579+G1623+G1707+G1782+G1825+G1866+G1971+G2014</f>
        <v>28050</v>
      </c>
      <c r="H2257" s="76">
        <f t="shared" si="81"/>
        <v>28050</v>
      </c>
      <c r="I2257" s="76">
        <f t="shared" ref="I2257:N2257" si="85">I34+I93+I252+I709+I763+I805+I872+I907+I944+I983+I1052+I1086+I1126+I1167+I1212+I1245+I1290+I1330+I1379+I1424+I1539+I1579+I1623+I1707+I1782+I1825+I1866+I1971</f>
        <v>0</v>
      </c>
      <c r="J2257" s="76">
        <f t="shared" si="85"/>
        <v>0</v>
      </c>
      <c r="K2257" s="76">
        <f t="shared" si="85"/>
        <v>0</v>
      </c>
      <c r="L2257" s="76">
        <f t="shared" si="85"/>
        <v>0</v>
      </c>
      <c r="M2257" s="76">
        <f t="shared" si="85"/>
        <v>0</v>
      </c>
      <c r="N2257" s="76">
        <f t="shared" si="85"/>
        <v>0</v>
      </c>
      <c r="O2257" s="304">
        <f t="shared" si="84"/>
        <v>2.8411069290489787E-3</v>
      </c>
      <c r="P2257" s="259"/>
    </row>
    <row r="2258" spans="1:16" ht="15" customHeight="1" x14ac:dyDescent="0.2">
      <c r="A2258" s="249" t="s">
        <v>387</v>
      </c>
      <c r="B2258" s="147" t="s">
        <v>387</v>
      </c>
      <c r="C2258" s="279">
        <v>54314</v>
      </c>
      <c r="D2258" s="62" t="s">
        <v>12</v>
      </c>
      <c r="E2258" s="76">
        <f>E35+E94+E253+E710+E1168+E1291+E1744+E1783+E1826+E1902</f>
        <v>0</v>
      </c>
      <c r="F2258" s="76">
        <f>F35+F94+F253+F710+F1168+F1291+F1744+F1783+F1826+F1902</f>
        <v>0</v>
      </c>
      <c r="G2258" s="76">
        <f>+G1902+G1826+G1783+G1744+G1291+G1168+G710+G253+G94+G35+G1624+G1580</f>
        <v>174900</v>
      </c>
      <c r="H2258" s="76">
        <f t="shared" si="81"/>
        <v>174900</v>
      </c>
      <c r="I2258" s="76"/>
      <c r="J2258" s="76"/>
      <c r="K2258" s="76"/>
      <c r="L2258" s="76"/>
      <c r="M2258" s="76"/>
      <c r="O2258" s="304">
        <f t="shared" si="84"/>
        <v>1.7715137322305397E-2</v>
      </c>
      <c r="P2258" s="259"/>
    </row>
    <row r="2259" spans="1:16" ht="15" customHeight="1" x14ac:dyDescent="0.2">
      <c r="A2259" s="249" t="s">
        <v>387</v>
      </c>
      <c r="B2259" s="147" t="s">
        <v>387</v>
      </c>
      <c r="C2259" s="279">
        <v>54316</v>
      </c>
      <c r="D2259" s="62" t="s">
        <v>45</v>
      </c>
      <c r="E2259" s="76">
        <f>E36+E95+E132++E711+E764+E1169+E1380+E1467+E1867+E1903</f>
        <v>0</v>
      </c>
      <c r="F2259" s="76">
        <f>F36+F95+F132++F711+F764+F1169+F1380+F1467+F1867+F1903</f>
        <v>0</v>
      </c>
      <c r="G2259" s="76">
        <f>G36+G95+G132+G711+G764+G1169+G1380+G1467+G1867+G1903+G1625+G548</f>
        <v>507600</v>
      </c>
      <c r="H2259" s="76">
        <f t="shared" si="81"/>
        <v>507600</v>
      </c>
      <c r="I2259" s="76"/>
      <c r="J2259" s="76"/>
      <c r="K2259" s="76"/>
      <c r="L2259" s="76"/>
      <c r="M2259" s="76"/>
      <c r="O2259" s="304">
        <f t="shared" si="84"/>
        <v>5.1413400256159057E-2</v>
      </c>
      <c r="P2259" s="259"/>
    </row>
    <row r="2260" spans="1:16" ht="15" customHeight="1" x14ac:dyDescent="0.2">
      <c r="A2260" s="249" t="s">
        <v>387</v>
      </c>
      <c r="B2260" s="147" t="s">
        <v>387</v>
      </c>
      <c r="C2260" s="279">
        <v>54317</v>
      </c>
      <c r="D2260" s="62" t="s">
        <v>189</v>
      </c>
      <c r="E2260" s="76">
        <f>E37+E712+E1784</f>
        <v>0</v>
      </c>
      <c r="F2260" s="76">
        <f>F37+F712+F1784</f>
        <v>0</v>
      </c>
      <c r="G2260" s="76">
        <f>+G1784+G712+G37</f>
        <v>5000</v>
      </c>
      <c r="H2260" s="76">
        <f t="shared" si="81"/>
        <v>5000</v>
      </c>
      <c r="I2260" s="76"/>
      <c r="J2260" s="76"/>
      <c r="K2260" s="76"/>
      <c r="L2260" s="76"/>
      <c r="M2260" s="76"/>
      <c r="O2260" s="304">
        <f t="shared" si="84"/>
        <v>5.0643617273600332E-4</v>
      </c>
      <c r="P2260" s="259"/>
    </row>
    <row r="2261" spans="1:16" ht="15" customHeight="1" x14ac:dyDescent="0.2">
      <c r="A2261" s="249" t="s">
        <v>387</v>
      </c>
      <c r="B2261" s="147" t="s">
        <v>387</v>
      </c>
      <c r="C2261" s="279">
        <v>54399</v>
      </c>
      <c r="D2261" s="62" t="s">
        <v>153</v>
      </c>
      <c r="E2261" s="76">
        <f>E38+E178+E254+E312+E713+E765+E873+E908+E984+E1213+E1331+E1381+E1425+E1506+E1540+E1581+E1626+E1708+E1827+E1868+E1904+E1938+E2092</f>
        <v>0</v>
      </c>
      <c r="F2261" s="76">
        <f>F38+F178+F254+F312+F713+F765+F873+F908+F984+F1213+F1331+F1381+F1425+F1506+F1540+F1581+F1626+F1708+F1827+F1868+F1904+F1938+F2092</f>
        <v>0</v>
      </c>
      <c r="G2261" s="76">
        <f>G38+G96+G178+G254+G312+G713+G765+G873+G908+G984+G1127+G1213+G1331+G1381+G1425+G1506+G1540+G1581+G1626+G1663+G1708+G1827+G1868+G1904+G1938+G2092+G1170+G549</f>
        <v>341965</v>
      </c>
      <c r="H2261" s="76">
        <f t="shared" si="81"/>
        <v>341965</v>
      </c>
      <c r="I2261" s="83"/>
      <c r="J2261" s="83"/>
      <c r="K2261" s="83"/>
      <c r="L2261" s="83"/>
      <c r="M2261" s="83"/>
      <c r="O2261" s="304">
        <f t="shared" si="84"/>
        <v>3.4636689161933479E-2</v>
      </c>
      <c r="P2261" s="259"/>
    </row>
    <row r="2262" spans="1:16" ht="15" customHeight="1" x14ac:dyDescent="0.2">
      <c r="A2262" s="249" t="s">
        <v>387</v>
      </c>
      <c r="B2262" s="147" t="s">
        <v>387</v>
      </c>
      <c r="C2262" s="150">
        <v>544</v>
      </c>
      <c r="D2262" s="307" t="s">
        <v>123</v>
      </c>
      <c r="E2262" s="83">
        <f>SUM(E2263:E2266)</f>
        <v>0</v>
      </c>
      <c r="F2262" s="83">
        <f>SUM(F2263:F2266)</f>
        <v>0</v>
      </c>
      <c r="G2262" s="83">
        <f>SUM(G2263:G2266)</f>
        <v>43860</v>
      </c>
      <c r="H2262" s="83">
        <f>SUM(H2263:H2266)</f>
        <v>43860</v>
      </c>
      <c r="I2262" s="76"/>
      <c r="J2262" s="76"/>
      <c r="K2262" s="76"/>
      <c r="L2262" s="76"/>
      <c r="M2262" s="76"/>
      <c r="O2262" s="304"/>
    </row>
    <row r="2263" spans="1:16" ht="15" customHeight="1" x14ac:dyDescent="0.2">
      <c r="A2263" s="249" t="s">
        <v>387</v>
      </c>
      <c r="B2263" s="147" t="s">
        <v>387</v>
      </c>
      <c r="C2263" s="73">
        <v>54401</v>
      </c>
      <c r="D2263" s="62" t="s">
        <v>143</v>
      </c>
      <c r="E2263" s="76">
        <f>E97+E179+E215+E255+E313+E355+E393+E430+E468+E507+E550+E587+E624+E664+E714+E806+E841+E874+E909+E945+E985+E1053+E1087+E1128+E1171+E1246+E1426+E1507+E1541+E1582+E1664+E1785+E1828+E1905+E1939+E1972+E2015+E2054+E2093</f>
        <v>0</v>
      </c>
      <c r="F2263" s="76">
        <f>F97+F179+F215+F255+F313+F355+F393+F430+F468+F507+F550+F587+F624+F664+F714+F806+F841+F874+F909+F945+F985+F1053+F1087+F1128+F1171+F1246+F1426+F1507+F1541+F1582+F1664+F1785+F1828+F1905+F1939+F1972+F2015+F2054+F2093</f>
        <v>0</v>
      </c>
      <c r="G2263" s="76">
        <f>G97+G179+G215+G255+G313+G355+G393+G430+G468+G507+G550+G587+G624+G664+G714+G806+G841+G874+G909+G945+G985+G1053+G1087+G1128+G1171+G1246+G1426+G1507+G1541+G1582+G1664+G1785+G1828+G1905+G1939+G1972+G2015+G2054+G2093+G1207+G133</f>
        <v>12700</v>
      </c>
      <c r="H2263" s="76">
        <f t="shared" si="81"/>
        <v>12700</v>
      </c>
      <c r="I2263" s="76"/>
      <c r="J2263" s="76"/>
      <c r="K2263" s="76"/>
      <c r="L2263" s="76"/>
      <c r="M2263" s="76"/>
      <c r="O2263" s="304">
        <f>H2263/$G$2322</f>
        <v>1.2863478787494484E-3</v>
      </c>
      <c r="P2263" s="259"/>
    </row>
    <row r="2264" spans="1:16" ht="15" customHeight="1" x14ac:dyDescent="0.2">
      <c r="A2264" s="249" t="s">
        <v>387</v>
      </c>
      <c r="B2264" s="147" t="s">
        <v>387</v>
      </c>
      <c r="C2264" s="73">
        <v>54402</v>
      </c>
      <c r="D2264" s="62" t="s">
        <v>184</v>
      </c>
      <c r="E2264" s="76">
        <f>E39+E98+E1172</f>
        <v>0</v>
      </c>
      <c r="F2264" s="76">
        <f>F39+F98+F1172</f>
        <v>0</v>
      </c>
      <c r="G2264" s="76">
        <f>+G1172+G98+G39+G216+G256+G1627</f>
        <v>17160</v>
      </c>
      <c r="H2264" s="76">
        <f t="shared" si="81"/>
        <v>17160</v>
      </c>
      <c r="I2264" s="76"/>
      <c r="J2264" s="76"/>
      <c r="K2264" s="76"/>
      <c r="L2264" s="76"/>
      <c r="M2264" s="76"/>
      <c r="O2264" s="304">
        <f>H2264/$G$2322</f>
        <v>1.7380889448299634E-3</v>
      </c>
      <c r="P2264" s="259"/>
    </row>
    <row r="2265" spans="1:16" ht="15" customHeight="1" x14ac:dyDescent="0.2">
      <c r="A2265" s="249" t="s">
        <v>387</v>
      </c>
      <c r="B2265" s="147" t="s">
        <v>387</v>
      </c>
      <c r="C2265" s="73">
        <v>54403</v>
      </c>
      <c r="D2265" s="73" t="s">
        <v>455</v>
      </c>
      <c r="E2265" s="76">
        <f>E40</f>
        <v>0</v>
      </c>
      <c r="F2265" s="76">
        <f>F40</f>
        <v>0</v>
      </c>
      <c r="G2265" s="76">
        <f>+G40</f>
        <v>2000</v>
      </c>
      <c r="H2265" s="76">
        <f t="shared" si="81"/>
        <v>2000</v>
      </c>
      <c r="I2265" s="76"/>
      <c r="J2265" s="76"/>
      <c r="K2265" s="76"/>
      <c r="L2265" s="76"/>
      <c r="M2265" s="76"/>
      <c r="O2265" s="304">
        <f>H2265/$G$2322</f>
        <v>2.0257446909440133E-4</v>
      </c>
      <c r="P2265" s="259"/>
    </row>
    <row r="2266" spans="1:16" ht="15" customHeight="1" x14ac:dyDescent="0.2">
      <c r="A2266" s="249" t="s">
        <v>387</v>
      </c>
      <c r="B2266" s="147" t="s">
        <v>387</v>
      </c>
      <c r="C2266" s="73">
        <v>54404</v>
      </c>
      <c r="D2266" s="73" t="s">
        <v>133</v>
      </c>
      <c r="E2266" s="76">
        <f>E41</f>
        <v>0</v>
      </c>
      <c r="F2266" s="76">
        <f>F41</f>
        <v>0</v>
      </c>
      <c r="G2266" s="76">
        <f>+G41</f>
        <v>12000</v>
      </c>
      <c r="H2266" s="76">
        <f t="shared" si="81"/>
        <v>12000</v>
      </c>
      <c r="I2266" s="76"/>
      <c r="J2266" s="76"/>
      <c r="K2266" s="76"/>
      <c r="L2266" s="76"/>
      <c r="M2266" s="76"/>
      <c r="O2266" s="304">
        <f>H2266/$G$2322</f>
        <v>1.215446814566408E-3</v>
      </c>
      <c r="P2266" s="259"/>
    </row>
    <row r="2267" spans="1:16" ht="15" customHeight="1" x14ac:dyDescent="0.2">
      <c r="A2267" s="249" t="s">
        <v>387</v>
      </c>
      <c r="B2267" s="147" t="s">
        <v>387</v>
      </c>
      <c r="C2267" s="150">
        <v>545</v>
      </c>
      <c r="D2267" s="150" t="s">
        <v>154</v>
      </c>
      <c r="E2267" s="83">
        <f>SUM(E2268:E2273)</f>
        <v>0</v>
      </c>
      <c r="F2267" s="83">
        <f>SUM(F2268:F2273)</f>
        <v>0</v>
      </c>
      <c r="G2267" s="83">
        <f>SUM(G2268:G2273)</f>
        <v>93400</v>
      </c>
      <c r="H2267" s="83">
        <f>SUM(H2268:H2273)</f>
        <v>93400</v>
      </c>
      <c r="I2267" s="76"/>
      <c r="J2267" s="76"/>
      <c r="K2267" s="76"/>
      <c r="L2267" s="76"/>
      <c r="M2267" s="76"/>
      <c r="O2267" s="304"/>
    </row>
    <row r="2268" spans="1:16" ht="15" customHeight="1" x14ac:dyDescent="0.2">
      <c r="A2268" s="249" t="s">
        <v>387</v>
      </c>
      <c r="B2268" s="147" t="s">
        <v>387</v>
      </c>
      <c r="C2268" s="73">
        <v>54501</v>
      </c>
      <c r="D2268" s="73" t="s">
        <v>633</v>
      </c>
      <c r="E2268" s="76">
        <f>E1709</f>
        <v>0</v>
      </c>
      <c r="F2268" s="83">
        <f>F1709</f>
        <v>0</v>
      </c>
      <c r="G2268" s="76">
        <f>G1709</f>
        <v>100</v>
      </c>
      <c r="H2268" s="76">
        <f t="shared" ref="H2268:H2302" si="86">E2268+F2268+G2268</f>
        <v>100</v>
      </c>
      <c r="I2268" s="76"/>
      <c r="J2268" s="76"/>
      <c r="K2268" s="76"/>
      <c r="L2268" s="76"/>
      <c r="M2268" s="76"/>
      <c r="O2268" s="304">
        <f t="shared" ref="O2268:O2273" si="87">H2268/$G$2322</f>
        <v>1.0128723454720066E-5</v>
      </c>
    </row>
    <row r="2269" spans="1:16" ht="15" customHeight="1" x14ac:dyDescent="0.2">
      <c r="A2269" s="249" t="s">
        <v>387</v>
      </c>
      <c r="B2269" s="147" t="s">
        <v>387</v>
      </c>
      <c r="C2269" s="73">
        <v>54503</v>
      </c>
      <c r="D2269" s="73" t="s">
        <v>53</v>
      </c>
      <c r="E2269" s="76">
        <f>E42+E134+E842+E1214</f>
        <v>0</v>
      </c>
      <c r="F2269" s="76">
        <f>F42+F134+F842+F1214</f>
        <v>0</v>
      </c>
      <c r="G2269" s="76">
        <f>+G1214+G842+G134+G42</f>
        <v>13000</v>
      </c>
      <c r="H2269" s="76">
        <f t="shared" si="86"/>
        <v>13000</v>
      </c>
      <c r="I2269" s="76"/>
      <c r="J2269" s="76"/>
      <c r="K2269" s="76"/>
      <c r="L2269" s="76"/>
      <c r="M2269" s="76"/>
      <c r="O2269" s="304">
        <f t="shared" si="87"/>
        <v>1.3167340491136088E-3</v>
      </c>
      <c r="P2269" s="259"/>
    </row>
    <row r="2270" spans="1:16" ht="15" customHeight="1" x14ac:dyDescent="0.2">
      <c r="A2270" s="249" t="s">
        <v>387</v>
      </c>
      <c r="B2270" s="147" t="s">
        <v>387</v>
      </c>
      <c r="C2270" s="73">
        <v>54504</v>
      </c>
      <c r="D2270" s="62" t="s">
        <v>457</v>
      </c>
      <c r="E2270" s="76">
        <f>E43+E100</f>
        <v>0</v>
      </c>
      <c r="F2270" s="76">
        <f>F43+F100</f>
        <v>0</v>
      </c>
      <c r="G2270" s="76">
        <f>+G100+G43</f>
        <v>10000</v>
      </c>
      <c r="H2270" s="76">
        <f t="shared" si="86"/>
        <v>10000</v>
      </c>
      <c r="I2270" s="76"/>
      <c r="J2270" s="76"/>
      <c r="K2270" s="76"/>
      <c r="L2270" s="76"/>
      <c r="M2270" s="76"/>
      <c r="O2270" s="304">
        <f t="shared" si="87"/>
        <v>1.0128723454720066E-3</v>
      </c>
      <c r="P2270" s="259"/>
    </row>
    <row r="2271" spans="1:16" ht="15" customHeight="1" x14ac:dyDescent="0.2">
      <c r="A2271" s="249" t="s">
        <v>387</v>
      </c>
      <c r="B2271" s="147" t="s">
        <v>387</v>
      </c>
      <c r="C2271" s="73">
        <v>54505</v>
      </c>
      <c r="D2271" s="73" t="s">
        <v>40</v>
      </c>
      <c r="E2271" s="76">
        <f>E135+E180+E715+E946+E986+E1054+E1088+E1129+E1247+E1508+E1583+E1628+E1665+E1786+E1829</f>
        <v>0</v>
      </c>
      <c r="F2271" s="76">
        <f>F135+F180+F715+F946+F986+F1054+F1088+F1129+F1247+F1508+F1583+F1628+F1665+F1786+F1829</f>
        <v>0</v>
      </c>
      <c r="G2271" s="76">
        <f>+G1829+G1786+G1665+G1628+G1583+G1508+G1247+G1129+G1088+G1054+G986+G946+G715+G180+G135+G1973</f>
        <v>16900</v>
      </c>
      <c r="H2271" s="76">
        <f t="shared" si="86"/>
        <v>16900</v>
      </c>
      <c r="I2271" s="76"/>
      <c r="J2271" s="76"/>
      <c r="K2271" s="76"/>
      <c r="L2271" s="76"/>
      <c r="M2271" s="76"/>
      <c r="O2271" s="304">
        <f t="shared" si="87"/>
        <v>1.7117542638476913E-3</v>
      </c>
      <c r="P2271" s="259"/>
    </row>
    <row r="2272" spans="1:16" ht="15" customHeight="1" x14ac:dyDescent="0.2">
      <c r="A2272" s="249" t="s">
        <v>387</v>
      </c>
      <c r="B2272" s="147" t="s">
        <v>387</v>
      </c>
      <c r="C2272" s="73">
        <v>54507</v>
      </c>
      <c r="D2272" s="73" t="s">
        <v>294</v>
      </c>
      <c r="E2272" s="76">
        <f>E910+E987+E1215+E1584+E1666</f>
        <v>0</v>
      </c>
      <c r="F2272" s="76">
        <f>F910+F987+F1215+F1584+F1666</f>
        <v>0</v>
      </c>
      <c r="G2272" s="76">
        <f>G910+G987+G1215+G1584+G1666+G136</f>
        <v>7700</v>
      </c>
      <c r="H2272" s="76">
        <f t="shared" si="86"/>
        <v>7700</v>
      </c>
      <c r="I2272" s="76"/>
      <c r="J2272" s="76"/>
      <c r="K2272" s="76"/>
      <c r="L2272" s="76"/>
      <c r="M2272" s="76"/>
      <c r="O2272" s="304">
        <f t="shared" si="87"/>
        <v>7.7991170601344507E-4</v>
      </c>
      <c r="P2272" s="259"/>
    </row>
    <row r="2273" spans="1:16" ht="15" customHeight="1" x14ac:dyDescent="0.2">
      <c r="A2273" s="249" t="s">
        <v>387</v>
      </c>
      <c r="B2273" s="147" t="s">
        <v>387</v>
      </c>
      <c r="C2273" s="73">
        <v>54599</v>
      </c>
      <c r="D2273" s="62" t="s">
        <v>527</v>
      </c>
      <c r="E2273" s="76">
        <f>E44+E1629</f>
        <v>0</v>
      </c>
      <c r="F2273" s="76">
        <f>F44+F1629</f>
        <v>0</v>
      </c>
      <c r="G2273" s="76">
        <f>G44+G1629+G1173</f>
        <v>45700</v>
      </c>
      <c r="H2273" s="76">
        <f t="shared" si="86"/>
        <v>45700</v>
      </c>
      <c r="I2273" s="76"/>
      <c r="J2273" s="76"/>
      <c r="K2273" s="76"/>
      <c r="L2273" s="76"/>
      <c r="M2273" s="76"/>
      <c r="O2273" s="304">
        <f t="shared" si="87"/>
        <v>4.6288266188070706E-3</v>
      </c>
      <c r="P2273" s="259"/>
    </row>
    <row r="2274" spans="1:16" ht="15" customHeight="1" x14ac:dyDescent="0.2">
      <c r="A2274" s="249" t="s">
        <v>387</v>
      </c>
      <c r="B2274" s="147" t="s">
        <v>387</v>
      </c>
      <c r="C2274" s="302">
        <v>546</v>
      </c>
      <c r="D2274" s="307" t="s">
        <v>124</v>
      </c>
      <c r="E2274" s="138">
        <f>E2275</f>
        <v>0</v>
      </c>
      <c r="F2274" s="138">
        <f>F2275</f>
        <v>0</v>
      </c>
      <c r="G2274" s="138">
        <f>G2275</f>
        <v>500600</v>
      </c>
      <c r="H2274" s="138">
        <f>H2275</f>
        <v>500600</v>
      </c>
      <c r="I2274" s="76"/>
      <c r="J2274" s="76"/>
      <c r="K2274" s="76"/>
      <c r="L2274" s="76"/>
      <c r="M2274" s="76"/>
      <c r="O2274" s="304"/>
    </row>
    <row r="2275" spans="1:16" ht="15" customHeight="1" x14ac:dyDescent="0.2">
      <c r="A2275" s="249" t="s">
        <v>387</v>
      </c>
      <c r="B2275" s="147" t="s">
        <v>387</v>
      </c>
      <c r="C2275" s="279">
        <v>54602</v>
      </c>
      <c r="D2275" s="62" t="s">
        <v>634</v>
      </c>
      <c r="E2275" s="76">
        <f>E766+E1382+E1745+E2109</f>
        <v>0</v>
      </c>
      <c r="F2275" s="76">
        <f>F766+F1382+F1745+F2109</f>
        <v>0</v>
      </c>
      <c r="G2275" s="76">
        <f>+G2109+G1745+G1382+G766</f>
        <v>500600</v>
      </c>
      <c r="H2275" s="76">
        <f t="shared" si="86"/>
        <v>500600</v>
      </c>
      <c r="I2275" s="83"/>
      <c r="J2275" s="83"/>
      <c r="K2275" s="83"/>
      <c r="L2275" s="83"/>
      <c r="M2275" s="83"/>
      <c r="O2275" s="304">
        <f>H2275/$G$2322</f>
        <v>5.0704389614328653E-2</v>
      </c>
      <c r="P2275" s="259"/>
    </row>
    <row r="2276" spans="1:16" ht="15" customHeight="1" x14ac:dyDescent="0.2">
      <c r="A2276" s="249" t="s">
        <v>387</v>
      </c>
      <c r="B2276" s="147" t="s">
        <v>387</v>
      </c>
      <c r="C2276" s="302">
        <v>553</v>
      </c>
      <c r="D2276" s="307" t="s">
        <v>160</v>
      </c>
      <c r="E2276" s="138">
        <f>SUM(E2277:E2279)</f>
        <v>355636.74</v>
      </c>
      <c r="F2276" s="138">
        <f>SUM(F2277:F2279)</f>
        <v>0</v>
      </c>
      <c r="G2276" s="138">
        <f>SUM(G2277:G2279)</f>
        <v>268518.70799999998</v>
      </c>
      <c r="H2276" s="138">
        <f>SUM(H2277:H2279)</f>
        <v>624155.44799999997</v>
      </c>
      <c r="I2276" s="76"/>
      <c r="J2276" s="76"/>
      <c r="K2276" s="76"/>
      <c r="L2276" s="76"/>
      <c r="M2276" s="76"/>
      <c r="O2276" s="304"/>
    </row>
    <row r="2277" spans="1:16" ht="15" customHeight="1" x14ac:dyDescent="0.2">
      <c r="A2277" s="249" t="s">
        <v>387</v>
      </c>
      <c r="B2277" s="147" t="s">
        <v>387</v>
      </c>
      <c r="C2277" s="308">
        <v>55302</v>
      </c>
      <c r="D2277" s="298" t="s">
        <v>340</v>
      </c>
      <c r="E2277" s="74">
        <v>0</v>
      </c>
      <c r="F2277" s="74">
        <f t="shared" ref="F2277" si="88">F2130</f>
        <v>0</v>
      </c>
      <c r="G2277" s="74">
        <v>0</v>
      </c>
      <c r="H2277" s="76">
        <f t="shared" si="86"/>
        <v>0</v>
      </c>
      <c r="I2277" s="76"/>
      <c r="J2277" s="76"/>
      <c r="K2277" s="76"/>
      <c r="L2277" s="76"/>
      <c r="M2277" s="76"/>
      <c r="O2277" s="304">
        <f>H2277/$G$2322</f>
        <v>0</v>
      </c>
      <c r="P2277" s="259"/>
    </row>
    <row r="2278" spans="1:16" ht="15" customHeight="1" x14ac:dyDescent="0.2">
      <c r="A2278" s="249" t="s">
        <v>532</v>
      </c>
      <c r="B2278" s="147" t="s">
        <v>532</v>
      </c>
      <c r="C2278" s="308">
        <v>55307</v>
      </c>
      <c r="D2278" s="298" t="s">
        <v>865</v>
      </c>
      <c r="E2278" s="74">
        <f>E2130</f>
        <v>0</v>
      </c>
      <c r="F2278" s="74"/>
      <c r="G2278" s="74">
        <f>G2130</f>
        <v>1559.3999999999999</v>
      </c>
      <c r="H2278" s="76">
        <f t="shared" si="86"/>
        <v>1559.3999999999999</v>
      </c>
      <c r="I2278" s="76"/>
      <c r="J2278" s="76"/>
      <c r="K2278" s="76"/>
      <c r="L2278" s="76"/>
      <c r="M2278" s="76"/>
      <c r="O2278" s="304"/>
      <c r="P2278" s="259"/>
    </row>
    <row r="2279" spans="1:16" ht="15" customHeight="1" x14ac:dyDescent="0.2">
      <c r="A2279" s="249" t="s">
        <v>387</v>
      </c>
      <c r="B2279" s="147" t="s">
        <v>387</v>
      </c>
      <c r="C2279" s="279">
        <v>55308</v>
      </c>
      <c r="D2279" s="73" t="s">
        <v>116</v>
      </c>
      <c r="E2279" s="74">
        <f>E2131</f>
        <v>355636.74</v>
      </c>
      <c r="F2279" s="74">
        <f>F2131</f>
        <v>0</v>
      </c>
      <c r="G2279" s="74">
        <f>G2131</f>
        <v>266959.30799999996</v>
      </c>
      <c r="H2279" s="76">
        <f t="shared" si="86"/>
        <v>622596.04799999995</v>
      </c>
      <c r="I2279" s="76"/>
      <c r="J2279" s="76"/>
      <c r="K2279" s="76"/>
      <c r="L2279" s="76"/>
      <c r="M2279" s="76"/>
      <c r="O2279" s="304">
        <f>H2279/$G$2322</f>
        <v>6.3061031941936199E-2</v>
      </c>
      <c r="P2279" s="259"/>
    </row>
    <row r="2280" spans="1:16" ht="15" customHeight="1" x14ac:dyDescent="0.2">
      <c r="A2280" s="249" t="s">
        <v>387</v>
      </c>
      <c r="B2280" s="147" t="s">
        <v>387</v>
      </c>
      <c r="C2280" s="302">
        <v>555</v>
      </c>
      <c r="D2280" s="307" t="s">
        <v>323</v>
      </c>
      <c r="E2280" s="83">
        <f>E2281</f>
        <v>0</v>
      </c>
      <c r="F2280" s="83">
        <f>F2281</f>
        <v>0</v>
      </c>
      <c r="G2280" s="83">
        <f>G2281</f>
        <v>30000</v>
      </c>
      <c r="H2280" s="83">
        <f>H2281</f>
        <v>30000</v>
      </c>
      <c r="I2280" s="83"/>
      <c r="J2280" s="83"/>
      <c r="K2280" s="83"/>
      <c r="L2280" s="83"/>
      <c r="M2280" s="83"/>
      <c r="O2280" s="304"/>
    </row>
    <row r="2281" spans="1:16" ht="15" customHeight="1" x14ac:dyDescent="0.2">
      <c r="A2281" s="249" t="s">
        <v>387</v>
      </c>
      <c r="B2281" s="147" t="s">
        <v>387</v>
      </c>
      <c r="C2281" s="279">
        <v>55508</v>
      </c>
      <c r="D2281" s="73" t="s">
        <v>324</v>
      </c>
      <c r="E2281" s="76">
        <f>E45</f>
        <v>0</v>
      </c>
      <c r="F2281" s="76">
        <f>F45</f>
        <v>0</v>
      </c>
      <c r="G2281" s="76">
        <f>+G45+G843</f>
        <v>30000</v>
      </c>
      <c r="H2281" s="76">
        <f t="shared" si="86"/>
        <v>30000</v>
      </c>
      <c r="I2281" s="76">
        <f t="shared" ref="I2281:N2281" si="89">I45</f>
        <v>0</v>
      </c>
      <c r="J2281" s="76">
        <f t="shared" si="89"/>
        <v>0</v>
      </c>
      <c r="K2281" s="76">
        <f t="shared" si="89"/>
        <v>0</v>
      </c>
      <c r="L2281" s="76">
        <f t="shared" si="89"/>
        <v>0</v>
      </c>
      <c r="M2281" s="76">
        <f t="shared" si="89"/>
        <v>0</v>
      </c>
      <c r="N2281" s="76">
        <f t="shared" si="89"/>
        <v>25000</v>
      </c>
      <c r="O2281" s="304">
        <f>H2281/$G$2322</f>
        <v>3.0386170364160199E-3</v>
      </c>
      <c r="P2281" s="259"/>
    </row>
    <row r="2282" spans="1:16" ht="15" customHeight="1" x14ac:dyDescent="0.2">
      <c r="A2282" s="249" t="s">
        <v>387</v>
      </c>
      <c r="B2282" s="147" t="s">
        <v>387</v>
      </c>
      <c r="C2282" s="150">
        <v>556</v>
      </c>
      <c r="D2282" s="307" t="s">
        <v>182</v>
      </c>
      <c r="E2282" s="138">
        <f>E2285</f>
        <v>2000</v>
      </c>
      <c r="F2282" s="83">
        <f>SUM(F2283:F2285)</f>
        <v>0</v>
      </c>
      <c r="G2282" s="83">
        <f>SUM(G2283:G2285)</f>
        <v>79000</v>
      </c>
      <c r="H2282" s="83">
        <f>SUM(H2283:H2285)</f>
        <v>81000</v>
      </c>
      <c r="I2282" s="76"/>
      <c r="J2282" s="76"/>
      <c r="K2282" s="76"/>
      <c r="L2282" s="76"/>
      <c r="M2282" s="76"/>
      <c r="O2282" s="304"/>
    </row>
    <row r="2283" spans="1:16" ht="15" customHeight="1" x14ac:dyDescent="0.2">
      <c r="A2283" s="249" t="s">
        <v>387</v>
      </c>
      <c r="B2283" s="147" t="s">
        <v>387</v>
      </c>
      <c r="C2283" s="73">
        <v>55601</v>
      </c>
      <c r="D2283" s="62" t="s">
        <v>191</v>
      </c>
      <c r="E2283" s="76">
        <f>+E1585+E356</f>
        <v>0</v>
      </c>
      <c r="F2283" s="76">
        <f>+F1585+F356</f>
        <v>0</v>
      </c>
      <c r="G2283" s="76">
        <f>+G1585+G356</f>
        <v>17000</v>
      </c>
      <c r="H2283" s="76">
        <f t="shared" si="86"/>
        <v>17000</v>
      </c>
      <c r="I2283" s="76"/>
      <c r="J2283" s="76"/>
      <c r="K2283" s="76"/>
      <c r="L2283" s="76"/>
      <c r="M2283" s="76"/>
      <c r="O2283" s="304">
        <f>H2283/$G$2322</f>
        <v>1.7218829873024114E-3</v>
      </c>
      <c r="P2283" s="259"/>
    </row>
    <row r="2284" spans="1:16" ht="15" customHeight="1" x14ac:dyDescent="0.2">
      <c r="A2284" s="249" t="s">
        <v>387</v>
      </c>
      <c r="B2284" s="147" t="s">
        <v>387</v>
      </c>
      <c r="C2284" s="73">
        <v>55602</v>
      </c>
      <c r="D2284" s="62" t="s">
        <v>13</v>
      </c>
      <c r="E2284" s="76">
        <f>E1383</f>
        <v>0</v>
      </c>
      <c r="F2284" s="76">
        <f>F1383</f>
        <v>0</v>
      </c>
      <c r="G2284" s="76">
        <f>G1383</f>
        <v>60000</v>
      </c>
      <c r="H2284" s="76">
        <f t="shared" si="86"/>
        <v>60000</v>
      </c>
      <c r="I2284" s="76"/>
      <c r="J2284" s="76"/>
      <c r="K2284" s="76"/>
      <c r="L2284" s="76"/>
      <c r="M2284" s="76"/>
      <c r="O2284" s="304">
        <f>H2284/$G$2322</f>
        <v>6.0772340728320398E-3</v>
      </c>
      <c r="P2284" s="259"/>
    </row>
    <row r="2285" spans="1:16" ht="15" customHeight="1" x14ac:dyDescent="0.2">
      <c r="A2285" s="249" t="s">
        <v>387</v>
      </c>
      <c r="B2285" s="147" t="s">
        <v>387</v>
      </c>
      <c r="C2285" s="73">
        <v>55603</v>
      </c>
      <c r="D2285" s="73" t="s">
        <v>134</v>
      </c>
      <c r="E2285" s="74">
        <f>E947+E2110+E2175</f>
        <v>2000</v>
      </c>
      <c r="F2285" s="74">
        <f>F947+F2110+F2175</f>
        <v>0</v>
      </c>
      <c r="G2285" s="74">
        <f>+G2175+G2110+G947</f>
        <v>2000</v>
      </c>
      <c r="H2285" s="76">
        <f t="shared" si="86"/>
        <v>4000</v>
      </c>
      <c r="I2285" s="76"/>
      <c r="J2285" s="76"/>
      <c r="K2285" s="76"/>
      <c r="L2285" s="76"/>
      <c r="M2285" s="76"/>
      <c r="O2285" s="304">
        <f>H2285/$G$2322</f>
        <v>4.0514893818880267E-4</v>
      </c>
      <c r="P2285" s="259"/>
    </row>
    <row r="2286" spans="1:16" ht="15" customHeight="1" x14ac:dyDescent="0.2">
      <c r="A2286" s="249" t="s">
        <v>387</v>
      </c>
      <c r="B2286" s="147" t="s">
        <v>387</v>
      </c>
      <c r="C2286" s="302">
        <v>557</v>
      </c>
      <c r="D2286" s="307" t="s">
        <v>125</v>
      </c>
      <c r="E2286" s="83">
        <f>SUM(E2287:E2290)</f>
        <v>0</v>
      </c>
      <c r="F2286" s="83">
        <f>SUM(F2287:F2290)</f>
        <v>0</v>
      </c>
      <c r="G2286" s="83">
        <f>SUM(G2287:G2290)</f>
        <v>60200</v>
      </c>
      <c r="H2286" s="83">
        <f>SUM(H2287:H2290)</f>
        <v>60200</v>
      </c>
      <c r="I2286" s="76"/>
      <c r="J2286" s="76"/>
      <c r="K2286" s="76"/>
      <c r="L2286" s="76"/>
      <c r="M2286" s="76"/>
      <c r="O2286" s="304"/>
    </row>
    <row r="2287" spans="1:16" ht="15" customHeight="1" x14ac:dyDescent="0.2">
      <c r="A2287" s="249" t="s">
        <v>387</v>
      </c>
      <c r="B2287" s="147" t="s">
        <v>387</v>
      </c>
      <c r="C2287" s="279">
        <v>55702</v>
      </c>
      <c r="D2287" s="62" t="s">
        <v>348</v>
      </c>
      <c r="E2287" s="74">
        <f>E46</f>
        <v>0</v>
      </c>
      <c r="F2287" s="74">
        <f>F46</f>
        <v>0</v>
      </c>
      <c r="G2287" s="74">
        <f>+G46</f>
        <v>15000</v>
      </c>
      <c r="H2287" s="76">
        <f t="shared" si="86"/>
        <v>15000</v>
      </c>
      <c r="I2287" s="138"/>
      <c r="J2287" s="138"/>
      <c r="K2287" s="138"/>
      <c r="L2287" s="138"/>
      <c r="M2287" s="138"/>
      <c r="O2287" s="304">
        <f>H2287/$G$2322</f>
        <v>1.51930851820801E-3</v>
      </c>
    </row>
    <row r="2288" spans="1:16" ht="15" customHeight="1" x14ac:dyDescent="0.2">
      <c r="A2288" s="249" t="s">
        <v>387</v>
      </c>
      <c r="B2288" s="147" t="s">
        <v>387</v>
      </c>
      <c r="C2288" s="279">
        <v>55703</v>
      </c>
      <c r="D2288" s="62" t="s">
        <v>456</v>
      </c>
      <c r="E2288" s="74">
        <f>E47+E1384</f>
        <v>0</v>
      </c>
      <c r="F2288" s="74">
        <f>F47+F1384</f>
        <v>0</v>
      </c>
      <c r="G2288" s="74">
        <f>G47+G1384+G2094+G807</f>
        <v>45200</v>
      </c>
      <c r="H2288" s="76">
        <f t="shared" si="86"/>
        <v>45200</v>
      </c>
      <c r="I2288" s="138"/>
      <c r="J2288" s="138"/>
      <c r="K2288" s="138"/>
      <c r="L2288" s="138"/>
      <c r="M2288" s="138"/>
      <c r="O2288" s="304">
        <f>H2288/$G$2322</f>
        <v>4.57818300153347E-3</v>
      </c>
    </row>
    <row r="2289" spans="1:16" ht="15" customHeight="1" x14ac:dyDescent="0.2">
      <c r="A2289" s="249" t="s">
        <v>387</v>
      </c>
      <c r="B2289" s="147" t="s">
        <v>387</v>
      </c>
      <c r="C2289" s="279">
        <v>55704</v>
      </c>
      <c r="D2289" s="62" t="s">
        <v>137</v>
      </c>
      <c r="E2289" s="76">
        <f>E988</f>
        <v>0</v>
      </c>
      <c r="F2289" s="76">
        <f>F988</f>
        <v>0</v>
      </c>
      <c r="G2289" s="76">
        <f>G988</f>
        <v>0</v>
      </c>
      <c r="H2289" s="76">
        <f t="shared" si="86"/>
        <v>0</v>
      </c>
      <c r="I2289" s="76"/>
      <c r="J2289" s="76"/>
      <c r="K2289" s="76"/>
      <c r="L2289" s="76"/>
      <c r="M2289" s="76"/>
      <c r="O2289" s="304">
        <f>H2289/$G$2322</f>
        <v>0</v>
      </c>
    </row>
    <row r="2290" spans="1:16" ht="15" customHeight="1" x14ac:dyDescent="0.2">
      <c r="A2290" s="249" t="s">
        <v>387</v>
      </c>
      <c r="B2290" s="147" t="s">
        <v>387</v>
      </c>
      <c r="C2290" s="279">
        <v>55799</v>
      </c>
      <c r="D2290" s="62" t="s">
        <v>192</v>
      </c>
      <c r="E2290" s="76"/>
      <c r="F2290" s="76"/>
      <c r="G2290" s="76"/>
      <c r="H2290" s="76">
        <f t="shared" si="86"/>
        <v>0</v>
      </c>
      <c r="I2290" s="76"/>
      <c r="J2290" s="76"/>
      <c r="K2290" s="76"/>
      <c r="L2290" s="76"/>
      <c r="M2290" s="76"/>
      <c r="O2290" s="304">
        <f>H2290/$G$2322</f>
        <v>0</v>
      </c>
    </row>
    <row r="2291" spans="1:16" ht="15" customHeight="1" x14ac:dyDescent="0.2">
      <c r="A2291" s="249" t="s">
        <v>387</v>
      </c>
      <c r="B2291" s="147" t="s">
        <v>387</v>
      </c>
      <c r="C2291" s="150">
        <v>563</v>
      </c>
      <c r="D2291" s="307" t="s">
        <v>181</v>
      </c>
      <c r="E2291" s="138">
        <f>SUM(E2292:E2294)</f>
        <v>0</v>
      </c>
      <c r="F2291" s="138">
        <f>SUM(F2292:F2294)</f>
        <v>0</v>
      </c>
      <c r="G2291" s="138">
        <f>SUM(G2292:G2294)</f>
        <v>53000</v>
      </c>
      <c r="H2291" s="138">
        <f>SUM(H2292:H2294)</f>
        <v>53000</v>
      </c>
      <c r="I2291" s="76"/>
      <c r="J2291" s="76"/>
      <c r="K2291" s="76"/>
      <c r="L2291" s="76"/>
      <c r="M2291" s="76"/>
      <c r="O2291" s="304"/>
    </row>
    <row r="2292" spans="1:16" ht="15" customHeight="1" x14ac:dyDescent="0.2">
      <c r="A2292" s="249" t="s">
        <v>387</v>
      </c>
      <c r="B2292" s="147" t="s">
        <v>387</v>
      </c>
      <c r="C2292" s="73">
        <v>56303</v>
      </c>
      <c r="D2292" s="62" t="s">
        <v>52</v>
      </c>
      <c r="E2292" s="76">
        <f>E48</f>
        <v>0</v>
      </c>
      <c r="F2292" s="76">
        <f>F48</f>
        <v>0</v>
      </c>
      <c r="G2292" s="76">
        <f>+G48</f>
        <v>20000</v>
      </c>
      <c r="H2292" s="76">
        <f t="shared" si="86"/>
        <v>20000</v>
      </c>
      <c r="I2292" s="76"/>
      <c r="J2292" s="76"/>
      <c r="K2292" s="76"/>
      <c r="L2292" s="76"/>
      <c r="M2292" s="76"/>
      <c r="O2292" s="304">
        <f>H2292/$G$2322</f>
        <v>2.0257446909440133E-3</v>
      </c>
      <c r="P2292" s="259"/>
    </row>
    <row r="2293" spans="1:16" ht="15" customHeight="1" x14ac:dyDescent="0.2">
      <c r="A2293" s="249" t="s">
        <v>387</v>
      </c>
      <c r="B2293" s="147" t="s">
        <v>387</v>
      </c>
      <c r="C2293" s="73">
        <v>56304</v>
      </c>
      <c r="D2293" s="62" t="s">
        <v>346</v>
      </c>
      <c r="E2293" s="76">
        <f>E49+E99</f>
        <v>0</v>
      </c>
      <c r="F2293" s="76">
        <f>F49+F99</f>
        <v>0</v>
      </c>
      <c r="G2293" s="76">
        <f>+G99+G49</f>
        <v>18000</v>
      </c>
      <c r="H2293" s="76">
        <f t="shared" si="86"/>
        <v>18000</v>
      </c>
      <c r="I2293" s="76"/>
      <c r="J2293" s="76"/>
      <c r="K2293" s="76"/>
      <c r="L2293" s="76"/>
      <c r="M2293" s="76"/>
      <c r="O2293" s="304">
        <f>H2293/$G$2322</f>
        <v>1.8231702218496121E-3</v>
      </c>
      <c r="P2293" s="259"/>
    </row>
    <row r="2294" spans="1:16" ht="15" customHeight="1" x14ac:dyDescent="0.2">
      <c r="A2294" s="249" t="s">
        <v>387</v>
      </c>
      <c r="B2294" s="147" t="s">
        <v>387</v>
      </c>
      <c r="C2294" s="73">
        <v>56305</v>
      </c>
      <c r="D2294" s="62" t="s">
        <v>193</v>
      </c>
      <c r="E2294" s="74"/>
      <c r="F2294" s="76"/>
      <c r="G2294" s="76">
        <f>G1174</f>
        <v>15000</v>
      </c>
      <c r="H2294" s="76">
        <f t="shared" si="86"/>
        <v>15000</v>
      </c>
      <c r="I2294" s="76"/>
      <c r="J2294" s="76"/>
      <c r="K2294" s="76"/>
      <c r="L2294" s="76"/>
      <c r="M2294" s="76"/>
      <c r="O2294" s="304">
        <f>H2294/$G$2322</f>
        <v>1.51930851820801E-3</v>
      </c>
    </row>
    <row r="2295" spans="1:16" ht="15" customHeight="1" x14ac:dyDescent="0.2">
      <c r="A2295" s="249" t="s">
        <v>387</v>
      </c>
      <c r="B2295" s="147" t="s">
        <v>387</v>
      </c>
      <c r="C2295" s="302">
        <v>611</v>
      </c>
      <c r="D2295" s="307" t="s">
        <v>126</v>
      </c>
      <c r="E2295" s="138">
        <f>SUM(E2296:E2302)</f>
        <v>0</v>
      </c>
      <c r="F2295" s="138">
        <f>SUM(F2296:F2302)</f>
        <v>0</v>
      </c>
      <c r="G2295" s="138">
        <f>SUM(G2296:G2302)</f>
        <v>329975</v>
      </c>
      <c r="H2295" s="138">
        <f>SUM(H2296:H2302)</f>
        <v>329975</v>
      </c>
      <c r="I2295" s="83"/>
      <c r="J2295" s="83"/>
      <c r="K2295" s="83"/>
      <c r="L2295" s="83"/>
      <c r="M2295" s="83"/>
      <c r="O2295" s="304"/>
    </row>
    <row r="2296" spans="1:16" ht="15" customHeight="1" x14ac:dyDescent="0.2">
      <c r="A2296" s="249" t="s">
        <v>387</v>
      </c>
      <c r="B2296" s="147" t="s">
        <v>387</v>
      </c>
      <c r="C2296" s="279">
        <v>61101</v>
      </c>
      <c r="D2296" s="62" t="s">
        <v>144</v>
      </c>
      <c r="E2296" s="74">
        <f>E50+E101+E137+E181+E217+E257+E314+E357+E394+E431+E469+E508+E551+E588+E625+E665+E716+E767+E808+E875+E911+E948+E989+E1020+E1055+E1089+E1130+E1175+E1216+E1248+E1292+E1332+E1385+E1427+E1468+E1509+E1542+E1586+E1630+E1667+E1710+E1746+E1787+E1830+E1869+E1906+E1940+E1974+E2016++E2055+E2095</f>
        <v>0</v>
      </c>
      <c r="F2296" s="74">
        <f>F50+F101+F137+F181+F217+F257+F314+F357+F394+F431+F469+F508+F551+F588+F625+F665+F716+F767+F808+F875+F911+F948+F989+F1020+F1055+F1089+F1130+F1175+F1216+F1248+F1292+F1332+F1385+F1427+F1468+F1509+F1542+F1586+F1630+F1667+F1710+F1746+F1787+F1830+F1869+F1906+F1940+F1974+F2016++F2055+F2095</f>
        <v>0</v>
      </c>
      <c r="G2296" s="74">
        <f>G50+G101+G137+G181+G217+G257+G314+G357+G394+G431+G469+G508+G551+G588+G625+G665+G716+G767+G808+G875+G911+G948+G989+G1020+G1055+G1089+G1130+G1175+G1216+G1248+G1292+G1332+G1385+G1427+G1468+G1509+G1542+G1586+G1630+G1667+G1710+G1746+G1787+G1830+G1869+G1906+G1940+G1974+G2016++G2055+G2095</f>
        <v>66095</v>
      </c>
      <c r="H2296" s="76">
        <f>E2296+F2296+G2296</f>
        <v>66095</v>
      </c>
      <c r="I2296" s="76"/>
      <c r="J2296" s="76"/>
      <c r="K2296" s="76"/>
      <c r="L2296" s="76"/>
      <c r="M2296" s="76"/>
      <c r="O2296" s="304">
        <f t="shared" ref="O2296:O2302" si="90">H2296/$G$2322</f>
        <v>6.6945797673972282E-3</v>
      </c>
      <c r="P2296" s="259"/>
    </row>
    <row r="2297" spans="1:16" ht="15" customHeight="1" x14ac:dyDescent="0.2">
      <c r="A2297" s="249" t="s">
        <v>387</v>
      </c>
      <c r="B2297" s="147" t="s">
        <v>387</v>
      </c>
      <c r="C2297" s="279">
        <v>61102</v>
      </c>
      <c r="D2297" s="62" t="s">
        <v>28</v>
      </c>
      <c r="E2297" s="74">
        <f>E51+E102+E138+E218+E258+E315+E358+E395+E432+E470+E509+E552+E589+E626+E666+E717+E768+E809+E844+E876+E912+E949+E990+E1021+E1056+E1090+E1131+E1176+E1249+E1293+E1333+E1386+E1428+E1469+E1543+E1587+E1631+E1668+E1711+E1747+E1788+E1831+E1870+E1907+E1941+E1975</f>
        <v>0</v>
      </c>
      <c r="F2297" s="74">
        <f>F51+F102+F138+F218+F258+F315+F358+F395+F432+F470+F509+F552+F589+F626+F666+F717+F768+F809+F844+F876+F912+F949+F990+F1021+F1056+F1090+F1131+F1176+F1249+F1293+F1333+F1386+F1428+F1469+F1543+F1587+F1631+F1668+F1711+F1747+F1788+F1831+F1870+F1907+F1941+F1975</f>
        <v>0</v>
      </c>
      <c r="G2297" s="74">
        <f>G51+G102+G138+G218+G258+G315+G358+G395+G432+G470+G509+G552+G589+G626+G666+G717+G768+G809+G844+G876+G912+G949+G990+G1021+G1056+G1090+G1131+G1176+G1249+G1293+G1333+G1386+G1428+G1469+G1543+G1587+G1631+G1668+G1711+G1747+G1788+G1831+G1870+G1907+G1941+G1975+G1217</f>
        <v>84415</v>
      </c>
      <c r="H2297" s="76">
        <f t="shared" si="86"/>
        <v>84415</v>
      </c>
      <c r="I2297" s="76"/>
      <c r="J2297" s="76"/>
      <c r="K2297" s="76"/>
      <c r="L2297" s="76"/>
      <c r="M2297" s="76"/>
      <c r="O2297" s="304">
        <f t="shared" si="90"/>
        <v>8.5501619043019447E-3</v>
      </c>
      <c r="P2297" s="259"/>
    </row>
    <row r="2298" spans="1:16" ht="15" customHeight="1" x14ac:dyDescent="0.2">
      <c r="A2298" s="249" t="s">
        <v>387</v>
      </c>
      <c r="B2298" s="147" t="s">
        <v>387</v>
      </c>
      <c r="C2298" s="279">
        <v>61104</v>
      </c>
      <c r="D2298" s="62" t="s">
        <v>46</v>
      </c>
      <c r="E2298" s="76">
        <f>E52+E139+E182+E219+E259+E316+E359+E396+E433+E471+E510+E553+E590+E627+E667+E718+E769+E810+E845+E877+E913+E950+E991+E1022+E1057+E1091+E1132+E1177+E1218+E1250+E1294+E1334+E1387+E1430+E1470+E1510+E1544+E1588+E1632+E1669+E1712+E1748+E1789+E1832+E1871+E1908+E1942+E2017+E2056+E2096</f>
        <v>0</v>
      </c>
      <c r="F2298" s="76">
        <f>F52+F139+F182+F219+F259+F316+F359+F396+F433+F471+F510+F553+F590+F627+F667+F718+F769+F810+F845+F877+F913+F950+F991+F1022+F1057+F1091+F1132+F1177+F1218+F1250+F1294+F1334+F1387+F1430+F1470+F1510+F1544+F1588+F1632+F1669+F1712+F1748+F1789+F1832+F1871+F1908+F1942+F2017+F2056+F2096</f>
        <v>0</v>
      </c>
      <c r="G2298" s="76">
        <f>G52+G139+G182+G219+G259+G316+G359+G396+G433+G471+G510+G553+G590+G627+G667+G718+G769+G810+G845+G877+G913+G950+G991+G1022+G1057+G1091+G1132+G1177+G1218+G1250+G1294+G1334+G1387+G1430+G1470+G1510+G1544+G1588+G1632+G1669+G1712+G1748+G1789+G1832+G1871+G1908+G1942+G2017+G2056+G2096+G2097+G1429+G1976</f>
        <v>96065</v>
      </c>
      <c r="H2298" s="76">
        <f t="shared" si="86"/>
        <v>96065</v>
      </c>
      <c r="I2298" s="76"/>
      <c r="J2298" s="76"/>
      <c r="K2298" s="76"/>
      <c r="L2298" s="76"/>
      <c r="M2298" s="76"/>
      <c r="O2298" s="304">
        <f t="shared" si="90"/>
        <v>9.7301581867768328E-3</v>
      </c>
      <c r="P2298" s="259"/>
    </row>
    <row r="2299" spans="1:16" ht="15" customHeight="1" x14ac:dyDescent="0.2">
      <c r="A2299" s="249" t="s">
        <v>387</v>
      </c>
      <c r="B2299" s="147" t="s">
        <v>387</v>
      </c>
      <c r="C2299" s="279">
        <v>61106</v>
      </c>
      <c r="D2299" s="62" t="s">
        <v>788</v>
      </c>
      <c r="E2299" s="76">
        <v>0</v>
      </c>
      <c r="F2299" s="76"/>
      <c r="G2299" s="76">
        <f>+G1635</f>
        <v>100</v>
      </c>
      <c r="H2299" s="76">
        <f>+G2299+E2299</f>
        <v>100</v>
      </c>
      <c r="I2299" s="76"/>
      <c r="J2299" s="76"/>
      <c r="K2299" s="76"/>
      <c r="L2299" s="76"/>
      <c r="M2299" s="76"/>
      <c r="O2299" s="304">
        <f t="shared" si="90"/>
        <v>1.0128723454720066E-5</v>
      </c>
      <c r="P2299" s="259"/>
    </row>
    <row r="2300" spans="1:16" ht="15" customHeight="1" x14ac:dyDescent="0.2">
      <c r="A2300" s="249" t="s">
        <v>387</v>
      </c>
      <c r="B2300" s="147" t="s">
        <v>387</v>
      </c>
      <c r="C2300" s="279">
        <v>61105</v>
      </c>
      <c r="D2300" s="73" t="s">
        <v>132</v>
      </c>
      <c r="E2300" s="74">
        <f>E770+E1388+E1471</f>
        <v>0</v>
      </c>
      <c r="F2300" s="74">
        <f>F770+F1388+F1471</f>
        <v>0</v>
      </c>
      <c r="G2300" s="74">
        <f>+G1713+G1471+G1388+G770+G1634</f>
        <v>27000</v>
      </c>
      <c r="H2300" s="76">
        <f t="shared" si="86"/>
        <v>27000</v>
      </c>
      <c r="I2300" s="83"/>
      <c r="J2300" s="83"/>
      <c r="K2300" s="83"/>
      <c r="L2300" s="83"/>
      <c r="M2300" s="83"/>
      <c r="O2300" s="304">
        <f t="shared" si="90"/>
        <v>2.734755332774418E-3</v>
      </c>
      <c r="P2300" s="259"/>
    </row>
    <row r="2301" spans="1:16" ht="15" customHeight="1" x14ac:dyDescent="0.2">
      <c r="A2301" s="249" t="s">
        <v>387</v>
      </c>
      <c r="B2301" s="147" t="s">
        <v>387</v>
      </c>
      <c r="C2301" s="279">
        <v>61108</v>
      </c>
      <c r="D2301" s="62" t="s">
        <v>436</v>
      </c>
      <c r="E2301" s="76">
        <f>E103+E771+E914+E1389+E1670</f>
        <v>0</v>
      </c>
      <c r="F2301" s="76">
        <f>F103+F771+F914+F1389+F1670</f>
        <v>0</v>
      </c>
      <c r="G2301" s="76">
        <f>+G1670+G1389+G914+G771+G103+G1636+G629</f>
        <v>49000</v>
      </c>
      <c r="H2301" s="76">
        <f t="shared" si="86"/>
        <v>49000</v>
      </c>
      <c r="I2301" s="83"/>
      <c r="J2301" s="83"/>
      <c r="K2301" s="83"/>
      <c r="L2301" s="83"/>
      <c r="M2301" s="83"/>
      <c r="O2301" s="304">
        <f t="shared" si="90"/>
        <v>4.9630744928128327E-3</v>
      </c>
      <c r="P2301" s="259"/>
    </row>
    <row r="2302" spans="1:16" ht="15" customHeight="1" x14ac:dyDescent="0.2">
      <c r="A2302" s="249" t="s">
        <v>387</v>
      </c>
      <c r="B2302" s="147" t="s">
        <v>387</v>
      </c>
      <c r="C2302" s="279">
        <v>61199</v>
      </c>
      <c r="D2302" s="62" t="s">
        <v>135</v>
      </c>
      <c r="E2302" s="76">
        <f>E140+E183+E360+E397+E434+E472+E511+E554+E591+E628+E668+E719+E811+E1219+E1335+E1511+E1589+E1790+E1833+E2018+E2057</f>
        <v>0</v>
      </c>
      <c r="F2302" s="76">
        <f>F140+F183+F360+F397+F434+F472+F511+F554+F591+F628+F668+F719+F811+F1219+F1335+F1511+F1589+F1790+F1833+F2018+F2057</f>
        <v>0</v>
      </c>
      <c r="G2302" s="76">
        <f>G140+G183+G360+G397+G434+G472+G511+G554+G591+G628+G668+G719+G811+G1219+G1335+G1511+G1589+G1790+G1833+G2018+G2057</f>
        <v>7300</v>
      </c>
      <c r="H2302" s="76">
        <f t="shared" si="86"/>
        <v>7300</v>
      </c>
      <c r="I2302" s="76">
        <f t="shared" ref="I2302:N2302" si="91">I140+I183+I360+I719+I811+I1219+I1335+I1511+I1589+I1790+I1833+I2018+I2057</f>
        <v>0</v>
      </c>
      <c r="J2302" s="76">
        <f t="shared" si="91"/>
        <v>0</v>
      </c>
      <c r="K2302" s="76">
        <f t="shared" si="91"/>
        <v>0</v>
      </c>
      <c r="L2302" s="76">
        <f t="shared" si="91"/>
        <v>0</v>
      </c>
      <c r="M2302" s="76">
        <f t="shared" si="91"/>
        <v>0</v>
      </c>
      <c r="N2302" s="76">
        <f t="shared" si="91"/>
        <v>0</v>
      </c>
      <c r="O2302" s="304">
        <f t="shared" si="90"/>
        <v>7.3939681219456488E-4</v>
      </c>
      <c r="P2302" s="259"/>
    </row>
    <row r="2303" spans="1:16" ht="15" customHeight="1" x14ac:dyDescent="0.2">
      <c r="A2303" s="249" t="s">
        <v>387</v>
      </c>
      <c r="B2303" s="147" t="s">
        <v>387</v>
      </c>
      <c r="C2303" s="302">
        <v>612</v>
      </c>
      <c r="D2303" s="307" t="s">
        <v>347</v>
      </c>
      <c r="E2303" s="83">
        <f>E2304</f>
        <v>0</v>
      </c>
      <c r="F2303" s="83">
        <f>F2304</f>
        <v>0</v>
      </c>
      <c r="G2303" s="83">
        <f>G2304</f>
        <v>0</v>
      </c>
      <c r="H2303" s="83">
        <f>H2304</f>
        <v>0</v>
      </c>
      <c r="I2303" s="76"/>
      <c r="J2303" s="76"/>
      <c r="K2303" s="76"/>
      <c r="L2303" s="76"/>
      <c r="M2303" s="76"/>
      <c r="O2303" s="304"/>
    </row>
    <row r="2304" spans="1:16" ht="15" customHeight="1" x14ac:dyDescent="0.2">
      <c r="A2304" s="249" t="s">
        <v>387</v>
      </c>
      <c r="B2304" s="147" t="s">
        <v>387</v>
      </c>
      <c r="C2304" s="279">
        <v>61201</v>
      </c>
      <c r="D2304" s="62" t="s">
        <v>344</v>
      </c>
      <c r="E2304" s="76"/>
      <c r="F2304" s="76"/>
      <c r="G2304" s="76"/>
      <c r="H2304" s="76">
        <f>E2304+F2304+G2304</f>
        <v>0</v>
      </c>
      <c r="I2304" s="83"/>
      <c r="J2304" s="83"/>
      <c r="K2304" s="83"/>
      <c r="L2304" s="83"/>
      <c r="M2304" s="83"/>
      <c r="O2304" s="304">
        <f>H2304/$G$2322</f>
        <v>0</v>
      </c>
    </row>
    <row r="2305" spans="1:17" ht="15" customHeight="1" x14ac:dyDescent="0.2">
      <c r="A2305" s="249" t="s">
        <v>387</v>
      </c>
      <c r="B2305" s="147" t="s">
        <v>387</v>
      </c>
      <c r="C2305" s="302">
        <v>614</v>
      </c>
      <c r="D2305" s="150" t="s">
        <v>185</v>
      </c>
      <c r="E2305" s="83">
        <f>E2306</f>
        <v>0</v>
      </c>
      <c r="F2305" s="83">
        <f>F2306</f>
        <v>0</v>
      </c>
      <c r="G2305" s="83">
        <f>G2306</f>
        <v>7050</v>
      </c>
      <c r="H2305" s="83">
        <f>H2306</f>
        <v>7050</v>
      </c>
      <c r="I2305" s="76"/>
      <c r="J2305" s="76"/>
      <c r="K2305" s="76"/>
      <c r="L2305" s="76"/>
      <c r="M2305" s="76"/>
      <c r="O2305" s="304"/>
    </row>
    <row r="2306" spans="1:17" ht="15" customHeight="1" x14ac:dyDescent="0.2">
      <c r="A2306" s="249" t="s">
        <v>387</v>
      </c>
      <c r="B2306" s="147" t="s">
        <v>387</v>
      </c>
      <c r="C2306" s="279">
        <v>61403</v>
      </c>
      <c r="D2306" s="73" t="s">
        <v>54</v>
      </c>
      <c r="E2306" s="76">
        <f>E878+E915+E1671</f>
        <v>0</v>
      </c>
      <c r="F2306" s="76">
        <f>F878+F915+F1671</f>
        <v>0</v>
      </c>
      <c r="G2306" s="76">
        <f>G878+G915+G1671+G1872+G1545+G1633+G1637</f>
        <v>7050</v>
      </c>
      <c r="H2306" s="76">
        <f>E2306+F2306+G2306</f>
        <v>7050</v>
      </c>
      <c r="I2306" s="76"/>
      <c r="J2306" s="76"/>
      <c r="K2306" s="76"/>
      <c r="L2306" s="76"/>
      <c r="M2306" s="76"/>
      <c r="O2306" s="304">
        <f>H2306/$G$2322</f>
        <v>7.1407500355776465E-4</v>
      </c>
      <c r="P2306" s="259"/>
      <c r="Q2306" s="259"/>
    </row>
    <row r="2307" spans="1:17" ht="15" customHeight="1" x14ac:dyDescent="0.2">
      <c r="A2307" s="249" t="s">
        <v>387</v>
      </c>
      <c r="B2307" s="147" t="s">
        <v>387</v>
      </c>
      <c r="C2307" s="302">
        <v>615</v>
      </c>
      <c r="D2307" s="307" t="s">
        <v>156</v>
      </c>
      <c r="E2307" s="138">
        <f>E2308</f>
        <v>50000</v>
      </c>
      <c r="F2307" s="138">
        <f>F2308</f>
        <v>0</v>
      </c>
      <c r="G2307" s="138">
        <f>G2308</f>
        <v>62792.95</v>
      </c>
      <c r="H2307" s="138">
        <f>H2308</f>
        <v>112792.95</v>
      </c>
      <c r="I2307" s="76"/>
      <c r="J2307" s="76"/>
      <c r="K2307" s="76"/>
      <c r="L2307" s="76"/>
      <c r="M2307" s="76"/>
      <c r="O2307" s="304"/>
    </row>
    <row r="2308" spans="1:17" ht="15" customHeight="1" x14ac:dyDescent="0.2">
      <c r="A2308" s="249" t="s">
        <v>387</v>
      </c>
      <c r="B2308" s="147" t="s">
        <v>387</v>
      </c>
      <c r="C2308" s="279">
        <v>61599</v>
      </c>
      <c r="D2308" s="62" t="s">
        <v>157</v>
      </c>
      <c r="E2308" s="74">
        <f>+E2111+E2144+E2176</f>
        <v>50000</v>
      </c>
      <c r="F2308" s="74">
        <f t="shared" ref="F2308:G2308" si="92">+F2111+F2144+F2176</f>
        <v>0</v>
      </c>
      <c r="G2308" s="74">
        <f t="shared" si="92"/>
        <v>62792.95</v>
      </c>
      <c r="H2308" s="76">
        <f>E2308+F2308+G2308</f>
        <v>112792.95</v>
      </c>
      <c r="I2308" s="138"/>
      <c r="J2308" s="138"/>
      <c r="K2308" s="138"/>
      <c r="L2308" s="138"/>
      <c r="M2308" s="138"/>
      <c r="O2308" s="304">
        <f>H2308/$G$2322</f>
        <v>1.1424485981920677E-2</v>
      </c>
      <c r="P2308" s="259"/>
    </row>
    <row r="2309" spans="1:17" ht="15" customHeight="1" x14ac:dyDescent="0.2">
      <c r="A2309" s="249" t="s">
        <v>387</v>
      </c>
      <c r="B2309" s="147" t="s">
        <v>387</v>
      </c>
      <c r="C2309" s="302">
        <v>616</v>
      </c>
      <c r="D2309" s="307" t="s">
        <v>127</v>
      </c>
      <c r="E2309" s="138">
        <f>SUM(E2310:E2316)</f>
        <v>624181.16999999993</v>
      </c>
      <c r="F2309" s="138">
        <f>SUM(F2310:F2316)</f>
        <v>0</v>
      </c>
      <c r="G2309" s="138">
        <f>SUM(G2310:G2316)</f>
        <v>2610445.33</v>
      </c>
      <c r="H2309" s="138">
        <f>SUM(H2310:H2316)</f>
        <v>3234626.5</v>
      </c>
      <c r="I2309" s="83">
        <f t="shared" ref="I2309:N2309" si="93">I2310</f>
        <v>0</v>
      </c>
      <c r="J2309" s="83">
        <f t="shared" si="93"/>
        <v>0</v>
      </c>
      <c r="K2309" s="83">
        <f t="shared" si="93"/>
        <v>0</v>
      </c>
      <c r="L2309" s="83">
        <f t="shared" si="93"/>
        <v>0</v>
      </c>
      <c r="M2309" s="83">
        <f t="shared" si="93"/>
        <v>0</v>
      </c>
      <c r="N2309" s="309">
        <f t="shared" si="93"/>
        <v>0</v>
      </c>
      <c r="O2309" s="304"/>
    </row>
    <row r="2310" spans="1:17" ht="15" customHeight="1" x14ac:dyDescent="0.2">
      <c r="A2310" s="249" t="s">
        <v>387</v>
      </c>
      <c r="B2310" s="147" t="s">
        <v>387</v>
      </c>
      <c r="C2310" s="279">
        <v>61601</v>
      </c>
      <c r="D2310" s="62" t="s">
        <v>287</v>
      </c>
      <c r="E2310" s="74">
        <f>E669+E2112+E2146+E2159+E2177</f>
        <v>223207.87</v>
      </c>
      <c r="F2310" s="74">
        <f>F669+F2112+F2146+F2159+F2177</f>
        <v>0</v>
      </c>
      <c r="G2310" s="74">
        <f>G669+G2112+G2146+G2159+G2177</f>
        <v>157842.69</v>
      </c>
      <c r="H2310" s="76">
        <f>E2310+F2310+G2310</f>
        <v>381050.56</v>
      </c>
      <c r="I2310" s="74"/>
      <c r="J2310" s="74"/>
      <c r="K2310" s="74"/>
      <c r="L2310" s="74"/>
      <c r="M2310" s="74"/>
      <c r="O2310" s="304">
        <f t="shared" ref="O2310:O2316" si="94">H2310/$G$2322</f>
        <v>3.8595557445062156E-2</v>
      </c>
    </row>
    <row r="2311" spans="1:17" ht="15" customHeight="1" x14ac:dyDescent="0.2">
      <c r="A2311" s="249" t="s">
        <v>387</v>
      </c>
      <c r="B2311" s="147" t="s">
        <v>387</v>
      </c>
      <c r="C2311" s="279">
        <v>61602</v>
      </c>
      <c r="D2311" s="62" t="s">
        <v>251</v>
      </c>
      <c r="E2311" s="74">
        <f>E1390+E2113</f>
        <v>80000</v>
      </c>
      <c r="F2311" s="74">
        <f>F1390+F2113</f>
        <v>0</v>
      </c>
      <c r="G2311" s="74">
        <f>G1390+G2113</f>
        <v>0</v>
      </c>
      <c r="H2311" s="76">
        <f t="shared" ref="H2311:H2318" si="95">E2311+F2311+G2311</f>
        <v>80000</v>
      </c>
      <c r="I2311" s="76"/>
      <c r="J2311" s="76"/>
      <c r="K2311" s="76"/>
      <c r="L2311" s="76"/>
      <c r="M2311" s="76"/>
      <c r="O2311" s="304">
        <f t="shared" si="94"/>
        <v>8.1029787637760531E-3</v>
      </c>
    </row>
    <row r="2312" spans="1:17" ht="15" customHeight="1" x14ac:dyDescent="0.2">
      <c r="A2312" s="249" t="s">
        <v>387</v>
      </c>
      <c r="B2312" s="147" t="s">
        <v>387</v>
      </c>
      <c r="C2312" s="279">
        <v>61603</v>
      </c>
      <c r="D2312" s="62" t="s">
        <v>326</v>
      </c>
      <c r="E2312" s="74">
        <f>E1178+E2114+E2160+E2178</f>
        <v>60000</v>
      </c>
      <c r="F2312" s="74">
        <f>F1178+F2114+F2160+F2178</f>
        <v>0</v>
      </c>
      <c r="G2312" s="74">
        <f>G1178+G2114+G2160+G2178</f>
        <v>58790.1</v>
      </c>
      <c r="H2312" s="76">
        <f t="shared" si="95"/>
        <v>118790.1</v>
      </c>
      <c r="I2312" s="76"/>
      <c r="J2312" s="76"/>
      <c r="K2312" s="76"/>
      <c r="L2312" s="76"/>
      <c r="M2312" s="76"/>
      <c r="O2312" s="304">
        <f t="shared" si="94"/>
        <v>1.2031920720585423E-2</v>
      </c>
    </row>
    <row r="2313" spans="1:17" ht="15" customHeight="1" x14ac:dyDescent="0.2">
      <c r="A2313" s="249" t="s">
        <v>387</v>
      </c>
      <c r="B2313" s="147" t="s">
        <v>387</v>
      </c>
      <c r="C2313" s="279">
        <v>61604</v>
      </c>
      <c r="D2313" s="62" t="s">
        <v>339</v>
      </c>
      <c r="E2313" s="74">
        <f>E2115+E2161</f>
        <v>0</v>
      </c>
      <c r="F2313" s="74">
        <f>F2115+F2161</f>
        <v>0</v>
      </c>
      <c r="G2313" s="74">
        <f>G2115+G2161</f>
        <v>0</v>
      </c>
      <c r="H2313" s="76">
        <f t="shared" si="95"/>
        <v>0</v>
      </c>
      <c r="I2313" s="76"/>
      <c r="J2313" s="76"/>
      <c r="K2313" s="76"/>
      <c r="L2313" s="76"/>
      <c r="M2313" s="76"/>
      <c r="O2313" s="304">
        <f t="shared" si="94"/>
        <v>0</v>
      </c>
    </row>
    <row r="2314" spans="1:17" ht="15" customHeight="1" x14ac:dyDescent="0.2">
      <c r="A2314" s="249" t="s">
        <v>387</v>
      </c>
      <c r="B2314" s="147" t="s">
        <v>387</v>
      </c>
      <c r="C2314" s="279">
        <v>61606</v>
      </c>
      <c r="D2314" s="62" t="s">
        <v>328</v>
      </c>
      <c r="E2314" s="74">
        <f t="shared" ref="E2314:G2314" si="96">E2116</f>
        <v>0</v>
      </c>
      <c r="F2314" s="74">
        <f t="shared" si="96"/>
        <v>0</v>
      </c>
      <c r="G2314" s="74">
        <f t="shared" si="96"/>
        <v>0</v>
      </c>
      <c r="H2314" s="76">
        <f t="shared" si="95"/>
        <v>0</v>
      </c>
      <c r="I2314" s="76"/>
      <c r="J2314" s="76"/>
      <c r="K2314" s="76"/>
      <c r="L2314" s="76"/>
      <c r="M2314" s="76"/>
      <c r="O2314" s="304">
        <f t="shared" si="94"/>
        <v>0</v>
      </c>
    </row>
    <row r="2315" spans="1:17" ht="15" customHeight="1" x14ac:dyDescent="0.2">
      <c r="A2315" s="249" t="s">
        <v>387</v>
      </c>
      <c r="B2315" s="147" t="s">
        <v>387</v>
      </c>
      <c r="C2315" s="279">
        <v>61608</v>
      </c>
      <c r="D2315" s="62" t="s">
        <v>288</v>
      </c>
      <c r="E2315" s="74">
        <f>E2117+E2145</f>
        <v>0</v>
      </c>
      <c r="F2315" s="74">
        <f t="shared" ref="F2315:G2315" si="97">F2117+F2145</f>
        <v>0</v>
      </c>
      <c r="G2315" s="74">
        <f t="shared" si="97"/>
        <v>146516.88</v>
      </c>
      <c r="H2315" s="76">
        <f t="shared" si="95"/>
        <v>146516.88</v>
      </c>
      <c r="I2315" s="76"/>
      <c r="J2315" s="76"/>
      <c r="K2315" s="76"/>
      <c r="L2315" s="76"/>
      <c r="M2315" s="76"/>
      <c r="O2315" s="304">
        <f t="shared" si="94"/>
        <v>1.4840289589684055E-2</v>
      </c>
    </row>
    <row r="2316" spans="1:17" ht="15" customHeight="1" x14ac:dyDescent="0.2">
      <c r="A2316" s="249" t="s">
        <v>387</v>
      </c>
      <c r="B2316" s="147" t="s">
        <v>387</v>
      </c>
      <c r="C2316" s="279">
        <v>61699</v>
      </c>
      <c r="D2316" s="62" t="s">
        <v>36</v>
      </c>
      <c r="E2316" s="74">
        <f>E2118+E2147+E2162+E2179</f>
        <v>260973.3</v>
      </c>
      <c r="F2316" s="74">
        <f>F2118+F2147+F2162+F2179</f>
        <v>0</v>
      </c>
      <c r="G2316" s="74">
        <f>G2118+G2147+G2162+G2179</f>
        <v>2247295.66</v>
      </c>
      <c r="H2316" s="76">
        <f t="shared" si="95"/>
        <v>2508268.96</v>
      </c>
      <c r="I2316" s="76"/>
      <c r="J2316" s="76"/>
      <c r="K2316" s="76"/>
      <c r="L2316" s="76"/>
      <c r="M2316" s="76"/>
      <c r="O2316" s="304">
        <f t="shared" si="94"/>
        <v>0.25405562645898311</v>
      </c>
    </row>
    <row r="2317" spans="1:17" ht="15" customHeight="1" x14ac:dyDescent="0.2">
      <c r="A2317" s="249" t="s">
        <v>387</v>
      </c>
      <c r="B2317" s="147" t="s">
        <v>387</v>
      </c>
      <c r="C2317" s="302">
        <v>713</v>
      </c>
      <c r="D2317" s="307" t="s">
        <v>161</v>
      </c>
      <c r="E2317" s="138">
        <f>E2318</f>
        <v>355636.74</v>
      </c>
      <c r="F2317" s="138">
        <f>F2318</f>
        <v>0</v>
      </c>
      <c r="G2317" s="138">
        <f>G2318</f>
        <v>114411.13200000004</v>
      </c>
      <c r="H2317" s="138">
        <f>H2318</f>
        <v>470047.87200000003</v>
      </c>
      <c r="I2317" s="83"/>
      <c r="J2317" s="83"/>
      <c r="K2317" s="83"/>
      <c r="L2317" s="83"/>
      <c r="M2317" s="83"/>
      <c r="O2317" s="304"/>
    </row>
    <row r="2318" spans="1:17" ht="15" customHeight="1" x14ac:dyDescent="0.2">
      <c r="A2318" s="249" t="s">
        <v>387</v>
      </c>
      <c r="B2318" s="147" t="s">
        <v>387</v>
      </c>
      <c r="C2318" s="279">
        <v>71308</v>
      </c>
      <c r="D2318" s="73" t="s">
        <v>116</v>
      </c>
      <c r="E2318" s="74">
        <f>E2132</f>
        <v>355636.74</v>
      </c>
      <c r="F2318" s="74">
        <f>F2132</f>
        <v>0</v>
      </c>
      <c r="G2318" s="74">
        <f>G2132</f>
        <v>114411.13200000004</v>
      </c>
      <c r="H2318" s="76">
        <f t="shared" si="95"/>
        <v>470047.87200000003</v>
      </c>
      <c r="I2318" s="76"/>
      <c r="J2318" s="76"/>
      <c r="K2318" s="76"/>
      <c r="L2318" s="76"/>
      <c r="M2318" s="76"/>
      <c r="O2318" s="304">
        <f>H2318/$G$2322</f>
        <v>4.7609849059676558E-2</v>
      </c>
    </row>
    <row r="2319" spans="1:17" ht="15" customHeight="1" x14ac:dyDescent="0.2">
      <c r="A2319" s="249" t="s">
        <v>387</v>
      </c>
      <c r="B2319" s="147" t="s">
        <v>387</v>
      </c>
      <c r="C2319" s="279">
        <v>72</v>
      </c>
      <c r="D2319" s="62" t="s">
        <v>110</v>
      </c>
      <c r="E2319" s="76"/>
      <c r="F2319" s="76"/>
      <c r="G2319" s="76"/>
      <c r="H2319" s="76"/>
      <c r="I2319" s="76"/>
      <c r="J2319" s="76"/>
      <c r="K2319" s="76"/>
      <c r="L2319" s="76"/>
      <c r="M2319" s="76"/>
      <c r="O2319" s="304">
        <f>H2319/$G$2322</f>
        <v>0</v>
      </c>
    </row>
    <row r="2320" spans="1:17" ht="15" customHeight="1" x14ac:dyDescent="0.2">
      <c r="A2320" s="249" t="s">
        <v>387</v>
      </c>
      <c r="B2320" s="147" t="s">
        <v>387</v>
      </c>
      <c r="C2320" s="302">
        <v>721</v>
      </c>
      <c r="D2320" s="307" t="s">
        <v>366</v>
      </c>
      <c r="E2320" s="83">
        <f>E2321</f>
        <v>46593.38</v>
      </c>
      <c r="F2320" s="83">
        <f>F2321</f>
        <v>0</v>
      </c>
      <c r="G2320" s="83">
        <f>G2321</f>
        <v>160</v>
      </c>
      <c r="H2320" s="83">
        <f>H2321</f>
        <v>46753.38</v>
      </c>
      <c r="I2320" s="76"/>
      <c r="J2320" s="76"/>
      <c r="K2320" s="76"/>
      <c r="L2320" s="76"/>
      <c r="M2320" s="76"/>
      <c r="O2320" s="304"/>
    </row>
    <row r="2321" spans="1:19" ht="15" customHeight="1" x14ac:dyDescent="0.2">
      <c r="A2321" s="249" t="s">
        <v>387</v>
      </c>
      <c r="B2321" s="147" t="s">
        <v>387</v>
      </c>
      <c r="C2321" s="279">
        <v>72101</v>
      </c>
      <c r="D2321" s="62" t="s">
        <v>366</v>
      </c>
      <c r="E2321" s="76">
        <f>E2191</f>
        <v>46593.38</v>
      </c>
      <c r="F2321" s="76">
        <f>F2191</f>
        <v>0</v>
      </c>
      <c r="G2321" s="76">
        <f>G2191</f>
        <v>160</v>
      </c>
      <c r="H2321" s="76">
        <f>E2321+F2321+G2321</f>
        <v>46753.38</v>
      </c>
      <c r="I2321" s="83"/>
      <c r="J2321" s="83"/>
      <c r="K2321" s="83"/>
      <c r="L2321" s="83"/>
      <c r="M2321" s="83"/>
      <c r="O2321" s="304">
        <f>H2321/$G$2322</f>
        <v>4.7355205659344E-3</v>
      </c>
    </row>
    <row r="2322" spans="1:19" ht="15" customHeight="1" x14ac:dyDescent="0.2">
      <c r="C2322" s="61"/>
      <c r="D2322" s="61" t="s">
        <v>14</v>
      </c>
      <c r="E2322" s="138">
        <f>+E2320+E2317+E2309+E2307+E2305+E2303+E2295+E2291+E2286+E2282+E2276+E2274+E2267+E2262+E2249+E2243+E2221+E2219+E2217+E2215+E2213+E2211+E2208+E2203</f>
        <v>1916948.03</v>
      </c>
      <c r="F2322" s="138">
        <f>F2203+F2208+F2211+F2213+F2215+F2217+F2219+F2221+F2243+F2249+F2262+F2267+F2274+F2276+F2280+F2282+F2286+F2291+F2295+F2303+F2305+F2307+F2309+F2317+F2320</f>
        <v>0</v>
      </c>
      <c r="G2322" s="138">
        <f>+G2320+G2317+G2309+G2307+G2305+G2303+G2295+G2291+G2286+G2282+G2276+G2274+G2267+G2262+G2249+G2243+G2221+G2219+G2217+G2215+G2213+G2211+G2208+G2203+G2280</f>
        <v>9872912.4600000009</v>
      </c>
      <c r="H2322" s="83">
        <f>E2322+F2322+G2322</f>
        <v>11789860.49</v>
      </c>
      <c r="I2322" s="83"/>
      <c r="J2322" s="83"/>
      <c r="K2322" s="83"/>
      <c r="L2322" s="83"/>
      <c r="M2322" s="83"/>
    </row>
    <row r="2323" spans="1:19" ht="15" customHeight="1" x14ac:dyDescent="0.2">
      <c r="C2323" s="252"/>
      <c r="E2323" s="260" t="s">
        <v>253</v>
      </c>
      <c r="F2323" s="260"/>
      <c r="G2323" s="261"/>
      <c r="H2323" s="261"/>
      <c r="I2323" s="76"/>
      <c r="J2323" s="76"/>
      <c r="K2323" s="76"/>
      <c r="L2323" s="76"/>
      <c r="M2323" s="76"/>
    </row>
    <row r="2324" spans="1:19" ht="15" customHeight="1" x14ac:dyDescent="0.2">
      <c r="C2324" s="252"/>
      <c r="E2324" s="310">
        <f>E24+E80+E126+E166+E207+E243+E303+E343+E381+E418+E456+E495+E535+E575+E612+E652+E697+E747+E798+E835+E867+E901+E937+E975+E1014+E1044+E1078+E1117+E1158+E1201+E1240+E1278+E1322+E1363+E1415+E1458+E1495+E1533+E1572+E1616+E1658+E1699+E1738+E1771+E1813+E1859+E1894+E1933+E1966+E2002+E2043+E2080</f>
        <v>0</v>
      </c>
      <c r="F2324" s="310">
        <f>+F2322-F2384</f>
        <v>0</v>
      </c>
      <c r="G2324" s="310">
        <f>+G2322-G2384</f>
        <v>0</v>
      </c>
      <c r="H2324" s="310">
        <f>+H2322-H2384</f>
        <v>0</v>
      </c>
      <c r="I2324" s="76"/>
      <c r="J2324" s="76"/>
      <c r="K2324" s="76"/>
      <c r="L2324" s="76"/>
      <c r="M2324" s="76"/>
      <c r="P2324" s="274"/>
    </row>
    <row r="2325" spans="1:19" ht="15" customHeight="1" x14ac:dyDescent="0.2">
      <c r="C2325" s="252"/>
      <c r="E2325" s="311"/>
      <c r="F2325" s="311"/>
      <c r="G2325" s="312"/>
      <c r="H2325" s="312"/>
      <c r="I2325" s="76"/>
      <c r="J2325" s="76"/>
      <c r="K2325" s="76"/>
      <c r="L2325" s="76"/>
      <c r="M2325" s="76"/>
      <c r="O2325" s="252">
        <v>25847</v>
      </c>
      <c r="Q2325" s="274"/>
    </row>
    <row r="2326" spans="1:19" ht="15" customHeight="1" x14ac:dyDescent="0.2">
      <c r="C2326" s="406" t="s">
        <v>849</v>
      </c>
      <c r="D2326" s="406"/>
      <c r="E2326" s="406"/>
      <c r="F2326" s="406"/>
      <c r="G2326" s="406"/>
      <c r="H2326" s="440"/>
      <c r="I2326" s="76"/>
      <c r="J2326" s="76"/>
      <c r="K2326" s="76"/>
      <c r="L2326" s="76"/>
      <c r="M2326" s="76"/>
      <c r="P2326" s="274"/>
    </row>
    <row r="2327" spans="1:19" ht="15" customHeight="1" x14ac:dyDescent="0.2">
      <c r="C2327" s="406" t="s">
        <v>119</v>
      </c>
      <c r="D2327" s="406"/>
      <c r="E2327" s="406"/>
      <c r="F2327" s="406"/>
      <c r="G2327" s="406"/>
      <c r="H2327" s="440"/>
      <c r="I2327" s="76"/>
      <c r="J2327" s="76"/>
      <c r="K2327" s="76"/>
      <c r="L2327" s="76"/>
      <c r="M2327" s="76"/>
    </row>
    <row r="2328" spans="1:19" ht="15" customHeight="1" x14ac:dyDescent="0.2">
      <c r="C2328" s="406" t="str">
        <f>C4</f>
        <v>PRESUPUESTO EXTRA CONTABLE</v>
      </c>
      <c r="D2328" s="406"/>
      <c r="E2328" s="406"/>
      <c r="F2328" s="406"/>
      <c r="G2328" s="406"/>
      <c r="H2328" s="440"/>
      <c r="I2328" s="76"/>
      <c r="J2328" s="76"/>
      <c r="K2328" s="76"/>
      <c r="L2328" s="76"/>
      <c r="M2328" s="76"/>
    </row>
    <row r="2329" spans="1:19" ht="15" customHeight="1" x14ac:dyDescent="0.2">
      <c r="C2329" s="406" t="s">
        <v>252</v>
      </c>
      <c r="D2329" s="406"/>
      <c r="E2329" s="406"/>
      <c r="F2329" s="406"/>
      <c r="G2329" s="406"/>
      <c r="H2329" s="440"/>
      <c r="I2329" s="83"/>
      <c r="J2329" s="83"/>
      <c r="K2329" s="83"/>
      <c r="L2329" s="83"/>
      <c r="M2329" s="83"/>
    </row>
    <row r="2330" spans="1:19" ht="15" customHeight="1" x14ac:dyDescent="0.2">
      <c r="C2330" s="406" t="s">
        <v>180</v>
      </c>
      <c r="D2330" s="406"/>
      <c r="E2330" s="406"/>
      <c r="F2330" s="406"/>
      <c r="G2330" s="406"/>
      <c r="H2330" s="406"/>
    </row>
    <row r="2331" spans="1:19" ht="15" customHeight="1" x14ac:dyDescent="0.2">
      <c r="C2331" s="252"/>
      <c r="E2331" s="260"/>
      <c r="F2331" s="260"/>
      <c r="G2331" s="261"/>
      <c r="H2331" s="261"/>
    </row>
    <row r="2332" spans="1:19" ht="15" customHeight="1" x14ac:dyDescent="0.2">
      <c r="C2332" s="252"/>
      <c r="E2332" s="260"/>
      <c r="F2332" s="260"/>
      <c r="G2332" s="261"/>
      <c r="H2332" s="261"/>
    </row>
    <row r="2333" spans="1:19" ht="15" customHeight="1" x14ac:dyDescent="0.2">
      <c r="C2333" s="430" t="s">
        <v>164</v>
      </c>
      <c r="D2333" s="434" t="s">
        <v>0</v>
      </c>
      <c r="E2333" s="438" t="s">
        <v>163</v>
      </c>
      <c r="F2333" s="438"/>
      <c r="G2333" s="438"/>
      <c r="H2333" s="438"/>
    </row>
    <row r="2334" spans="1:19" ht="15" customHeight="1" x14ac:dyDescent="0.2">
      <c r="C2334" s="431"/>
      <c r="D2334" s="434"/>
      <c r="E2334" s="299" t="s">
        <v>139</v>
      </c>
      <c r="F2334" s="299" t="s">
        <v>376</v>
      </c>
      <c r="G2334" s="299" t="s">
        <v>140</v>
      </c>
      <c r="H2334" s="299" t="s">
        <v>115</v>
      </c>
    </row>
    <row r="2335" spans="1:19" ht="15" customHeight="1" x14ac:dyDescent="0.2">
      <c r="A2335" s="147">
        <v>2</v>
      </c>
      <c r="B2335" s="147" t="s">
        <v>461</v>
      </c>
      <c r="C2335" s="313" t="s">
        <v>172</v>
      </c>
      <c r="D2335" s="107" t="s">
        <v>128</v>
      </c>
      <c r="E2335" s="271">
        <f>E53</f>
        <v>0</v>
      </c>
      <c r="F2335" s="272">
        <f>F53</f>
        <v>0</v>
      </c>
      <c r="G2335" s="272">
        <f>+G53</f>
        <v>905500.19</v>
      </c>
      <c r="H2335" s="272">
        <f>+E2335+F2335+G2335</f>
        <v>905500.19</v>
      </c>
      <c r="O2335" s="258"/>
      <c r="P2335" s="259">
        <f>+H2335+H2339+H2340+H2345+H2346</f>
        <v>1063856.6200000001</v>
      </c>
      <c r="Q2335" s="259"/>
      <c r="R2335" s="259"/>
      <c r="S2335" s="259"/>
    </row>
    <row r="2336" spans="1:19" ht="15" customHeight="1" x14ac:dyDescent="0.2">
      <c r="A2336" s="147">
        <v>4</v>
      </c>
      <c r="B2336" s="147" t="s">
        <v>462</v>
      </c>
      <c r="C2336" s="313" t="s">
        <v>171</v>
      </c>
      <c r="D2336" s="107" t="s">
        <v>165</v>
      </c>
      <c r="E2336" s="272">
        <v>0</v>
      </c>
      <c r="F2336" s="272">
        <f>+F104+F141+F184+F1472</f>
        <v>0</v>
      </c>
      <c r="G2336" s="272">
        <f>+G104+G141+G184+G278</f>
        <v>275141.84999999998</v>
      </c>
      <c r="H2336" s="272">
        <f>+E2336+F2336+G2336</f>
        <v>275141.84999999998</v>
      </c>
      <c r="O2336" s="258"/>
      <c r="P2336" s="259"/>
      <c r="Q2336" s="259"/>
      <c r="R2336" s="259"/>
      <c r="S2336" s="259"/>
    </row>
    <row r="2337" spans="1:19" ht="15" customHeight="1" x14ac:dyDescent="0.2">
      <c r="A2337" s="147">
        <v>6</v>
      </c>
      <c r="B2337" s="147" t="s">
        <v>463</v>
      </c>
      <c r="C2337" s="313" t="s">
        <v>173</v>
      </c>
      <c r="D2337" s="107" t="s">
        <v>352</v>
      </c>
      <c r="E2337" s="272">
        <f>E361</f>
        <v>0</v>
      </c>
      <c r="F2337" s="272">
        <f>F361</f>
        <v>0</v>
      </c>
      <c r="G2337" s="272">
        <f>+G361</f>
        <v>36685.800000000003</v>
      </c>
      <c r="H2337" s="272">
        <f t="shared" ref="H2337:H2383" si="98">+E2337+F2337+G2337</f>
        <v>36685.800000000003</v>
      </c>
      <c r="O2337" s="258">
        <f>+G2337+G2341+G2342+H2343++H2344+H2348+H2349+H2350+H2352+H2373+H2364</f>
        <v>925927.33000000007</v>
      </c>
      <c r="P2337" s="259"/>
      <c r="Q2337" s="259"/>
      <c r="S2337" s="259"/>
    </row>
    <row r="2338" spans="1:19" ht="15" customHeight="1" x14ac:dyDescent="0.2">
      <c r="A2338" s="147">
        <v>10</v>
      </c>
      <c r="B2338" s="147" t="s">
        <v>464</v>
      </c>
      <c r="C2338" s="313" t="s">
        <v>174</v>
      </c>
      <c r="D2338" s="107" t="s">
        <v>368</v>
      </c>
      <c r="E2338" s="272">
        <f>E772</f>
        <v>0</v>
      </c>
      <c r="F2338" s="272">
        <f>F772</f>
        <v>0</v>
      </c>
      <c r="G2338" s="272">
        <f>G772</f>
        <v>62321.25</v>
      </c>
      <c r="H2338" s="272">
        <f t="shared" si="98"/>
        <v>62321.25</v>
      </c>
      <c r="O2338" s="258">
        <f>+H2338+H2351+H2353+H2377+H2378+H2379+H2380</f>
        <v>3218593.4399999995</v>
      </c>
      <c r="P2338" s="259"/>
      <c r="Q2338" s="259"/>
      <c r="S2338" s="259"/>
    </row>
    <row r="2339" spans="1:19" ht="15" customHeight="1" x14ac:dyDescent="0.2">
      <c r="A2339" s="147">
        <v>12</v>
      </c>
      <c r="B2339" s="147" t="s">
        <v>465</v>
      </c>
      <c r="C2339" s="313" t="s">
        <v>175</v>
      </c>
      <c r="D2339" s="107" t="s">
        <v>379</v>
      </c>
      <c r="E2339" s="272">
        <f>E812</f>
        <v>0</v>
      </c>
      <c r="F2339" s="272">
        <f>F812</f>
        <v>0</v>
      </c>
      <c r="G2339" s="272">
        <f>G812+G220</f>
        <v>65484.43</v>
      </c>
      <c r="H2339" s="272">
        <f t="shared" si="98"/>
        <v>65484.43</v>
      </c>
      <c r="O2339" s="258"/>
      <c r="P2339" s="259"/>
      <c r="Q2339" s="259"/>
      <c r="R2339" s="259"/>
      <c r="S2339" s="259"/>
    </row>
    <row r="2340" spans="1:19" ht="15" customHeight="1" x14ac:dyDescent="0.2">
      <c r="A2340" s="147">
        <v>14</v>
      </c>
      <c r="B2340" s="147" t="s">
        <v>466</v>
      </c>
      <c r="C2340" s="313" t="s">
        <v>176</v>
      </c>
      <c r="D2340" s="107" t="s">
        <v>369</v>
      </c>
      <c r="E2340" s="272">
        <f>E846</f>
        <v>0</v>
      </c>
      <c r="F2340" s="272">
        <f>F846</f>
        <v>0</v>
      </c>
      <c r="G2340" s="272">
        <f>G846</f>
        <v>22978</v>
      </c>
      <c r="H2340" s="272">
        <f t="shared" si="98"/>
        <v>22978</v>
      </c>
      <c r="O2340" s="258"/>
      <c r="P2340" s="259"/>
      <c r="Q2340" s="259"/>
      <c r="R2340" s="259"/>
      <c r="S2340" s="259"/>
    </row>
    <row r="2341" spans="1:19" ht="15" customHeight="1" x14ac:dyDescent="0.2">
      <c r="A2341" s="147">
        <v>6</v>
      </c>
      <c r="B2341" s="147" t="s">
        <v>563</v>
      </c>
      <c r="C2341" s="313" t="s">
        <v>177</v>
      </c>
      <c r="D2341" s="107" t="s">
        <v>380</v>
      </c>
      <c r="E2341" s="272">
        <f>E879</f>
        <v>0</v>
      </c>
      <c r="F2341" s="272">
        <f>F879</f>
        <v>0</v>
      </c>
      <c r="G2341" s="272">
        <f>G879</f>
        <v>78867.37</v>
      </c>
      <c r="H2341" s="272">
        <f t="shared" si="98"/>
        <v>78867.37</v>
      </c>
      <c r="O2341" s="258"/>
      <c r="P2341" s="259"/>
    </row>
    <row r="2342" spans="1:19" ht="15" customHeight="1" x14ac:dyDescent="0.2">
      <c r="A2342" s="147">
        <v>6</v>
      </c>
      <c r="B2342" s="147" t="s">
        <v>564</v>
      </c>
      <c r="C2342" s="313" t="s">
        <v>178</v>
      </c>
      <c r="D2342" s="107" t="s">
        <v>561</v>
      </c>
      <c r="E2342" s="272">
        <v>0</v>
      </c>
      <c r="F2342" s="272"/>
      <c r="G2342" s="272">
        <f>+G916</f>
        <v>26085</v>
      </c>
      <c r="H2342" s="272">
        <f t="shared" si="98"/>
        <v>26085</v>
      </c>
      <c r="O2342" s="258"/>
      <c r="P2342" s="259"/>
    </row>
    <row r="2343" spans="1:19" ht="15" customHeight="1" x14ac:dyDescent="0.2">
      <c r="A2343" s="147">
        <v>6</v>
      </c>
      <c r="B2343" s="147" t="s">
        <v>467</v>
      </c>
      <c r="C2343" s="313" t="s">
        <v>179</v>
      </c>
      <c r="D2343" s="107" t="s">
        <v>791</v>
      </c>
      <c r="E2343" s="271">
        <f>E951</f>
        <v>38000</v>
      </c>
      <c r="F2343" s="272">
        <f>F951</f>
        <v>0</v>
      </c>
      <c r="G2343" s="272">
        <f>G951</f>
        <v>74595.25</v>
      </c>
      <c r="H2343" s="272">
        <f>+E2343+F2343+G2343</f>
        <v>112595.25</v>
      </c>
      <c r="O2343" s="258"/>
      <c r="P2343" s="259"/>
    </row>
    <row r="2344" spans="1:19" ht="15" customHeight="1" x14ac:dyDescent="0.2">
      <c r="A2344" s="147">
        <v>6</v>
      </c>
      <c r="B2344" s="147" t="s">
        <v>468</v>
      </c>
      <c r="C2344" s="313" t="s">
        <v>319</v>
      </c>
      <c r="D2344" s="107" t="s">
        <v>381</v>
      </c>
      <c r="E2344" s="271">
        <f>E992</f>
        <v>0</v>
      </c>
      <c r="F2344" s="272">
        <f>F992</f>
        <v>0</v>
      </c>
      <c r="G2344" s="272">
        <f>G992</f>
        <v>172582.75</v>
      </c>
      <c r="H2344" s="272">
        <f t="shared" si="98"/>
        <v>172582.75</v>
      </c>
      <c r="O2344" s="258"/>
      <c r="P2344" s="259"/>
    </row>
    <row r="2345" spans="1:19" ht="15" customHeight="1" x14ac:dyDescent="0.2">
      <c r="A2345" s="147">
        <v>22</v>
      </c>
      <c r="B2345" s="147" t="s">
        <v>469</v>
      </c>
      <c r="C2345" s="313" t="s">
        <v>320</v>
      </c>
      <c r="D2345" s="107" t="s">
        <v>792</v>
      </c>
      <c r="E2345" s="271">
        <f>E1023</f>
        <v>0</v>
      </c>
      <c r="F2345" s="272">
        <f>F1023</f>
        <v>0</v>
      </c>
      <c r="G2345" s="272">
        <f>G1023</f>
        <v>28636.5</v>
      </c>
      <c r="H2345" s="272">
        <f t="shared" si="98"/>
        <v>28636.5</v>
      </c>
      <c r="I2345" s="153" t="s">
        <v>285</v>
      </c>
      <c r="J2345" s="153"/>
      <c r="K2345" s="153"/>
      <c r="L2345" s="153"/>
      <c r="M2345" s="153"/>
      <c r="O2345" s="258"/>
      <c r="P2345" s="259"/>
    </row>
    <row r="2346" spans="1:19" ht="15" customHeight="1" x14ac:dyDescent="0.2">
      <c r="A2346" s="147">
        <v>24</v>
      </c>
      <c r="B2346" s="147" t="s">
        <v>470</v>
      </c>
      <c r="C2346" s="313" t="s">
        <v>296</v>
      </c>
      <c r="D2346" s="107" t="s">
        <v>382</v>
      </c>
      <c r="E2346" s="272">
        <f>E1058+E1092</f>
        <v>0</v>
      </c>
      <c r="F2346" s="272">
        <f>F1058+F1092</f>
        <v>0</v>
      </c>
      <c r="G2346" s="272">
        <f>G1058+G1092</f>
        <v>41257.5</v>
      </c>
      <c r="H2346" s="272">
        <f>+E2346+F2346+G2346</f>
        <v>41257.5</v>
      </c>
      <c r="I2346" s="153" t="s">
        <v>286</v>
      </c>
      <c r="J2346" s="153"/>
      <c r="K2346" s="153" t="s">
        <v>291</v>
      </c>
      <c r="L2346" s="153"/>
      <c r="M2346" s="153"/>
      <c r="O2346" s="258"/>
      <c r="P2346" s="259"/>
    </row>
    <row r="2347" spans="1:19" ht="15" customHeight="1" x14ac:dyDescent="0.2">
      <c r="A2347" s="147">
        <v>26</v>
      </c>
      <c r="B2347" s="147" t="s">
        <v>471</v>
      </c>
      <c r="C2347" s="313" t="s">
        <v>297</v>
      </c>
      <c r="D2347" s="107" t="s">
        <v>855</v>
      </c>
      <c r="E2347" s="272">
        <f>E1133</f>
        <v>0</v>
      </c>
      <c r="F2347" s="272">
        <f>F1133</f>
        <v>0</v>
      </c>
      <c r="G2347" s="272">
        <f>G1133</f>
        <v>63917.5</v>
      </c>
      <c r="H2347" s="272">
        <f t="shared" si="98"/>
        <v>63917.5</v>
      </c>
      <c r="I2347" s="73"/>
      <c r="J2347" s="73"/>
      <c r="K2347" s="73"/>
      <c r="L2347" s="73"/>
      <c r="M2347" s="73"/>
      <c r="O2347" s="258"/>
      <c r="P2347" s="259"/>
      <c r="Q2347" s="259"/>
      <c r="R2347" s="259"/>
      <c r="S2347" s="259"/>
    </row>
    <row r="2348" spans="1:19" ht="15" customHeight="1" x14ac:dyDescent="0.2">
      <c r="A2348" s="147">
        <v>6</v>
      </c>
      <c r="B2348" s="147" t="s">
        <v>472</v>
      </c>
      <c r="C2348" s="313" t="s">
        <v>298</v>
      </c>
      <c r="D2348" s="107" t="s">
        <v>714</v>
      </c>
      <c r="E2348" s="272">
        <f>E1220</f>
        <v>10000</v>
      </c>
      <c r="F2348" s="272">
        <f>F1220</f>
        <v>0</v>
      </c>
      <c r="G2348" s="272">
        <f>G1220</f>
        <v>49300.869999999995</v>
      </c>
      <c r="H2348" s="272">
        <f t="shared" si="98"/>
        <v>59300.869999999995</v>
      </c>
      <c r="I2348" s="73"/>
      <c r="J2348" s="73"/>
      <c r="K2348" s="73"/>
      <c r="L2348" s="73"/>
      <c r="M2348" s="73"/>
      <c r="O2348" s="258"/>
      <c r="P2348" s="259"/>
    </row>
    <row r="2349" spans="1:19" ht="15" customHeight="1" x14ac:dyDescent="0.2">
      <c r="A2349" s="147">
        <v>6</v>
      </c>
      <c r="B2349" s="147" t="s">
        <v>566</v>
      </c>
      <c r="C2349" s="313" t="s">
        <v>299</v>
      </c>
      <c r="D2349" s="107" t="s">
        <v>713</v>
      </c>
      <c r="E2349" s="272">
        <f>E1251</f>
        <v>0</v>
      </c>
      <c r="F2349" s="272">
        <f>F1251</f>
        <v>0</v>
      </c>
      <c r="G2349" s="272">
        <f>G1251</f>
        <v>86391.6</v>
      </c>
      <c r="H2349" s="272">
        <f t="shared" si="98"/>
        <v>86391.6</v>
      </c>
      <c r="I2349" s="73"/>
      <c r="J2349" s="73"/>
      <c r="K2349" s="73"/>
      <c r="L2349" s="73"/>
      <c r="M2349" s="73"/>
      <c r="O2349" s="258"/>
      <c r="P2349" s="259"/>
    </row>
    <row r="2350" spans="1:19" ht="15" customHeight="1" x14ac:dyDescent="0.2">
      <c r="A2350" s="147">
        <v>6</v>
      </c>
      <c r="B2350" s="147" t="s">
        <v>565</v>
      </c>
      <c r="C2350" s="313" t="s">
        <v>300</v>
      </c>
      <c r="D2350" s="107" t="s">
        <v>715</v>
      </c>
      <c r="E2350" s="272"/>
      <c r="F2350" s="272"/>
      <c r="G2350" s="272">
        <f>+G1791</f>
        <v>34962</v>
      </c>
      <c r="H2350" s="272">
        <f t="shared" si="98"/>
        <v>34962</v>
      </c>
      <c r="I2350" s="73"/>
      <c r="J2350" s="73"/>
      <c r="K2350" s="73"/>
      <c r="L2350" s="73"/>
      <c r="M2350" s="73"/>
      <c r="O2350" s="258"/>
      <c r="P2350" s="259"/>
    </row>
    <row r="2351" spans="1:19" ht="15" customHeight="1" x14ac:dyDescent="0.2">
      <c r="A2351" s="147">
        <v>10</v>
      </c>
      <c r="B2351" s="147" t="s">
        <v>473</v>
      </c>
      <c r="C2351" s="313" t="s">
        <v>301</v>
      </c>
      <c r="D2351" s="107" t="s">
        <v>581</v>
      </c>
      <c r="E2351" s="271">
        <f>E1295</f>
        <v>0</v>
      </c>
      <c r="F2351" s="272">
        <f>F1295</f>
        <v>0</v>
      </c>
      <c r="G2351" s="272">
        <f>G1295</f>
        <v>123844.8</v>
      </c>
      <c r="H2351" s="272">
        <f t="shared" si="98"/>
        <v>123844.8</v>
      </c>
      <c r="I2351" s="73"/>
      <c r="J2351" s="73"/>
      <c r="K2351" s="73"/>
      <c r="L2351" s="73"/>
      <c r="M2351" s="73"/>
      <c r="O2351" s="258"/>
      <c r="P2351" s="259"/>
    </row>
    <row r="2352" spans="1:19" ht="15" customHeight="1" x14ac:dyDescent="0.2">
      <c r="A2352" s="147">
        <v>6</v>
      </c>
      <c r="B2352" s="147" t="s">
        <v>474</v>
      </c>
      <c r="C2352" s="313" t="s">
        <v>302</v>
      </c>
      <c r="D2352" s="314" t="s">
        <v>793</v>
      </c>
      <c r="E2352" s="271">
        <f>E1336</f>
        <v>0</v>
      </c>
      <c r="F2352" s="272">
        <f>F1336</f>
        <v>0</v>
      </c>
      <c r="G2352" s="272">
        <f>G1336</f>
        <v>186659.44</v>
      </c>
      <c r="H2352" s="272">
        <f>+E2352+F2352+G2352</f>
        <v>186659.44</v>
      </c>
      <c r="I2352" s="73"/>
      <c r="J2352" s="73"/>
      <c r="K2352" s="73"/>
      <c r="L2352" s="73"/>
      <c r="M2352" s="73"/>
      <c r="O2352" s="258"/>
      <c r="P2352" s="259"/>
    </row>
    <row r="2353" spans="1:19" ht="15" customHeight="1" x14ac:dyDescent="0.2">
      <c r="A2353" s="147">
        <v>10</v>
      </c>
      <c r="B2353" s="147" t="s">
        <v>475</v>
      </c>
      <c r="C2353" s="313" t="s">
        <v>303</v>
      </c>
      <c r="D2353" s="314" t="s">
        <v>691</v>
      </c>
      <c r="E2353" s="272">
        <f>E1391</f>
        <v>385000</v>
      </c>
      <c r="F2353" s="272">
        <f>F1391</f>
        <v>0</v>
      </c>
      <c r="G2353" s="272">
        <f>G1391</f>
        <v>2250316.31</v>
      </c>
      <c r="H2353" s="272">
        <f t="shared" si="98"/>
        <v>2635316.31</v>
      </c>
      <c r="I2353" s="256"/>
      <c r="J2353" s="256"/>
      <c r="K2353" s="256"/>
      <c r="L2353" s="256"/>
      <c r="M2353" s="256"/>
      <c r="O2353" s="258"/>
      <c r="P2353" s="259"/>
    </row>
    <row r="2354" spans="1:19" ht="15" customHeight="1" x14ac:dyDescent="0.2">
      <c r="A2354" s="147">
        <v>10</v>
      </c>
      <c r="B2354" s="147" t="s">
        <v>476</v>
      </c>
      <c r="C2354" s="313" t="s">
        <v>304</v>
      </c>
      <c r="D2354" s="314" t="s">
        <v>717</v>
      </c>
      <c r="E2354" s="271">
        <f>E1431</f>
        <v>0</v>
      </c>
      <c r="F2354" s="272">
        <f>F1431</f>
        <v>0</v>
      </c>
      <c r="G2354" s="272">
        <f>G1431</f>
        <v>167172.68</v>
      </c>
      <c r="H2354" s="272">
        <f t="shared" si="98"/>
        <v>167172.68</v>
      </c>
      <c r="I2354" s="256"/>
      <c r="J2354" s="256"/>
      <c r="K2354" s="256"/>
      <c r="L2354" s="256"/>
      <c r="M2354" s="256"/>
      <c r="O2354" s="260"/>
      <c r="P2354" s="259"/>
    </row>
    <row r="2355" spans="1:19" ht="15" customHeight="1" x14ac:dyDescent="0.2">
      <c r="A2355" s="147">
        <v>42</v>
      </c>
      <c r="B2355" s="147" t="s">
        <v>477</v>
      </c>
      <c r="C2355" s="313" t="s">
        <v>305</v>
      </c>
      <c r="D2355" s="314" t="s">
        <v>130</v>
      </c>
      <c r="E2355" s="271">
        <f>E1472</f>
        <v>0</v>
      </c>
      <c r="F2355" s="272">
        <f>F1472</f>
        <v>0</v>
      </c>
      <c r="G2355" s="272">
        <f>G1472</f>
        <v>395946.05</v>
      </c>
      <c r="H2355" s="272">
        <f t="shared" si="98"/>
        <v>395946.05</v>
      </c>
      <c r="I2355" s="73"/>
      <c r="J2355" s="73"/>
      <c r="K2355" s="73"/>
      <c r="L2355" s="73"/>
      <c r="M2355" s="73"/>
      <c r="O2355" s="260"/>
      <c r="P2355" s="259"/>
      <c r="Q2355" s="259"/>
      <c r="R2355" s="259"/>
      <c r="S2355" s="259"/>
    </row>
    <row r="2356" spans="1:19" ht="15" customHeight="1" x14ac:dyDescent="0.2">
      <c r="A2356" s="147">
        <v>8</v>
      </c>
      <c r="B2356" s="147" t="s">
        <v>460</v>
      </c>
      <c r="C2356" s="313" t="s">
        <v>306</v>
      </c>
      <c r="D2356" s="314" t="s">
        <v>459</v>
      </c>
      <c r="E2356" s="271">
        <f>E1512</f>
        <v>0</v>
      </c>
      <c r="F2356" s="272">
        <f>F1512</f>
        <v>0</v>
      </c>
      <c r="G2356" s="272">
        <f>G1512</f>
        <v>159029</v>
      </c>
      <c r="H2356" s="272">
        <f t="shared" si="98"/>
        <v>159029</v>
      </c>
      <c r="I2356" s="73"/>
      <c r="J2356" s="73"/>
      <c r="K2356" s="73"/>
      <c r="L2356" s="73"/>
      <c r="M2356" s="73"/>
      <c r="O2356" s="260">
        <f>+(H2356+H2362+H2363+H2365+H2366+H2370+H2372)</f>
        <v>570528.98</v>
      </c>
      <c r="P2356" s="259"/>
    </row>
    <row r="2357" spans="1:19" ht="15" customHeight="1" x14ac:dyDescent="0.2">
      <c r="A2357" s="147">
        <v>48</v>
      </c>
      <c r="B2357" s="147" t="s">
        <v>432</v>
      </c>
      <c r="C2357" s="313" t="s">
        <v>307</v>
      </c>
      <c r="D2357" s="314" t="s">
        <v>427</v>
      </c>
      <c r="E2357" s="272">
        <f>E317</f>
        <v>0</v>
      </c>
      <c r="F2357" s="272">
        <f>F317</f>
        <v>0</v>
      </c>
      <c r="G2357" s="272">
        <f>G317</f>
        <v>51770.8</v>
      </c>
      <c r="H2357" s="272">
        <f>+E2357+F2357+G2357</f>
        <v>51770.8</v>
      </c>
      <c r="I2357" s="73"/>
      <c r="J2357" s="73"/>
      <c r="K2357" s="73"/>
      <c r="L2357" s="73"/>
      <c r="M2357" s="73"/>
      <c r="O2357" s="260">
        <f>+H2354+H2357+H2358+H2360+H2361+H2374+H2375+H2376</f>
        <v>611849.8899999999</v>
      </c>
      <c r="P2357" s="259"/>
      <c r="Q2357" s="259"/>
      <c r="S2357" s="259"/>
    </row>
    <row r="2358" spans="1:19" ht="15" customHeight="1" x14ac:dyDescent="0.2">
      <c r="A2358" s="147">
        <v>48</v>
      </c>
      <c r="B2358" s="147" t="s">
        <v>495</v>
      </c>
      <c r="C2358" s="313" t="s">
        <v>308</v>
      </c>
      <c r="D2358" s="314" t="s">
        <v>679</v>
      </c>
      <c r="E2358" s="271">
        <f>E1590</f>
        <v>0</v>
      </c>
      <c r="F2358" s="272">
        <f>F1590</f>
        <v>0</v>
      </c>
      <c r="G2358" s="272">
        <f>G1590</f>
        <v>191643.1</v>
      </c>
      <c r="H2358" s="272">
        <f t="shared" si="98"/>
        <v>191643.1</v>
      </c>
      <c r="I2358" s="73"/>
      <c r="J2358" s="73"/>
      <c r="K2358" s="73"/>
      <c r="L2358" s="73"/>
      <c r="M2358" s="73"/>
      <c r="O2358" s="260"/>
      <c r="P2358" s="259"/>
    </row>
    <row r="2359" spans="1:19" ht="15" customHeight="1" x14ac:dyDescent="0.2">
      <c r="A2359" s="147">
        <v>50</v>
      </c>
      <c r="B2359" s="147" t="s">
        <v>478</v>
      </c>
      <c r="C2359" s="313" t="s">
        <v>309</v>
      </c>
      <c r="D2359" s="314" t="s">
        <v>583</v>
      </c>
      <c r="E2359" s="271">
        <f>E1638</f>
        <v>0</v>
      </c>
      <c r="F2359" s="272">
        <f>F1638</f>
        <v>0</v>
      </c>
      <c r="G2359" s="272">
        <f>G1638</f>
        <v>97222</v>
      </c>
      <c r="H2359" s="272">
        <f t="shared" si="98"/>
        <v>97222</v>
      </c>
      <c r="I2359" s="73"/>
      <c r="J2359" s="73"/>
      <c r="K2359" s="73"/>
      <c r="L2359" s="73"/>
      <c r="M2359" s="73"/>
      <c r="O2359" s="260"/>
      <c r="P2359" s="259"/>
      <c r="Q2359" s="259"/>
      <c r="R2359" s="259"/>
      <c r="S2359" s="259"/>
    </row>
    <row r="2360" spans="1:19" ht="15" customHeight="1" x14ac:dyDescent="0.2">
      <c r="A2360" s="147">
        <v>48</v>
      </c>
      <c r="B2360" s="147" t="s">
        <v>494</v>
      </c>
      <c r="C2360" s="313" t="s">
        <v>310</v>
      </c>
      <c r="D2360" s="314" t="s">
        <v>680</v>
      </c>
      <c r="E2360" s="271">
        <f>E1672</f>
        <v>0</v>
      </c>
      <c r="F2360" s="272">
        <f>F1672</f>
        <v>0</v>
      </c>
      <c r="G2360" s="272">
        <f>G1672</f>
        <v>56350.31</v>
      </c>
      <c r="H2360" s="272">
        <f t="shared" si="98"/>
        <v>56350.31</v>
      </c>
      <c r="I2360" s="73"/>
      <c r="J2360" s="73"/>
      <c r="K2360" s="73"/>
      <c r="L2360" s="73"/>
      <c r="M2360" s="73"/>
      <c r="O2360" s="260"/>
      <c r="P2360" s="259"/>
      <c r="Q2360" s="282"/>
    </row>
    <row r="2361" spans="1:19" ht="15" customHeight="1" x14ac:dyDescent="0.2">
      <c r="A2361" s="147">
        <v>10</v>
      </c>
      <c r="B2361" s="147" t="s">
        <v>479</v>
      </c>
      <c r="C2361" s="313" t="s">
        <v>311</v>
      </c>
      <c r="D2361" s="314" t="s">
        <v>681</v>
      </c>
      <c r="E2361" s="271">
        <f>E1714</f>
        <v>0</v>
      </c>
      <c r="F2361" s="272">
        <f>F1714</f>
        <v>0</v>
      </c>
      <c r="G2361" s="272">
        <f>G1714</f>
        <v>73755</v>
      </c>
      <c r="H2361" s="272">
        <f t="shared" si="98"/>
        <v>73755</v>
      </c>
      <c r="I2361" s="73"/>
      <c r="J2361" s="73"/>
      <c r="K2361" s="73"/>
      <c r="L2361" s="73"/>
      <c r="M2361" s="73"/>
      <c r="O2361" s="260"/>
      <c r="P2361" s="259"/>
    </row>
    <row r="2362" spans="1:19" ht="15" customHeight="1" x14ac:dyDescent="0.2">
      <c r="A2362" s="147">
        <v>8</v>
      </c>
      <c r="B2362" s="147" t="s">
        <v>480</v>
      </c>
      <c r="C2362" s="313" t="s">
        <v>312</v>
      </c>
      <c r="D2362" s="314" t="s">
        <v>582</v>
      </c>
      <c r="E2362" s="271">
        <f>E1749</f>
        <v>0</v>
      </c>
      <c r="F2362" s="272">
        <f>F1749</f>
        <v>0</v>
      </c>
      <c r="G2362" s="272">
        <f>G1749</f>
        <v>69038.75</v>
      </c>
      <c r="H2362" s="272">
        <f t="shared" si="98"/>
        <v>69038.75</v>
      </c>
      <c r="I2362" s="73"/>
      <c r="J2362" s="73"/>
      <c r="K2362" s="73"/>
      <c r="L2362" s="73"/>
      <c r="M2362" s="73"/>
      <c r="O2362" s="260"/>
      <c r="P2362" s="259"/>
    </row>
    <row r="2363" spans="1:19" ht="15" customHeight="1" x14ac:dyDescent="0.2">
      <c r="A2363" s="147">
        <v>8</v>
      </c>
      <c r="B2363" s="147" t="s">
        <v>481</v>
      </c>
      <c r="C2363" s="313" t="s">
        <v>321</v>
      </c>
      <c r="D2363" s="314" t="s">
        <v>797</v>
      </c>
      <c r="E2363" s="271">
        <f>E1791</f>
        <v>0</v>
      </c>
      <c r="F2363" s="272">
        <f>F1791</f>
        <v>0</v>
      </c>
      <c r="G2363" s="272">
        <f>G1834+G1873+G260</f>
        <v>79288</v>
      </c>
      <c r="H2363" s="272">
        <f t="shared" si="98"/>
        <v>79288</v>
      </c>
      <c r="I2363" s="256"/>
      <c r="J2363" s="256"/>
      <c r="K2363" s="256"/>
      <c r="L2363" s="256"/>
      <c r="M2363" s="256"/>
      <c r="O2363" s="260"/>
      <c r="P2363" s="259"/>
    </row>
    <row r="2364" spans="1:19" ht="15" customHeight="1" x14ac:dyDescent="0.2">
      <c r="A2364" s="147">
        <v>6</v>
      </c>
      <c r="B2364" s="147" t="s">
        <v>484</v>
      </c>
      <c r="C2364" s="313" t="s">
        <v>322</v>
      </c>
      <c r="D2364" s="314" t="s">
        <v>383</v>
      </c>
      <c r="E2364" s="271">
        <f>E2098</f>
        <v>51900</v>
      </c>
      <c r="F2364" s="272">
        <f>F2098</f>
        <v>0</v>
      </c>
      <c r="G2364" s="272">
        <f>G2098</f>
        <v>58297</v>
      </c>
      <c r="H2364" s="272">
        <f t="shared" si="98"/>
        <v>110197</v>
      </c>
      <c r="I2364" s="256"/>
      <c r="J2364" s="256"/>
      <c r="K2364" s="256"/>
      <c r="L2364" s="256"/>
      <c r="M2364" s="256"/>
      <c r="O2364" s="260"/>
      <c r="P2364" s="259"/>
    </row>
    <row r="2365" spans="1:19" ht="15" customHeight="1" x14ac:dyDescent="0.2">
      <c r="A2365" s="147">
        <v>8</v>
      </c>
      <c r="B2365" s="147" t="s">
        <v>483</v>
      </c>
      <c r="C2365" s="313" t="s">
        <v>325</v>
      </c>
      <c r="D2365" s="314" t="s">
        <v>557</v>
      </c>
      <c r="E2365" s="271">
        <f>E2019</f>
        <v>0</v>
      </c>
      <c r="F2365" s="272">
        <f>F2019</f>
        <v>0</v>
      </c>
      <c r="G2365" s="272">
        <f>G2019+G2058</f>
        <v>94241.25</v>
      </c>
      <c r="H2365" s="272">
        <f t="shared" si="98"/>
        <v>94241.25</v>
      </c>
      <c r="I2365" s="256"/>
      <c r="J2365" s="256"/>
      <c r="K2365" s="256"/>
      <c r="L2365" s="256"/>
      <c r="M2365" s="256"/>
      <c r="O2365" s="260"/>
      <c r="P2365" s="259"/>
    </row>
    <row r="2366" spans="1:19" ht="15" customHeight="1" x14ac:dyDescent="0.2">
      <c r="A2366" s="147">
        <v>8</v>
      </c>
      <c r="B2366" s="147" t="s">
        <v>485</v>
      </c>
      <c r="C2366" s="313" t="s">
        <v>331</v>
      </c>
      <c r="D2366" s="314" t="s">
        <v>559</v>
      </c>
      <c r="E2366" s="271">
        <f>E1546</f>
        <v>0</v>
      </c>
      <c r="F2366" s="272">
        <f>F1546</f>
        <v>0</v>
      </c>
      <c r="G2366" s="272">
        <f>G1546</f>
        <v>26921.25</v>
      </c>
      <c r="H2366" s="272">
        <f t="shared" si="98"/>
        <v>26921.25</v>
      </c>
      <c r="I2366" s="256"/>
      <c r="J2366" s="256"/>
      <c r="K2366" s="256"/>
      <c r="L2366" s="256"/>
      <c r="M2366" s="256"/>
      <c r="O2366" s="260"/>
      <c r="P2366" s="259"/>
    </row>
    <row r="2367" spans="1:19" ht="15" customHeight="1" x14ac:dyDescent="0.2">
      <c r="A2367" s="147">
        <v>65</v>
      </c>
      <c r="B2367" s="147" t="s">
        <v>486</v>
      </c>
      <c r="C2367" s="313" t="s">
        <v>336</v>
      </c>
      <c r="D2367" s="314" t="s">
        <v>166</v>
      </c>
      <c r="E2367" s="271">
        <f>E2119</f>
        <v>600973.30000000005</v>
      </c>
      <c r="F2367" s="272">
        <f>F2119</f>
        <v>0</v>
      </c>
      <c r="G2367" s="272">
        <f>G2119</f>
        <v>0</v>
      </c>
      <c r="H2367" s="272">
        <f t="shared" si="98"/>
        <v>600973.30000000005</v>
      </c>
      <c r="I2367" s="256"/>
      <c r="J2367" s="256"/>
      <c r="K2367" s="256"/>
      <c r="L2367" s="256"/>
      <c r="M2367" s="256"/>
      <c r="O2367" s="260"/>
      <c r="P2367" s="259"/>
    </row>
    <row r="2368" spans="1:19" ht="15" customHeight="1" x14ac:dyDescent="0.2">
      <c r="A2368" s="147">
        <v>66</v>
      </c>
      <c r="B2368" s="147" t="s">
        <v>487</v>
      </c>
      <c r="C2368" s="313" t="s">
        <v>337</v>
      </c>
      <c r="D2368" s="314" t="s">
        <v>170</v>
      </c>
      <c r="E2368" s="271">
        <f>E2133</f>
        <v>711273.48</v>
      </c>
      <c r="F2368" s="271">
        <f>F2133</f>
        <v>0</v>
      </c>
      <c r="G2368" s="271">
        <f>G2133</f>
        <v>382929.84</v>
      </c>
      <c r="H2368" s="272">
        <f t="shared" si="98"/>
        <v>1094203.32</v>
      </c>
      <c r="I2368" s="256"/>
      <c r="J2368" s="256"/>
      <c r="K2368" s="256"/>
      <c r="L2368" s="256"/>
      <c r="M2368" s="256"/>
      <c r="O2368" s="260"/>
      <c r="P2368" s="259"/>
    </row>
    <row r="2369" spans="1:19" ht="15" customHeight="1" x14ac:dyDescent="0.2">
      <c r="A2369" s="147">
        <v>70</v>
      </c>
      <c r="B2369" s="147" t="s">
        <v>488</v>
      </c>
      <c r="C2369" s="313" t="s">
        <v>353</v>
      </c>
      <c r="D2369" s="314" t="s">
        <v>332</v>
      </c>
      <c r="E2369" s="271">
        <f>E2180</f>
        <v>0</v>
      </c>
      <c r="F2369" s="271">
        <f>F2180</f>
        <v>0</v>
      </c>
      <c r="G2369" s="271">
        <f>G2180</f>
        <v>69141.08</v>
      </c>
      <c r="H2369" s="272">
        <f t="shared" si="98"/>
        <v>69141.08</v>
      </c>
      <c r="I2369" s="256"/>
      <c r="J2369" s="256"/>
      <c r="K2369" s="256"/>
      <c r="L2369" s="256"/>
      <c r="M2369" s="256"/>
      <c r="O2369" s="260"/>
      <c r="P2369" s="259"/>
    </row>
    <row r="2370" spans="1:19" ht="15" customHeight="1" x14ac:dyDescent="0.2">
      <c r="A2370" s="147">
        <v>8</v>
      </c>
      <c r="B2370" s="147" t="s">
        <v>489</v>
      </c>
      <c r="C2370" s="313" t="s">
        <v>355</v>
      </c>
      <c r="D2370" s="314" t="s">
        <v>338</v>
      </c>
      <c r="E2370" s="271">
        <f>E720</f>
        <v>0</v>
      </c>
      <c r="F2370" s="271">
        <f>F720</f>
        <v>0</v>
      </c>
      <c r="G2370" s="271">
        <f>G720</f>
        <v>48700.800000000003</v>
      </c>
      <c r="H2370" s="272">
        <f t="shared" si="98"/>
        <v>48700.800000000003</v>
      </c>
      <c r="I2370" s="256"/>
      <c r="J2370" s="256"/>
      <c r="K2370" s="256"/>
      <c r="L2370" s="256"/>
      <c r="M2370" s="256"/>
      <c r="O2370" s="260"/>
      <c r="P2370" s="259"/>
      <c r="Q2370" s="259"/>
      <c r="R2370" s="259"/>
      <c r="S2370" s="259"/>
    </row>
    <row r="2371" spans="1:19" ht="15" customHeight="1" x14ac:dyDescent="0.2">
      <c r="A2371" s="147">
        <v>28</v>
      </c>
      <c r="B2371" s="147" t="s">
        <v>490</v>
      </c>
      <c r="C2371" s="313" t="s">
        <v>428</v>
      </c>
      <c r="D2371" s="314" t="s">
        <v>341</v>
      </c>
      <c r="E2371" s="271">
        <f>E1179</f>
        <v>0</v>
      </c>
      <c r="F2371" s="271">
        <f>F1179</f>
        <v>0</v>
      </c>
      <c r="G2371" s="271">
        <f>G1179</f>
        <v>101055.5</v>
      </c>
      <c r="H2371" s="272">
        <f t="shared" si="98"/>
        <v>101055.5</v>
      </c>
      <c r="I2371" s="256"/>
      <c r="J2371" s="256"/>
      <c r="K2371" s="256"/>
      <c r="L2371" s="256"/>
      <c r="M2371" s="256"/>
      <c r="O2371" s="260"/>
      <c r="P2371" s="259"/>
    </row>
    <row r="2372" spans="1:19" ht="15" customHeight="1" x14ac:dyDescent="0.2">
      <c r="A2372" s="147">
        <v>8</v>
      </c>
      <c r="B2372" s="147" t="s">
        <v>482</v>
      </c>
      <c r="C2372" s="313" t="s">
        <v>493</v>
      </c>
      <c r="D2372" s="314" t="s">
        <v>354</v>
      </c>
      <c r="E2372" s="271">
        <f>E1909+E1943+E1977</f>
        <v>0</v>
      </c>
      <c r="F2372" s="271">
        <f>F1909+F1943+F1977</f>
        <v>0</v>
      </c>
      <c r="G2372" s="271">
        <f>G1909+G1943+G1977</f>
        <v>93309.93</v>
      </c>
      <c r="H2372" s="272">
        <f t="shared" si="98"/>
        <v>93309.93</v>
      </c>
      <c r="I2372" s="256"/>
      <c r="J2372" s="256"/>
      <c r="K2372" s="256"/>
      <c r="L2372" s="256"/>
      <c r="M2372" s="256"/>
      <c r="O2372" s="260"/>
      <c r="P2372" s="259"/>
      <c r="Q2372" s="259"/>
    </row>
    <row r="2373" spans="1:19" ht="15" customHeight="1" x14ac:dyDescent="0.2">
      <c r="A2373" s="147">
        <v>6</v>
      </c>
      <c r="B2373" s="147" t="s">
        <v>692</v>
      </c>
      <c r="C2373" s="313" t="s">
        <v>560</v>
      </c>
      <c r="D2373" s="314" t="s">
        <v>683</v>
      </c>
      <c r="E2373" s="271">
        <f>E398</f>
        <v>0</v>
      </c>
      <c r="F2373" s="271">
        <f>F398</f>
        <v>0</v>
      </c>
      <c r="G2373" s="271">
        <f>G398</f>
        <v>21600.25</v>
      </c>
      <c r="H2373" s="271">
        <f>H398</f>
        <v>21600.25</v>
      </c>
      <c r="I2373" s="256"/>
      <c r="J2373" s="256"/>
      <c r="K2373" s="256"/>
      <c r="L2373" s="256"/>
      <c r="M2373" s="256"/>
      <c r="O2373" s="260"/>
      <c r="P2373" s="259"/>
      <c r="Q2373" s="259"/>
    </row>
    <row r="2374" spans="1:19" ht="15" customHeight="1" x14ac:dyDescent="0.2">
      <c r="A2374" s="147">
        <v>48</v>
      </c>
      <c r="B2374" s="147" t="s">
        <v>693</v>
      </c>
      <c r="C2374" s="313" t="s">
        <v>562</v>
      </c>
      <c r="D2374" s="314" t="s">
        <v>666</v>
      </c>
      <c r="E2374" s="271">
        <f>E435</f>
        <v>0</v>
      </c>
      <c r="F2374" s="271">
        <f>F435</f>
        <v>0</v>
      </c>
      <c r="G2374" s="271">
        <f>G435</f>
        <v>22977</v>
      </c>
      <c r="H2374" s="271">
        <f>H435</f>
        <v>22977</v>
      </c>
      <c r="I2374" s="256"/>
      <c r="J2374" s="256"/>
      <c r="K2374" s="256"/>
      <c r="L2374" s="256"/>
      <c r="M2374" s="256"/>
      <c r="O2374" s="260"/>
      <c r="P2374" s="259"/>
      <c r="Q2374" s="259"/>
    </row>
    <row r="2375" spans="1:19" ht="15" customHeight="1" x14ac:dyDescent="0.2">
      <c r="A2375" s="147">
        <v>48</v>
      </c>
      <c r="B2375" s="147" t="s">
        <v>694</v>
      </c>
      <c r="C2375" s="313" t="s">
        <v>685</v>
      </c>
      <c r="D2375" s="314" t="s">
        <v>682</v>
      </c>
      <c r="E2375" s="271">
        <f>E473</f>
        <v>0</v>
      </c>
      <c r="F2375" s="271">
        <f>F473</f>
        <v>0</v>
      </c>
      <c r="G2375" s="271">
        <f>G473</f>
        <v>24154</v>
      </c>
      <c r="H2375" s="271">
        <f>H473</f>
        <v>24154</v>
      </c>
      <c r="I2375" s="256"/>
      <c r="J2375" s="256"/>
      <c r="K2375" s="256"/>
      <c r="L2375" s="256"/>
      <c r="M2375" s="256"/>
      <c r="O2375" s="260"/>
      <c r="P2375" s="259"/>
      <c r="Q2375" s="259"/>
    </row>
    <row r="2376" spans="1:19" ht="15" customHeight="1" x14ac:dyDescent="0.2">
      <c r="A2376" s="147">
        <v>48</v>
      </c>
      <c r="B2376" s="147" t="s">
        <v>695</v>
      </c>
      <c r="C2376" s="313" t="s">
        <v>686</v>
      </c>
      <c r="D2376" s="314" t="s">
        <v>667</v>
      </c>
      <c r="E2376" s="271">
        <f>E512</f>
        <v>0</v>
      </c>
      <c r="F2376" s="271">
        <f>F512</f>
        <v>0</v>
      </c>
      <c r="G2376" s="271">
        <f>G512</f>
        <v>24027</v>
      </c>
      <c r="H2376" s="271">
        <f>H512</f>
        <v>24027</v>
      </c>
      <c r="I2376" s="256"/>
      <c r="J2376" s="256"/>
      <c r="K2376" s="256"/>
      <c r="L2376" s="256"/>
      <c r="M2376" s="256"/>
      <c r="O2376" s="260"/>
      <c r="P2376" s="259"/>
      <c r="Q2376" s="259"/>
    </row>
    <row r="2377" spans="1:19" ht="15" customHeight="1" x14ac:dyDescent="0.2">
      <c r="A2377" s="147">
        <v>10</v>
      </c>
      <c r="B2377" s="147" t="s">
        <v>696</v>
      </c>
      <c r="C2377" s="313" t="s">
        <v>687</v>
      </c>
      <c r="D2377" s="314" t="s">
        <v>668</v>
      </c>
      <c r="E2377" s="271">
        <f>E555</f>
        <v>0</v>
      </c>
      <c r="F2377" s="271">
        <f>F555</f>
        <v>0</v>
      </c>
      <c r="G2377" s="271">
        <f>G555</f>
        <v>154181.28</v>
      </c>
      <c r="H2377" s="271">
        <f>H555</f>
        <v>154181.28</v>
      </c>
      <c r="I2377" s="256"/>
      <c r="J2377" s="256"/>
      <c r="K2377" s="256"/>
      <c r="L2377" s="256"/>
      <c r="M2377" s="256"/>
      <c r="O2377" s="260"/>
      <c r="P2377" s="259"/>
      <c r="Q2377" s="259"/>
    </row>
    <row r="2378" spans="1:19" ht="15" customHeight="1" x14ac:dyDescent="0.2">
      <c r="A2378" s="147">
        <v>10</v>
      </c>
      <c r="B2378" s="147" t="s">
        <v>697</v>
      </c>
      <c r="C2378" s="313" t="s">
        <v>688</v>
      </c>
      <c r="D2378" s="314" t="s">
        <v>669</v>
      </c>
      <c r="E2378" s="271">
        <f>E592</f>
        <v>0</v>
      </c>
      <c r="F2378" s="271">
        <f>F592</f>
        <v>0</v>
      </c>
      <c r="G2378" s="271">
        <f>G592</f>
        <v>114583.48</v>
      </c>
      <c r="H2378" s="271">
        <f>H592</f>
        <v>114583.48</v>
      </c>
      <c r="I2378" s="256"/>
      <c r="J2378" s="256"/>
      <c r="K2378" s="256"/>
      <c r="L2378" s="256"/>
      <c r="M2378" s="256"/>
      <c r="O2378" s="260"/>
      <c r="P2378" s="259"/>
      <c r="Q2378" s="259"/>
    </row>
    <row r="2379" spans="1:19" ht="15" customHeight="1" x14ac:dyDescent="0.2">
      <c r="A2379" s="147">
        <v>10</v>
      </c>
      <c r="B2379" s="147" t="s">
        <v>698</v>
      </c>
      <c r="C2379" s="313" t="s">
        <v>689</v>
      </c>
      <c r="D2379" s="314" t="s">
        <v>684</v>
      </c>
      <c r="E2379" s="271">
        <f>E630</f>
        <v>0</v>
      </c>
      <c r="F2379" s="271">
        <f>F630</f>
        <v>0</v>
      </c>
      <c r="G2379" s="271">
        <f>G630</f>
        <v>39675.5</v>
      </c>
      <c r="H2379" s="271">
        <f>H630</f>
        <v>39675.5</v>
      </c>
      <c r="I2379" s="256"/>
      <c r="J2379" s="256"/>
      <c r="K2379" s="256"/>
      <c r="L2379" s="256"/>
      <c r="M2379" s="256"/>
      <c r="O2379" s="260"/>
      <c r="P2379" s="259"/>
      <c r="Q2379" s="259"/>
    </row>
    <row r="2380" spans="1:19" ht="15" customHeight="1" x14ac:dyDescent="0.2">
      <c r="A2380" s="147">
        <v>10</v>
      </c>
      <c r="B2380" s="147" t="s">
        <v>699</v>
      </c>
      <c r="C2380" s="313" t="s">
        <v>689</v>
      </c>
      <c r="D2380" s="314" t="s">
        <v>670</v>
      </c>
      <c r="E2380" s="271">
        <f>E670</f>
        <v>0</v>
      </c>
      <c r="F2380" s="271">
        <f>F670</f>
        <v>0</v>
      </c>
      <c r="G2380" s="271">
        <f>G670</f>
        <v>88670.82</v>
      </c>
      <c r="H2380" s="271">
        <f>H670</f>
        <v>88670.82</v>
      </c>
      <c r="I2380" s="256"/>
      <c r="J2380" s="256"/>
      <c r="K2380" s="256"/>
      <c r="L2380" s="256"/>
      <c r="M2380" s="256"/>
      <c r="O2380" s="260"/>
      <c r="P2380" s="259"/>
      <c r="Q2380" s="259"/>
    </row>
    <row r="2381" spans="1:19" ht="15" customHeight="1" x14ac:dyDescent="0.2">
      <c r="B2381" s="147">
        <v>68</v>
      </c>
      <c r="C2381" s="313" t="s">
        <v>689</v>
      </c>
      <c r="D2381" s="314" t="s">
        <v>701</v>
      </c>
      <c r="E2381" s="271">
        <f>E2148</f>
        <v>0</v>
      </c>
      <c r="F2381" s="271">
        <f>F2148</f>
        <v>0</v>
      </c>
      <c r="G2381" s="271">
        <f>G2148</f>
        <v>2581542.3800000004</v>
      </c>
      <c r="H2381" s="271">
        <f>H2148</f>
        <v>2581542.3800000004</v>
      </c>
      <c r="I2381" s="256"/>
      <c r="J2381" s="256"/>
      <c r="K2381" s="256"/>
      <c r="L2381" s="256"/>
      <c r="M2381" s="256"/>
      <c r="O2381" s="260"/>
      <c r="P2381" s="259"/>
      <c r="Q2381" s="259"/>
    </row>
    <row r="2382" spans="1:19" ht="15" customHeight="1" x14ac:dyDescent="0.2">
      <c r="A2382" s="147" t="s">
        <v>615</v>
      </c>
      <c r="B2382" s="147" t="s">
        <v>619</v>
      </c>
      <c r="C2382" s="313" t="s">
        <v>689</v>
      </c>
      <c r="D2382" s="314" t="s">
        <v>620</v>
      </c>
      <c r="E2382" s="271">
        <f>E2163</f>
        <v>73207.87</v>
      </c>
      <c r="F2382" s="271">
        <f>F2163</f>
        <v>0</v>
      </c>
      <c r="G2382" s="271">
        <f>G2163</f>
        <v>0</v>
      </c>
      <c r="H2382" s="272">
        <f t="shared" si="98"/>
        <v>73207.87</v>
      </c>
      <c r="I2382" s="256"/>
      <c r="J2382" s="256"/>
      <c r="K2382" s="256"/>
      <c r="L2382" s="256"/>
      <c r="M2382" s="256"/>
      <c r="O2382" s="260"/>
      <c r="P2382" s="259"/>
    </row>
    <row r="2383" spans="1:19" ht="15" customHeight="1" x14ac:dyDescent="0.2">
      <c r="A2383" s="147">
        <v>72</v>
      </c>
      <c r="B2383" s="147" t="s">
        <v>497</v>
      </c>
      <c r="C2383" s="313" t="s">
        <v>689</v>
      </c>
      <c r="D2383" s="314" t="s">
        <v>110</v>
      </c>
      <c r="E2383" s="271">
        <f>E2191</f>
        <v>46593.38</v>
      </c>
      <c r="F2383" s="271">
        <f>F2191</f>
        <v>0</v>
      </c>
      <c r="G2383" s="271">
        <f>G2191</f>
        <v>160</v>
      </c>
      <c r="H2383" s="272">
        <f t="shared" si="98"/>
        <v>46753.38</v>
      </c>
      <c r="I2383" s="256"/>
      <c r="J2383" s="256"/>
      <c r="K2383" s="256"/>
      <c r="L2383" s="256"/>
      <c r="M2383" s="256"/>
      <c r="O2383" s="260"/>
      <c r="P2383" s="259"/>
    </row>
    <row r="2384" spans="1:19" ht="15" customHeight="1" x14ac:dyDescent="0.2">
      <c r="C2384" s="270"/>
      <c r="D2384" s="315" t="s">
        <v>115</v>
      </c>
      <c r="E2384" s="316">
        <f>SUM(E2335:E2383)</f>
        <v>1916948.0299999998</v>
      </c>
      <c r="F2384" s="316">
        <f>SUM(F2335:F2383)</f>
        <v>0</v>
      </c>
      <c r="G2384" s="316">
        <f>SUM(G2335:G2383)</f>
        <v>9872912.459999999</v>
      </c>
      <c r="H2384" s="317">
        <f>+E2384+F2384+G2384</f>
        <v>11789860.489999998</v>
      </c>
      <c r="I2384" s="256"/>
      <c r="J2384" s="256"/>
      <c r="K2384" s="256"/>
      <c r="L2384" s="256"/>
      <c r="M2384" s="256"/>
      <c r="O2384" s="258"/>
      <c r="P2384" s="259"/>
    </row>
    <row r="2385" spans="1:15" ht="15" customHeight="1" x14ac:dyDescent="0.2">
      <c r="A2385" s="318" t="s">
        <v>587</v>
      </c>
      <c r="D2385" s="267"/>
      <c r="E2385" s="319">
        <f>+E2384-E2322</f>
        <v>0</v>
      </c>
      <c r="F2385" s="149"/>
      <c r="G2385" s="319">
        <f>+G2322-G2384</f>
        <v>0</v>
      </c>
      <c r="H2385" s="319">
        <f>+H2322-H2384</f>
        <v>0</v>
      </c>
      <c r="I2385" s="256"/>
      <c r="J2385" s="256"/>
      <c r="K2385" s="256"/>
      <c r="L2385" s="256"/>
      <c r="M2385" s="256"/>
    </row>
    <row r="2386" spans="1:15" ht="15" customHeight="1" x14ac:dyDescent="0.2">
      <c r="D2386" s="267"/>
      <c r="E2386" s="149">
        <f>INGRESOS!L92-EGRESOS!E2384</f>
        <v>0</v>
      </c>
      <c r="F2386" s="149">
        <f>INGRESOS!M92-EGRESOS!F2384</f>
        <v>9872912.4600000009</v>
      </c>
      <c r="G2386" s="149">
        <f>INGRESOS!M92-EGRESOS!G2384</f>
        <v>0</v>
      </c>
      <c r="H2386" s="149">
        <f>INGRESOS!N92-EGRESOS!H2384</f>
        <v>0</v>
      </c>
      <c r="I2386" s="256"/>
      <c r="J2386" s="256"/>
      <c r="K2386" s="256"/>
      <c r="L2386" s="256"/>
      <c r="M2386" s="256"/>
    </row>
    <row r="2387" spans="1:15" ht="15" customHeight="1" x14ac:dyDescent="0.2">
      <c r="D2387" s="267"/>
      <c r="E2387" s="149"/>
      <c r="F2387" s="149"/>
      <c r="G2387" s="149"/>
      <c r="H2387" s="149"/>
      <c r="I2387" s="256"/>
      <c r="J2387" s="256"/>
      <c r="K2387" s="256"/>
      <c r="L2387" s="256"/>
      <c r="M2387" s="256"/>
    </row>
    <row r="2388" spans="1:15" ht="15" customHeight="1" x14ac:dyDescent="0.2">
      <c r="D2388" s="252"/>
      <c r="E2388" s="260"/>
      <c r="F2388" s="260"/>
      <c r="G2388" s="149"/>
      <c r="H2388" s="149"/>
      <c r="I2388" s="256"/>
      <c r="J2388" s="256"/>
      <c r="K2388" s="256"/>
      <c r="L2388" s="256"/>
      <c r="M2388" s="256"/>
    </row>
    <row r="2389" spans="1:15" ht="15" customHeight="1" x14ac:dyDescent="0.2">
      <c r="D2389" s="252"/>
      <c r="E2389" s="260"/>
      <c r="F2389" s="260"/>
      <c r="G2389" s="149"/>
      <c r="H2389" s="149">
        <f>+INGRESOS!N92</f>
        <v>11789860.49</v>
      </c>
      <c r="I2389" s="73"/>
      <c r="J2389" s="73"/>
      <c r="K2389" s="73"/>
      <c r="L2389" s="73"/>
      <c r="M2389" s="73"/>
    </row>
    <row r="2390" spans="1:15" ht="15" customHeight="1" x14ac:dyDescent="0.2">
      <c r="D2390" s="252"/>
      <c r="E2390" s="260"/>
      <c r="F2390" s="260"/>
      <c r="G2390" s="149">
        <v>582985.4</v>
      </c>
      <c r="H2390" s="149">
        <f>+H2389-H2384</f>
        <v>0</v>
      </c>
      <c r="I2390" s="73"/>
      <c r="J2390" s="73"/>
      <c r="K2390" s="73"/>
      <c r="L2390" s="73"/>
      <c r="M2390" s="73"/>
      <c r="O2390" s="320"/>
    </row>
    <row r="2391" spans="1:15" ht="15" customHeight="1" x14ac:dyDescent="0.2">
      <c r="D2391" s="252"/>
      <c r="E2391" s="260"/>
      <c r="F2391" s="260"/>
      <c r="G2391" s="149">
        <f>G2390-G2389</f>
        <v>582985.4</v>
      </c>
      <c r="H2391" s="149"/>
      <c r="I2391" s="73"/>
      <c r="J2391" s="73"/>
      <c r="K2391" s="73"/>
      <c r="L2391" s="73"/>
      <c r="M2391" s="73"/>
    </row>
    <row r="2392" spans="1:15" ht="15" customHeight="1" x14ac:dyDescent="0.2">
      <c r="E2392" s="260"/>
      <c r="F2392" s="260"/>
      <c r="G2392" s="261"/>
      <c r="H2392" s="261"/>
      <c r="I2392" s="73"/>
      <c r="J2392" s="73"/>
      <c r="K2392" s="73"/>
      <c r="L2392" s="73"/>
      <c r="M2392" s="73"/>
    </row>
    <row r="2393" spans="1:15" ht="15" customHeight="1" x14ac:dyDescent="0.2">
      <c r="E2393" s="260"/>
      <c r="F2393" s="260"/>
      <c r="G2393" s="261"/>
      <c r="H2393" s="259">
        <f>+INGRESOS!N92</f>
        <v>11789860.49</v>
      </c>
      <c r="I2393" s="73"/>
      <c r="J2393" s="73"/>
      <c r="K2393" s="73"/>
      <c r="L2393" s="73"/>
      <c r="M2393" s="73"/>
    </row>
    <row r="2394" spans="1:15" ht="15" customHeight="1" x14ac:dyDescent="0.2">
      <c r="C2394" s="253"/>
      <c r="D2394" s="321"/>
      <c r="E2394" s="260"/>
      <c r="F2394" s="260"/>
      <c r="G2394" s="261"/>
      <c r="H2394" s="261">
        <f>+H2384-H2393</f>
        <v>0</v>
      </c>
      <c r="I2394" s="73"/>
      <c r="J2394" s="73"/>
      <c r="K2394" s="73"/>
      <c r="L2394" s="73"/>
      <c r="M2394" s="73"/>
    </row>
    <row r="2395" spans="1:15" ht="15" customHeight="1" x14ac:dyDescent="0.2">
      <c r="D2395" s="267"/>
      <c r="E2395" s="322">
        <v>0.25</v>
      </c>
      <c r="F2395" s="322"/>
      <c r="G2395" s="323">
        <v>0.75</v>
      </c>
      <c r="H2395" s="324" t="s">
        <v>361</v>
      </c>
      <c r="I2395" s="73"/>
      <c r="J2395" s="73"/>
      <c r="K2395" s="73"/>
      <c r="L2395" s="73"/>
      <c r="M2395" s="73"/>
    </row>
    <row r="2396" spans="1:15" ht="15" customHeight="1" x14ac:dyDescent="0.2">
      <c r="C2396" s="148"/>
      <c r="D2396" s="325"/>
      <c r="E2396" s="260">
        <f>+INGRESOS!L75</f>
        <v>0</v>
      </c>
      <c r="F2396" s="260"/>
      <c r="G2396" s="261">
        <f>+INGRESOS!L81</f>
        <v>711273.48</v>
      </c>
      <c r="H2396" s="261">
        <f>E2396+G2396</f>
        <v>711273.48</v>
      </c>
    </row>
    <row r="2397" spans="1:15" ht="15" customHeight="1" x14ac:dyDescent="0.2">
      <c r="C2397" s="148"/>
      <c r="D2397" s="249"/>
      <c r="E2397" s="260"/>
      <c r="F2397" s="260"/>
      <c r="G2397" s="261"/>
      <c r="H2397" s="261"/>
    </row>
    <row r="2398" spans="1:15" ht="15" customHeight="1" x14ac:dyDescent="0.2">
      <c r="C2398" s="148"/>
      <c r="D2398" s="252" t="s">
        <v>360</v>
      </c>
      <c r="E2398" s="260">
        <f>INGRESOS!L65</f>
        <v>417799.7</v>
      </c>
      <c r="F2398" s="260"/>
      <c r="G2398" s="261"/>
      <c r="H2398" s="261"/>
    </row>
    <row r="2399" spans="1:15" ht="15" customHeight="1" x14ac:dyDescent="0.2">
      <c r="C2399" s="148"/>
      <c r="D2399" s="259"/>
      <c r="E2399" s="260"/>
      <c r="F2399" s="260"/>
      <c r="G2399" s="261"/>
      <c r="H2399" s="261"/>
    </row>
    <row r="2400" spans="1:15" ht="15" customHeight="1" x14ac:dyDescent="0.2">
      <c r="C2400" s="148"/>
      <c r="D2400" s="252" t="s">
        <v>359</v>
      </c>
      <c r="E2400" s="260">
        <f>E2384-G2396</f>
        <v>1205674.5499999998</v>
      </c>
      <c r="F2400" s="260"/>
      <c r="G2400" s="261"/>
      <c r="H2400" s="261"/>
    </row>
    <row r="2401" spans="3:13" ht="15" customHeight="1" x14ac:dyDescent="0.2">
      <c r="C2401" s="148"/>
      <c r="E2401" s="260"/>
      <c r="F2401" s="260"/>
      <c r="G2401" s="261"/>
      <c r="H2401" s="261">
        <f>E2396+E2398-E2400</f>
        <v>-787874.84999999986</v>
      </c>
    </row>
    <row r="2402" spans="3:13" ht="15" customHeight="1" x14ac:dyDescent="0.2">
      <c r="C2402" s="148"/>
      <c r="E2402" s="260"/>
      <c r="F2402" s="260"/>
      <c r="G2402" s="261"/>
      <c r="H2402" s="261"/>
    </row>
    <row r="2403" spans="3:13" ht="15" customHeight="1" x14ac:dyDescent="0.2">
      <c r="C2403" s="148"/>
      <c r="E2403" s="260"/>
      <c r="F2403" s="260"/>
      <c r="G2403" s="261"/>
      <c r="H2403" s="261"/>
    </row>
    <row r="2404" spans="3:13" ht="15" customHeight="1" x14ac:dyDescent="0.2">
      <c r="C2404" s="148"/>
      <c r="E2404" s="260"/>
      <c r="F2404" s="260"/>
      <c r="G2404" s="261"/>
      <c r="H2404" s="261"/>
      <c r="I2404" s="259"/>
      <c r="J2404" s="259"/>
      <c r="K2404" s="259"/>
      <c r="L2404" s="259"/>
      <c r="M2404" s="259"/>
    </row>
    <row r="2405" spans="3:13" ht="15" customHeight="1" x14ac:dyDescent="0.2">
      <c r="C2405" s="148"/>
      <c r="E2405" s="260"/>
      <c r="F2405" s="260"/>
      <c r="G2405" s="261"/>
      <c r="H2405" s="261"/>
      <c r="I2405" s="259"/>
      <c r="J2405" s="259"/>
      <c r="K2405" s="259"/>
      <c r="L2405" s="259"/>
      <c r="M2405" s="259"/>
    </row>
    <row r="2406" spans="3:13" ht="15" customHeight="1" x14ac:dyDescent="0.2">
      <c r="C2406" s="148"/>
      <c r="D2406" s="297"/>
      <c r="E2406" s="260"/>
      <c r="F2406" s="260"/>
      <c r="G2406" s="261"/>
      <c r="H2406" s="261"/>
    </row>
    <row r="2407" spans="3:13" ht="15" customHeight="1" x14ac:dyDescent="0.2">
      <c r="C2407" s="148"/>
      <c r="D2407" s="297"/>
      <c r="E2407" s="260">
        <f>E2384-H2396</f>
        <v>1205674.5499999998</v>
      </c>
      <c r="F2407" s="260"/>
      <c r="G2407" s="261"/>
      <c r="H2407" s="261"/>
    </row>
    <row r="2408" spans="3:13" ht="15" customHeight="1" x14ac:dyDescent="0.2">
      <c r="C2408" s="148"/>
      <c r="D2408" s="297"/>
      <c r="E2408" s="260"/>
      <c r="F2408" s="260"/>
      <c r="G2408" s="261"/>
      <c r="H2408" s="261"/>
    </row>
    <row r="2409" spans="3:13" ht="15" customHeight="1" x14ac:dyDescent="0.2">
      <c r="C2409" s="148"/>
      <c r="E2409" s="260"/>
      <c r="F2409" s="260"/>
      <c r="G2409" s="261"/>
      <c r="H2409" s="261"/>
    </row>
    <row r="2410" spans="3:13" ht="15" customHeight="1" x14ac:dyDescent="0.2">
      <c r="C2410" s="148"/>
      <c r="E2410" s="260"/>
      <c r="F2410" s="260"/>
      <c r="G2410" s="261"/>
      <c r="H2410" s="261"/>
    </row>
    <row r="2411" spans="3:13" ht="15" customHeight="1" x14ac:dyDescent="0.2">
      <c r="C2411" s="148"/>
      <c r="D2411" s="297"/>
      <c r="E2411" s="260"/>
      <c r="F2411" s="260"/>
      <c r="G2411" s="261"/>
      <c r="H2411" s="261"/>
    </row>
    <row r="2412" spans="3:13" ht="15" customHeight="1" x14ac:dyDescent="0.2">
      <c r="C2412" s="148"/>
      <c r="D2412" s="297"/>
      <c r="E2412" s="260"/>
      <c r="F2412" s="260"/>
      <c r="G2412" s="261"/>
      <c r="H2412" s="261"/>
      <c r="I2412" s="259"/>
      <c r="J2412" s="259"/>
      <c r="K2412" s="259"/>
      <c r="L2412" s="259"/>
      <c r="M2412" s="259"/>
    </row>
    <row r="2413" spans="3:13" ht="15" customHeight="1" x14ac:dyDescent="0.2">
      <c r="C2413" s="148"/>
      <c r="D2413" s="252" t="s">
        <v>269</v>
      </c>
      <c r="E2413" s="260">
        <f>+INGRESOS!Q115</f>
        <v>305.27999999999997</v>
      </c>
      <c r="F2413" s="260"/>
      <c r="G2413" s="261"/>
      <c r="H2413" s="261"/>
      <c r="I2413" s="259"/>
      <c r="J2413" s="259"/>
      <c r="K2413" s="259"/>
      <c r="L2413" s="259"/>
      <c r="M2413" s="259"/>
    </row>
    <row r="2414" spans="3:13" ht="15" customHeight="1" x14ac:dyDescent="0.2">
      <c r="C2414" s="441"/>
      <c r="D2414" s="252" t="s">
        <v>342</v>
      </c>
      <c r="E2414" s="260">
        <f>H2409</f>
        <v>0</v>
      </c>
      <c r="F2414" s="260"/>
      <c r="G2414" s="261"/>
      <c r="H2414" s="261"/>
      <c r="I2414" s="259"/>
      <c r="J2414" s="259"/>
      <c r="K2414" s="259"/>
      <c r="L2414" s="259"/>
      <c r="M2414" s="259"/>
    </row>
    <row r="2415" spans="3:13" ht="15" customHeight="1" x14ac:dyDescent="0.2">
      <c r="C2415" s="441"/>
      <c r="D2415" s="252"/>
      <c r="E2415" s="260"/>
      <c r="F2415" s="260"/>
      <c r="G2415" s="261"/>
      <c r="H2415" s="261"/>
      <c r="I2415" s="259"/>
      <c r="J2415" s="259"/>
      <c r="K2415" s="259"/>
      <c r="L2415" s="259"/>
      <c r="M2415" s="259"/>
    </row>
    <row r="2416" spans="3:13" ht="15" customHeight="1" x14ac:dyDescent="0.2">
      <c r="C2416" s="441"/>
      <c r="D2416" s="252" t="s">
        <v>343</v>
      </c>
      <c r="E2416" s="260">
        <f>E2413-E2414</f>
        <v>305.27999999999997</v>
      </c>
      <c r="F2416" s="260"/>
      <c r="G2416" s="261"/>
      <c r="H2416" s="261"/>
      <c r="I2416" s="259"/>
      <c r="J2416" s="259"/>
      <c r="K2416" s="259"/>
      <c r="L2416" s="259"/>
      <c r="M2416" s="259"/>
    </row>
    <row r="2417" spans="3:13" ht="15" customHeight="1" x14ac:dyDescent="0.2">
      <c r="C2417" s="441"/>
      <c r="D2417" s="297"/>
      <c r="E2417" s="260"/>
      <c r="F2417" s="260"/>
      <c r="G2417" s="261"/>
      <c r="H2417" s="261"/>
      <c r="I2417" s="259"/>
      <c r="J2417" s="259"/>
      <c r="K2417" s="259"/>
      <c r="L2417" s="259"/>
      <c r="M2417" s="259"/>
    </row>
    <row r="2418" spans="3:13" ht="15" customHeight="1" x14ac:dyDescent="0.2">
      <c r="E2418" s="260"/>
      <c r="F2418" s="260"/>
      <c r="G2418" s="261"/>
      <c r="H2418" s="261"/>
      <c r="I2418" s="259"/>
      <c r="J2418" s="259"/>
      <c r="K2418" s="259"/>
      <c r="L2418" s="259"/>
      <c r="M2418" s="259"/>
    </row>
    <row r="2419" spans="3:13" ht="15" customHeight="1" x14ac:dyDescent="0.2">
      <c r="E2419" s="260"/>
      <c r="F2419" s="260"/>
      <c r="G2419" s="261"/>
      <c r="H2419" s="261"/>
      <c r="I2419" s="259"/>
      <c r="J2419" s="259"/>
      <c r="K2419" s="259"/>
      <c r="L2419" s="259"/>
      <c r="M2419" s="259"/>
    </row>
    <row r="2420" spans="3:13" ht="15" customHeight="1" x14ac:dyDescent="0.2">
      <c r="E2420" s="260"/>
      <c r="F2420" s="260"/>
      <c r="G2420" s="261"/>
      <c r="H2420" s="261"/>
      <c r="I2420" s="259"/>
      <c r="J2420" s="259"/>
      <c r="K2420" s="259"/>
      <c r="L2420" s="259"/>
      <c r="M2420" s="259"/>
    </row>
    <row r="2421" spans="3:13" ht="15" customHeight="1" x14ac:dyDescent="0.2">
      <c r="C2421" s="148"/>
      <c r="D2421" s="267"/>
      <c r="E2421" s="260"/>
      <c r="F2421" s="260"/>
      <c r="G2421" s="261"/>
      <c r="H2421" s="261"/>
      <c r="I2421" s="259"/>
      <c r="J2421" s="259"/>
      <c r="K2421" s="259"/>
      <c r="L2421" s="259"/>
      <c r="M2421" s="259"/>
    </row>
    <row r="2422" spans="3:13" ht="15" customHeight="1" x14ac:dyDescent="0.2">
      <c r="C2422" s="148"/>
      <c r="D2422" s="267"/>
      <c r="E2422" s="260"/>
      <c r="F2422" s="260"/>
      <c r="G2422" s="261">
        <f>E2335+E2343+E2353+E2364</f>
        <v>474900</v>
      </c>
      <c r="H2422" s="261"/>
      <c r="I2422" s="259"/>
      <c r="J2422" s="259"/>
      <c r="K2422" s="259"/>
      <c r="L2422" s="259"/>
      <c r="M2422" s="259"/>
    </row>
    <row r="2423" spans="3:13" ht="15" customHeight="1" x14ac:dyDescent="0.2">
      <c r="C2423" s="267"/>
      <c r="D2423" s="267"/>
      <c r="E2423" s="260"/>
      <c r="F2423" s="260"/>
      <c r="G2423" s="261">
        <v>582985.4</v>
      </c>
      <c r="H2423" s="261"/>
      <c r="I2423" s="259"/>
      <c r="J2423" s="259"/>
      <c r="K2423" s="259"/>
      <c r="L2423" s="259"/>
      <c r="M2423" s="259"/>
    </row>
    <row r="2424" spans="3:13" ht="15" customHeight="1" x14ac:dyDescent="0.2">
      <c r="C2424" s="267"/>
      <c r="D2424" s="267"/>
      <c r="E2424" s="260"/>
      <c r="F2424" s="260"/>
      <c r="G2424" s="261">
        <f>G2423-G2422</f>
        <v>108085.40000000002</v>
      </c>
      <c r="H2424" s="261"/>
      <c r="I2424" s="259"/>
      <c r="J2424" s="259"/>
      <c r="K2424" s="259"/>
      <c r="L2424" s="259"/>
      <c r="M2424" s="259"/>
    </row>
    <row r="2425" spans="3:13" ht="15" customHeight="1" x14ac:dyDescent="0.2">
      <c r="C2425" s="267"/>
      <c r="D2425" s="267"/>
      <c r="E2425" s="260"/>
      <c r="F2425" s="260"/>
      <c r="G2425" s="261"/>
      <c r="H2425" s="261"/>
      <c r="I2425" s="259"/>
      <c r="J2425" s="259"/>
      <c r="K2425" s="259"/>
      <c r="L2425" s="259"/>
      <c r="M2425" s="259"/>
    </row>
    <row r="2426" spans="3:13" ht="15" customHeight="1" x14ac:dyDescent="0.2">
      <c r="C2426" s="148"/>
      <c r="D2426" s="267"/>
      <c r="E2426" s="260"/>
      <c r="F2426" s="260"/>
      <c r="G2426" s="261"/>
      <c r="H2426" s="261"/>
      <c r="I2426" s="259"/>
      <c r="J2426" s="259"/>
      <c r="K2426" s="259"/>
      <c r="L2426" s="259"/>
      <c r="M2426" s="259"/>
    </row>
    <row r="2427" spans="3:13" ht="15" customHeight="1" x14ac:dyDescent="0.2">
      <c r="C2427" s="148"/>
      <c r="D2427" s="148"/>
      <c r="E2427" s="260"/>
      <c r="F2427" s="260"/>
      <c r="G2427" s="261"/>
      <c r="H2427" s="261"/>
    </row>
    <row r="2428" spans="3:13" ht="15" customHeight="1" x14ac:dyDescent="0.2">
      <c r="E2428" s="260"/>
      <c r="F2428" s="260"/>
      <c r="G2428" s="261"/>
      <c r="H2428" s="261"/>
    </row>
    <row r="2429" spans="3:13" ht="15" customHeight="1" x14ac:dyDescent="0.2">
      <c r="E2429" s="260"/>
      <c r="F2429" s="260"/>
      <c r="G2429" s="261">
        <f>G2384</f>
        <v>9872912.459999999</v>
      </c>
      <c r="H2429" s="261"/>
      <c r="I2429" s="259"/>
      <c r="J2429" s="259"/>
      <c r="K2429" s="259"/>
      <c r="L2429" s="259"/>
      <c r="M2429" s="259"/>
    </row>
    <row r="2430" spans="3:13" ht="15" customHeight="1" x14ac:dyDescent="0.2">
      <c r="E2430" s="260"/>
      <c r="F2430" s="260"/>
      <c r="G2430" s="261">
        <v>2959642.83</v>
      </c>
      <c r="H2430" s="261"/>
      <c r="I2430" s="259"/>
      <c r="J2430" s="259"/>
      <c r="K2430" s="259"/>
      <c r="L2430" s="259"/>
      <c r="M2430" s="259"/>
    </row>
    <row r="2431" spans="3:13" ht="15" customHeight="1" x14ac:dyDescent="0.2">
      <c r="E2431" s="260"/>
      <c r="F2431" s="260"/>
      <c r="G2431" s="261">
        <f>G2430-G2429</f>
        <v>-6913269.629999999</v>
      </c>
      <c r="H2431" s="261"/>
      <c r="I2431" s="259"/>
      <c r="J2431" s="259"/>
      <c r="K2431" s="259"/>
      <c r="L2431" s="259"/>
      <c r="M2431" s="259"/>
    </row>
    <row r="2432" spans="3:13" ht="15" customHeight="1" x14ac:dyDescent="0.2">
      <c r="E2432" s="260"/>
      <c r="F2432" s="260"/>
      <c r="G2432" s="261"/>
      <c r="H2432" s="261"/>
    </row>
    <row r="2433" spans="5:13" ht="15" customHeight="1" x14ac:dyDescent="0.2">
      <c r="E2433" s="260"/>
      <c r="F2433" s="260"/>
      <c r="G2433" s="261"/>
      <c r="H2433" s="261"/>
    </row>
    <row r="2434" spans="5:13" ht="15" customHeight="1" x14ac:dyDescent="0.2">
      <c r="E2434" s="260"/>
      <c r="F2434" s="260"/>
      <c r="G2434" s="261"/>
      <c r="H2434" s="261"/>
    </row>
    <row r="2435" spans="5:13" ht="15" customHeight="1" x14ac:dyDescent="0.2">
      <c r="E2435" s="260"/>
      <c r="F2435" s="260"/>
      <c r="G2435" s="261"/>
      <c r="H2435" s="261"/>
    </row>
    <row r="2436" spans="5:13" ht="15" customHeight="1" x14ac:dyDescent="0.2">
      <c r="E2436" s="260"/>
      <c r="F2436" s="260"/>
      <c r="G2436" s="261"/>
      <c r="H2436" s="261"/>
    </row>
    <row r="2437" spans="5:13" ht="15" customHeight="1" x14ac:dyDescent="0.2">
      <c r="E2437" s="260"/>
      <c r="F2437" s="260"/>
      <c r="G2437" s="261"/>
      <c r="H2437" s="261"/>
      <c r="I2437" s="259"/>
      <c r="J2437" s="259"/>
      <c r="K2437" s="259"/>
      <c r="L2437" s="259"/>
      <c r="M2437" s="259"/>
    </row>
    <row r="2438" spans="5:13" ht="15" customHeight="1" x14ac:dyDescent="0.2">
      <c r="E2438" s="260"/>
      <c r="F2438" s="260"/>
      <c r="G2438" s="261"/>
      <c r="H2438" s="261"/>
      <c r="I2438" s="259"/>
      <c r="J2438" s="259"/>
      <c r="K2438" s="259"/>
      <c r="L2438" s="259"/>
      <c r="M2438" s="259"/>
    </row>
    <row r="2439" spans="5:13" ht="15" customHeight="1" x14ac:dyDescent="0.2">
      <c r="E2439" s="260"/>
      <c r="F2439" s="260"/>
      <c r="G2439" s="261"/>
      <c r="H2439" s="261"/>
      <c r="I2439" s="259"/>
      <c r="J2439" s="259"/>
      <c r="K2439" s="259"/>
      <c r="L2439" s="259"/>
      <c r="M2439" s="259"/>
    </row>
    <row r="2440" spans="5:13" ht="15" customHeight="1" x14ac:dyDescent="0.2">
      <c r="E2440" s="260"/>
      <c r="F2440" s="260"/>
      <c r="G2440" s="261"/>
      <c r="H2440" s="261"/>
      <c r="I2440" s="259"/>
      <c r="J2440" s="259"/>
      <c r="K2440" s="259"/>
      <c r="L2440" s="259"/>
      <c r="M2440" s="259"/>
    </row>
    <row r="2441" spans="5:13" ht="15" customHeight="1" x14ac:dyDescent="0.2">
      <c r="E2441" s="260"/>
      <c r="F2441" s="260"/>
      <c r="G2441" s="261"/>
      <c r="H2441" s="261"/>
      <c r="I2441" s="259"/>
      <c r="J2441" s="259"/>
      <c r="K2441" s="259"/>
      <c r="L2441" s="259"/>
      <c r="M2441" s="259"/>
    </row>
    <row r="2442" spans="5:13" ht="15" customHeight="1" x14ac:dyDescent="0.2">
      <c r="E2442" s="260"/>
      <c r="F2442" s="260"/>
      <c r="G2442" s="261"/>
      <c r="H2442" s="261"/>
    </row>
    <row r="2443" spans="5:13" ht="15" customHeight="1" x14ac:dyDescent="0.2">
      <c r="E2443" s="260"/>
      <c r="F2443" s="260"/>
      <c r="G2443" s="261"/>
      <c r="H2443" s="261"/>
    </row>
    <row r="2444" spans="5:13" ht="15" customHeight="1" x14ac:dyDescent="0.2">
      <c r="E2444" s="260"/>
      <c r="F2444" s="260"/>
      <c r="G2444" s="261"/>
      <c r="H2444" s="261"/>
    </row>
    <row r="2445" spans="5:13" ht="15" customHeight="1" x14ac:dyDescent="0.2">
      <c r="E2445" s="260"/>
      <c r="F2445" s="260"/>
      <c r="G2445" s="261"/>
      <c r="H2445" s="261"/>
    </row>
    <row r="2446" spans="5:13" ht="15" customHeight="1" x14ac:dyDescent="0.2">
      <c r="E2446" s="260"/>
      <c r="F2446" s="260"/>
      <c r="G2446" s="261"/>
      <c r="H2446" s="261"/>
    </row>
    <row r="2447" spans="5:13" ht="15" customHeight="1" x14ac:dyDescent="0.2">
      <c r="E2447" s="260"/>
      <c r="F2447" s="260"/>
      <c r="G2447" s="261"/>
      <c r="H2447" s="261"/>
    </row>
    <row r="2448" spans="5:13" ht="15" customHeight="1" x14ac:dyDescent="0.2">
      <c r="E2448" s="260"/>
      <c r="F2448" s="260"/>
      <c r="G2448" s="261"/>
      <c r="H2448" s="261"/>
    </row>
    <row r="2449" spans="4:13" ht="15" customHeight="1" x14ac:dyDescent="0.2">
      <c r="E2449" s="149"/>
      <c r="F2449" s="149"/>
      <c r="G2449" s="149"/>
      <c r="H2449" s="149"/>
    </row>
    <row r="2450" spans="4:13" ht="15" customHeight="1" x14ac:dyDescent="0.2">
      <c r="E2450" s="149"/>
      <c r="F2450" s="149"/>
      <c r="G2450" s="149"/>
      <c r="H2450" s="261"/>
    </row>
    <row r="2451" spans="4:13" ht="15" customHeight="1" x14ac:dyDescent="0.2">
      <c r="E2451" s="149"/>
      <c r="F2451" s="149"/>
      <c r="G2451" s="149"/>
      <c r="H2451" s="261"/>
    </row>
    <row r="2452" spans="4:13" ht="15" customHeight="1" x14ac:dyDescent="0.2">
      <c r="E2452" s="149"/>
      <c r="F2452" s="149"/>
      <c r="G2452" s="149"/>
      <c r="H2452" s="149"/>
    </row>
    <row r="2453" spans="4:13" ht="15" customHeight="1" x14ac:dyDescent="0.2">
      <c r="E2453" s="149"/>
      <c r="F2453" s="149"/>
      <c r="G2453" s="149"/>
      <c r="H2453" s="149"/>
    </row>
    <row r="2454" spans="4:13" ht="15" customHeight="1" x14ac:dyDescent="0.2">
      <c r="E2454" s="149"/>
      <c r="F2454" s="149"/>
      <c r="G2454" s="149"/>
      <c r="H2454" s="149"/>
    </row>
    <row r="2455" spans="4:13" ht="15" customHeight="1" x14ac:dyDescent="0.2">
      <c r="E2455" s="149"/>
      <c r="F2455" s="149"/>
      <c r="G2455" s="149"/>
      <c r="H2455" s="149"/>
      <c r="I2455" s="259"/>
      <c r="J2455" s="259"/>
      <c r="K2455" s="259"/>
      <c r="L2455" s="259"/>
      <c r="M2455" s="259"/>
    </row>
    <row r="2456" spans="4:13" ht="15" customHeight="1" x14ac:dyDescent="0.2">
      <c r="E2456" s="149"/>
      <c r="F2456" s="149"/>
      <c r="G2456" s="149"/>
      <c r="H2456" s="149"/>
      <c r="I2456" s="259"/>
      <c r="J2456" s="259"/>
      <c r="K2456" s="259"/>
      <c r="L2456" s="259"/>
      <c r="M2456" s="259"/>
    </row>
    <row r="2457" spans="4:13" ht="15" customHeight="1" x14ac:dyDescent="0.2">
      <c r="E2457" s="149"/>
      <c r="F2457" s="149"/>
      <c r="G2457" s="149"/>
      <c r="H2457" s="149"/>
      <c r="I2457" s="259"/>
      <c r="J2457" s="259"/>
      <c r="K2457" s="259"/>
      <c r="L2457" s="259"/>
      <c r="M2457" s="259"/>
    </row>
    <row r="2458" spans="4:13" ht="15" customHeight="1" x14ac:dyDescent="0.2">
      <c r="E2458" s="285"/>
      <c r="F2458" s="285"/>
      <c r="G2458" s="437"/>
      <c r="H2458" s="437"/>
      <c r="I2458" s="259"/>
      <c r="J2458" s="259"/>
      <c r="K2458" s="259"/>
      <c r="L2458" s="259"/>
      <c r="M2458" s="259"/>
    </row>
    <row r="2459" spans="4:13" ht="15" customHeight="1" x14ac:dyDescent="0.2">
      <c r="E2459" s="285"/>
      <c r="F2459" s="285"/>
      <c r="G2459" s="326"/>
      <c r="H2459" s="326"/>
      <c r="I2459" s="259"/>
      <c r="J2459" s="259"/>
      <c r="K2459" s="259"/>
      <c r="L2459" s="259"/>
      <c r="M2459" s="259"/>
    </row>
    <row r="2460" spans="4:13" ht="15" customHeight="1" x14ac:dyDescent="0.2">
      <c r="D2460" s="267"/>
      <c r="E2460" s="285"/>
      <c r="F2460" s="285"/>
      <c r="G2460" s="326"/>
      <c r="H2460" s="326"/>
      <c r="I2460" s="259"/>
      <c r="J2460" s="259"/>
      <c r="K2460" s="259"/>
      <c r="L2460" s="259"/>
      <c r="M2460" s="259"/>
    </row>
    <row r="2461" spans="4:13" ht="15" customHeight="1" x14ac:dyDescent="0.2">
      <c r="D2461" s="267"/>
      <c r="E2461" s="267"/>
      <c r="F2461" s="267"/>
      <c r="G2461" s="267"/>
      <c r="H2461" s="267"/>
    </row>
    <row r="2462" spans="4:13" ht="15" customHeight="1" x14ac:dyDescent="0.2">
      <c r="D2462" s="267"/>
      <c r="E2462" s="267"/>
      <c r="F2462" s="267"/>
      <c r="G2462" s="267"/>
      <c r="H2462" s="267"/>
    </row>
    <row r="2463" spans="4:13" ht="15" customHeight="1" x14ac:dyDescent="0.2">
      <c r="D2463" s="267"/>
      <c r="E2463" s="267"/>
      <c r="F2463" s="267"/>
      <c r="G2463" s="267"/>
      <c r="H2463" s="267"/>
    </row>
    <row r="2464" spans="4:13" ht="15" customHeight="1" x14ac:dyDescent="0.2">
      <c r="D2464" s="267"/>
      <c r="E2464" s="285"/>
      <c r="F2464" s="285"/>
      <c r="G2464" s="326"/>
      <c r="H2464" s="326"/>
    </row>
    <row r="2465" spans="4:13" ht="15" customHeight="1" x14ac:dyDescent="0.2">
      <c r="D2465" s="267"/>
      <c r="E2465" s="148"/>
      <c r="F2465" s="148"/>
      <c r="G2465" s="327"/>
      <c r="H2465" s="327"/>
    </row>
    <row r="2466" spans="4:13" ht="15" customHeight="1" x14ac:dyDescent="0.2">
      <c r="D2466" s="267"/>
    </row>
    <row r="2467" spans="4:13" ht="15" customHeight="1" x14ac:dyDescent="0.2">
      <c r="D2467" s="267"/>
      <c r="G2467" s="259"/>
      <c r="H2467" s="259"/>
    </row>
    <row r="2468" spans="4:13" ht="15" customHeight="1" x14ac:dyDescent="0.2">
      <c r="D2468" s="267"/>
      <c r="G2468" s="259"/>
      <c r="H2468" s="259"/>
    </row>
    <row r="2469" spans="4:13" ht="15" customHeight="1" x14ac:dyDescent="0.2">
      <c r="D2469" s="267"/>
      <c r="G2469" s="259"/>
      <c r="H2469" s="259"/>
    </row>
    <row r="2470" spans="4:13" ht="15" customHeight="1" x14ac:dyDescent="0.2">
      <c r="D2470" s="267"/>
      <c r="G2470" s="259"/>
      <c r="H2470" s="259"/>
      <c r="I2470" s="259"/>
      <c r="J2470" s="259"/>
      <c r="K2470" s="259"/>
      <c r="L2470" s="259"/>
      <c r="M2470" s="259"/>
    </row>
    <row r="2471" spans="4:13" ht="15" customHeight="1" x14ac:dyDescent="0.2">
      <c r="D2471" s="267"/>
      <c r="G2471" s="259"/>
      <c r="H2471" s="259"/>
      <c r="I2471" s="259"/>
      <c r="J2471" s="259"/>
      <c r="K2471" s="259"/>
      <c r="L2471" s="259"/>
      <c r="M2471" s="259"/>
    </row>
    <row r="2472" spans="4:13" ht="15" customHeight="1" x14ac:dyDescent="0.2">
      <c r="D2472" s="267"/>
      <c r="G2472" s="259"/>
      <c r="H2472" s="259"/>
      <c r="I2472" s="259"/>
      <c r="J2472" s="259"/>
      <c r="K2472" s="259"/>
      <c r="L2472" s="259"/>
      <c r="M2472" s="259"/>
    </row>
    <row r="2473" spans="4:13" ht="15" customHeight="1" x14ac:dyDescent="0.2">
      <c r="D2473" s="267"/>
      <c r="G2473" s="259"/>
      <c r="H2473" s="259"/>
      <c r="I2473" s="259"/>
      <c r="J2473" s="259"/>
      <c r="K2473" s="259"/>
      <c r="L2473" s="259"/>
      <c r="M2473" s="259"/>
    </row>
    <row r="2474" spans="4:13" ht="15" customHeight="1" x14ac:dyDescent="0.2">
      <c r="D2474" s="267"/>
      <c r="G2474" s="259"/>
      <c r="H2474" s="259"/>
      <c r="I2474" s="259"/>
      <c r="J2474" s="259"/>
      <c r="K2474" s="259"/>
      <c r="L2474" s="259"/>
      <c r="M2474" s="259"/>
    </row>
    <row r="2475" spans="4:13" ht="15" customHeight="1" x14ac:dyDescent="0.2">
      <c r="D2475" s="267"/>
      <c r="G2475" s="259"/>
      <c r="H2475" s="259"/>
      <c r="I2475" s="259"/>
      <c r="J2475" s="259"/>
      <c r="K2475" s="259"/>
      <c r="L2475" s="259"/>
      <c r="M2475" s="259"/>
    </row>
    <row r="2476" spans="4:13" ht="15" customHeight="1" x14ac:dyDescent="0.2">
      <c r="G2476" s="259"/>
      <c r="H2476" s="259"/>
      <c r="I2476" s="259"/>
      <c r="J2476" s="259"/>
      <c r="K2476" s="259"/>
      <c r="L2476" s="259"/>
      <c r="M2476" s="259"/>
    </row>
    <row r="2477" spans="4:13" ht="15" customHeight="1" x14ac:dyDescent="0.2">
      <c r="G2477" s="259"/>
      <c r="H2477" s="259"/>
    </row>
    <row r="2478" spans="4:13" ht="15" customHeight="1" x14ac:dyDescent="0.2">
      <c r="G2478" s="259"/>
      <c r="H2478" s="259"/>
    </row>
    <row r="2479" spans="4:13" ht="15" customHeight="1" x14ac:dyDescent="0.2">
      <c r="G2479" s="259"/>
      <c r="H2479" s="259"/>
    </row>
    <row r="2480" spans="4:13" ht="15" customHeight="1" x14ac:dyDescent="0.2">
      <c r="G2480" s="259"/>
      <c r="H2480" s="259"/>
    </row>
    <row r="2481" spans="7:8" ht="15" customHeight="1" x14ac:dyDescent="0.2">
      <c r="G2481" s="259"/>
      <c r="H2481" s="259"/>
    </row>
    <row r="2482" spans="7:8" ht="15" customHeight="1" x14ac:dyDescent="0.2">
      <c r="G2482" s="259"/>
      <c r="H2482" s="259"/>
    </row>
    <row r="2483" spans="7:8" ht="15" customHeight="1" x14ac:dyDescent="0.2">
      <c r="G2483" s="259"/>
      <c r="H2483" s="259"/>
    </row>
    <row r="2484" spans="7:8" ht="15" customHeight="1" x14ac:dyDescent="0.2">
      <c r="G2484" s="259"/>
      <c r="H2484" s="259"/>
    </row>
    <row r="2485" spans="7:8" ht="15" customHeight="1" x14ac:dyDescent="0.2">
      <c r="G2485" s="259"/>
      <c r="H2485" s="259"/>
    </row>
    <row r="2486" spans="7:8" ht="15" customHeight="1" x14ac:dyDescent="0.2">
      <c r="G2486" s="259"/>
      <c r="H2486" s="259"/>
    </row>
    <row r="2487" spans="7:8" ht="15" customHeight="1" x14ac:dyDescent="0.2">
      <c r="G2487" s="259"/>
      <c r="H2487" s="259"/>
    </row>
    <row r="2488" spans="7:8" ht="15" customHeight="1" x14ac:dyDescent="0.2">
      <c r="G2488" s="259"/>
      <c r="H2488" s="259"/>
    </row>
    <row r="2489" spans="7:8" ht="15" customHeight="1" x14ac:dyDescent="0.2">
      <c r="G2489" s="259"/>
      <c r="H2489" s="259"/>
    </row>
    <row r="2490" spans="7:8" ht="15" customHeight="1" x14ac:dyDescent="0.2">
      <c r="G2490" s="259"/>
      <c r="H2490" s="259"/>
    </row>
    <row r="2491" spans="7:8" ht="15" customHeight="1" x14ac:dyDescent="0.2">
      <c r="G2491" s="259"/>
      <c r="H2491" s="259"/>
    </row>
    <row r="2492" spans="7:8" ht="15" customHeight="1" x14ac:dyDescent="0.2">
      <c r="G2492" s="259"/>
      <c r="H2492" s="259"/>
    </row>
    <row r="2493" spans="7:8" ht="15" customHeight="1" x14ac:dyDescent="0.2">
      <c r="G2493" s="259"/>
      <c r="H2493" s="259"/>
    </row>
    <row r="2494" spans="7:8" ht="15" customHeight="1" x14ac:dyDescent="0.2">
      <c r="G2494" s="259"/>
      <c r="H2494" s="259"/>
    </row>
    <row r="2495" spans="7:8" ht="15" customHeight="1" x14ac:dyDescent="0.2">
      <c r="G2495" s="259"/>
      <c r="H2495" s="259"/>
    </row>
    <row r="2496" spans="7:8" ht="15" customHeight="1" x14ac:dyDescent="0.2">
      <c r="G2496" s="259"/>
      <c r="H2496" s="259"/>
    </row>
    <row r="2497" spans="7:8" ht="15" customHeight="1" x14ac:dyDescent="0.2">
      <c r="G2497" s="259"/>
      <c r="H2497" s="259"/>
    </row>
    <row r="2498" spans="7:8" ht="15" customHeight="1" x14ac:dyDescent="0.2">
      <c r="G2498" s="259"/>
      <c r="H2498" s="259"/>
    </row>
    <row r="2499" spans="7:8" ht="15" customHeight="1" x14ac:dyDescent="0.2">
      <c r="G2499" s="259"/>
      <c r="H2499" s="259"/>
    </row>
    <row r="2500" spans="7:8" ht="15" customHeight="1" x14ac:dyDescent="0.2">
      <c r="G2500" s="259"/>
      <c r="H2500" s="259"/>
    </row>
    <row r="2501" spans="7:8" ht="15" customHeight="1" x14ac:dyDescent="0.2">
      <c r="G2501" s="259"/>
      <c r="H2501" s="259"/>
    </row>
    <row r="2502" spans="7:8" ht="15" customHeight="1" x14ac:dyDescent="0.2">
      <c r="G2502" s="259"/>
      <c r="H2502" s="259"/>
    </row>
    <row r="2503" spans="7:8" ht="15" customHeight="1" x14ac:dyDescent="0.2">
      <c r="G2503" s="259"/>
      <c r="H2503" s="259"/>
    </row>
    <row r="2504" spans="7:8" ht="15" customHeight="1" x14ac:dyDescent="0.2">
      <c r="G2504" s="259"/>
      <c r="H2504" s="259"/>
    </row>
    <row r="2505" spans="7:8" ht="15" customHeight="1" x14ac:dyDescent="0.2">
      <c r="G2505" s="259"/>
      <c r="H2505" s="259"/>
    </row>
    <row r="2506" spans="7:8" ht="15" customHeight="1" x14ac:dyDescent="0.2">
      <c r="G2506" s="259"/>
      <c r="H2506" s="259"/>
    </row>
    <row r="2507" spans="7:8" ht="15" customHeight="1" x14ac:dyDescent="0.2">
      <c r="G2507" s="259"/>
      <c r="H2507" s="259"/>
    </row>
    <row r="2508" spans="7:8" ht="15" customHeight="1" x14ac:dyDescent="0.2">
      <c r="G2508" s="259"/>
      <c r="H2508" s="259"/>
    </row>
    <row r="2509" spans="7:8" ht="15" customHeight="1" x14ac:dyDescent="0.2">
      <c r="G2509" s="259"/>
      <c r="H2509" s="259"/>
    </row>
    <row r="2510" spans="7:8" ht="15" customHeight="1" x14ac:dyDescent="0.2">
      <c r="G2510" s="259"/>
      <c r="H2510" s="259"/>
    </row>
    <row r="2511" spans="7:8" ht="15" customHeight="1" x14ac:dyDescent="0.2">
      <c r="G2511" s="259"/>
      <c r="H2511" s="259"/>
    </row>
    <row r="2512" spans="7:8" ht="15" customHeight="1" x14ac:dyDescent="0.2">
      <c r="G2512" s="259"/>
      <c r="H2512" s="259"/>
    </row>
  </sheetData>
  <autoFilter ref="A1:S2323"/>
  <mergeCells count="496">
    <mergeCell ref="C2329:H2329"/>
    <mergeCell ref="C1224:H1224"/>
    <mergeCell ref="C1225:H1225"/>
    <mergeCell ref="C1341:H1341"/>
    <mergeCell ref="C1260:C1261"/>
    <mergeCell ref="C1800:C1801"/>
    <mergeCell ref="C1838:H1838"/>
    <mergeCell ref="C1839:H1839"/>
    <mergeCell ref="C1840:H1840"/>
    <mergeCell ref="C1841:H1841"/>
    <mergeCell ref="C2023:H2023"/>
    <mergeCell ref="C2103:H2103"/>
    <mergeCell ref="C2102:H2102"/>
    <mergeCell ref="C2066:H2066"/>
    <mergeCell ref="C2067:C2068"/>
    <mergeCell ref="C2065:H2065"/>
    <mergeCell ref="C1842:H1842"/>
    <mergeCell ref="C1756:H1756"/>
    <mergeCell ref="C2062:H2062"/>
    <mergeCell ref="C1721:H1721"/>
    <mergeCell ref="C1757:C1758"/>
    <mergeCell ref="C1752:H1752"/>
    <mergeCell ref="C1755:H1755"/>
    <mergeCell ref="C1753:H1753"/>
    <mergeCell ref="C2327:H2327"/>
    <mergeCell ref="C2326:H2326"/>
    <mergeCell ref="C1187:C1188"/>
    <mergeCell ref="C1103:C1104"/>
    <mergeCell ref="C1952:C1953"/>
    <mergeCell ref="C1843:C1844"/>
    <mergeCell ref="C1913:H1913"/>
    <mergeCell ref="C1914:H1914"/>
    <mergeCell ref="C1915:H1915"/>
    <mergeCell ref="C1916:H1916"/>
    <mergeCell ref="C1917:H1917"/>
    <mergeCell ref="C1918:C1919"/>
    <mergeCell ref="C1947:H1947"/>
    <mergeCell ref="C1948:H1948"/>
    <mergeCell ref="C1879:H1879"/>
    <mergeCell ref="C1645:H1645"/>
    <mergeCell ref="C1255:H1255"/>
    <mergeCell ref="C1256:H1256"/>
    <mergeCell ref="C1723:C1724"/>
    <mergeCell ref="C1795:H1795"/>
    <mergeCell ref="C1796:H1796"/>
    <mergeCell ref="C1797:H1797"/>
    <mergeCell ref="C1798:H1798"/>
    <mergeCell ref="C1799:H1799"/>
    <mergeCell ref="C2330:H2330"/>
    <mergeCell ref="C1066:C1067"/>
    <mergeCell ref="C1949:H1949"/>
    <mergeCell ref="C1950:H1950"/>
    <mergeCell ref="C1951:H1951"/>
    <mergeCell ref="C1680:H1680"/>
    <mergeCell ref="C1551:H1551"/>
    <mergeCell ref="C1641:H1641"/>
    <mergeCell ref="C1478:H1478"/>
    <mergeCell ref="C1598:H1598"/>
    <mergeCell ref="C1553:H1553"/>
    <mergeCell ref="C1554:H1554"/>
    <mergeCell ref="C1597:H1597"/>
    <mergeCell ref="C1595:H1595"/>
    <mergeCell ref="C1594:H1594"/>
    <mergeCell ref="C1552:H1552"/>
    <mergeCell ref="C1596:H1596"/>
    <mergeCell ref="C1643:H1643"/>
    <mergeCell ref="C1676:H1676"/>
    <mergeCell ref="C1677:H1677"/>
    <mergeCell ref="C1646:C1647"/>
    <mergeCell ref="C1183:H1183"/>
    <mergeCell ref="C1479:H1479"/>
    <mergeCell ref="C1480:C1481"/>
    <mergeCell ref="C5:H5"/>
    <mergeCell ref="C778:H778"/>
    <mergeCell ref="C781:H781"/>
    <mergeCell ref="C56:H56"/>
    <mergeCell ref="C59:H59"/>
    <mergeCell ref="C60:H60"/>
    <mergeCell ref="C61:C62"/>
    <mergeCell ref="C57:H57"/>
    <mergeCell ref="C815:H815"/>
    <mergeCell ref="C281:H281"/>
    <mergeCell ref="C322:H322"/>
    <mergeCell ref="C282:H282"/>
    <mergeCell ref="C283:H283"/>
    <mergeCell ref="C284:H284"/>
    <mergeCell ref="C6:H6"/>
    <mergeCell ref="C285:H285"/>
    <mergeCell ref="C286:C287"/>
    <mergeCell ref="C7:C8"/>
    <mergeCell ref="C55:H55"/>
    <mergeCell ref="C727:H727"/>
    <mergeCell ref="C323:H323"/>
    <mergeCell ref="C779:H779"/>
    <mergeCell ref="C675:H675"/>
    <mergeCell ref="C673:H673"/>
    <mergeCell ref="C2:M2"/>
    <mergeCell ref="C3:M3"/>
    <mergeCell ref="C2063:H2063"/>
    <mergeCell ref="C925:C926"/>
    <mergeCell ref="C921:H921"/>
    <mergeCell ref="C923:H923"/>
    <mergeCell ref="C924:H924"/>
    <mergeCell ref="C820:H820"/>
    <mergeCell ref="C956:H956"/>
    <mergeCell ref="C996:H996"/>
    <mergeCell ref="C1102:H1102"/>
    <mergeCell ref="C1679:H1679"/>
    <mergeCell ref="C1555:C1556"/>
    <mergeCell ref="C1476:H1476"/>
    <mergeCell ref="C1681:C1682"/>
    <mergeCell ref="C1718:H1718"/>
    <mergeCell ref="C1642:H1642"/>
    <mergeCell ref="C1644:H1644"/>
    <mergeCell ref="C1065:H1065"/>
    <mergeCell ref="C677:H677"/>
    <mergeCell ref="C4:H4"/>
    <mergeCell ref="C58:H58"/>
    <mergeCell ref="C324:H324"/>
    <mergeCell ref="C726:H726"/>
    <mergeCell ref="C325:H325"/>
    <mergeCell ref="C955:H955"/>
    <mergeCell ref="C326:H326"/>
    <mergeCell ref="C327:C328"/>
    <mergeCell ref="C782:C783"/>
    <mergeCell ref="C777:H777"/>
    <mergeCell ref="C780:H780"/>
    <mergeCell ref="C723:I723"/>
    <mergeCell ref="C724:I724"/>
    <mergeCell ref="C725:I725"/>
    <mergeCell ref="C821:C822"/>
    <mergeCell ref="C849:H849"/>
    <mergeCell ref="C920:H920"/>
    <mergeCell ref="C854:H854"/>
    <mergeCell ref="C850:H850"/>
    <mergeCell ref="C855:C856"/>
    <mergeCell ref="C818:H818"/>
    <mergeCell ref="C852:H852"/>
    <mergeCell ref="C922:H922"/>
    <mergeCell ref="C853:H853"/>
    <mergeCell ref="C919:H919"/>
    <mergeCell ref="C882:H882"/>
    <mergeCell ref="C883:H883"/>
    <mergeCell ref="C729:C730"/>
    <mergeCell ref="C2188:H2188"/>
    <mergeCell ref="C1303:H1303"/>
    <mergeCell ref="C1101:H1101"/>
    <mergeCell ref="C1678:H1678"/>
    <mergeCell ref="C1340:H1340"/>
    <mergeCell ref="C1519:H1519"/>
    <mergeCell ref="C1185:H1185"/>
    <mergeCell ref="C1186:H1186"/>
    <mergeCell ref="C1001:C1002"/>
    <mergeCell ref="C1027:H1027"/>
    <mergeCell ref="C1032:C1033"/>
    <mergeCell ref="C1028:H1028"/>
    <mergeCell ref="C1227:H1227"/>
    <mergeCell ref="C1436:H1436"/>
    <mergeCell ref="C1435:H1435"/>
    <mergeCell ref="C1438:H1438"/>
    <mergeCell ref="C2028:C2029"/>
    <mergeCell ref="D1345:D1346"/>
    <mergeCell ref="D1400:D1401"/>
    <mergeCell ref="D1440:D1441"/>
    <mergeCell ref="D1480:D1481"/>
    <mergeCell ref="D1520:D1521"/>
    <mergeCell ref="C1345:C1346"/>
    <mergeCell ref="C1397:H1397"/>
    <mergeCell ref="C957:H957"/>
    <mergeCell ref="C959:H959"/>
    <mergeCell ref="C960:C961"/>
    <mergeCell ref="C1030:H1030"/>
    <mergeCell ref="C1342:H1342"/>
    <mergeCell ref="C1396:H1396"/>
    <mergeCell ref="C1343:H1343"/>
    <mergeCell ref="C1099:H1099"/>
    <mergeCell ref="C1097:H1097"/>
    <mergeCell ref="C997:H997"/>
    <mergeCell ref="D1304:D1305"/>
    <mergeCell ref="C998:H998"/>
    <mergeCell ref="C1029:H1029"/>
    <mergeCell ref="H1103:H1104"/>
    <mergeCell ref="H1142:H1143"/>
    <mergeCell ref="H1187:H1188"/>
    <mergeCell ref="H1229:H1230"/>
    <mergeCell ref="H1260:H1261"/>
    <mergeCell ref="H1304:H1305"/>
    <mergeCell ref="H1345:H1346"/>
    <mergeCell ref="C1098:H1098"/>
    <mergeCell ref="C1100:H1100"/>
    <mergeCell ref="C1184:H1184"/>
    <mergeCell ref="C1226:H1226"/>
    <mergeCell ref="C2414:C2417"/>
    <mergeCell ref="C1477:H1477"/>
    <mergeCell ref="C1983:H1983"/>
    <mergeCell ref="C1517:H1517"/>
    <mergeCell ref="C2104:H2104"/>
    <mergeCell ref="C1137:H1137"/>
    <mergeCell ref="C2128:C2129"/>
    <mergeCell ref="C1520:C1521"/>
    <mergeCell ref="C1138:H1138"/>
    <mergeCell ref="C1981:H1981"/>
    <mergeCell ref="C1982:H1982"/>
    <mergeCell ref="C1984:H1984"/>
    <mergeCell ref="C1985:H1985"/>
    <mergeCell ref="C1344:H1344"/>
    <mergeCell ref="C1258:H1258"/>
    <mergeCell ref="C1259:H1259"/>
    <mergeCell ref="C1515:H1515"/>
    <mergeCell ref="C1516:H1516"/>
    <mergeCell ref="C1518:H1518"/>
    <mergeCell ref="C2105:H2105"/>
    <mergeCell ref="C2106:H2106"/>
    <mergeCell ref="C2107:C2108"/>
    <mergeCell ref="C1722:H1722"/>
    <mergeCell ref="C1299:H1299"/>
    <mergeCell ref="G2458:H2458"/>
    <mergeCell ref="C2196:H2196"/>
    <mergeCell ref="C2172:C2173"/>
    <mergeCell ref="C2167:H2167"/>
    <mergeCell ref="C2171:H2171"/>
    <mergeCell ref="C2123:H2123"/>
    <mergeCell ref="C2124:H2124"/>
    <mergeCell ref="C2126:H2126"/>
    <mergeCell ref="C2127:H2127"/>
    <mergeCell ref="C2197:H2197"/>
    <mergeCell ref="E2333:H2333"/>
    <mergeCell ref="D2333:D2334"/>
    <mergeCell ref="C2199:H2199"/>
    <mergeCell ref="C2200:H2200"/>
    <mergeCell ref="C2201:C2202"/>
    <mergeCell ref="C2186:H2186"/>
    <mergeCell ref="C2198:H2198"/>
    <mergeCell ref="C2328:H2328"/>
    <mergeCell ref="C2333:C2334"/>
    <mergeCell ref="C2185:H2185"/>
    <mergeCell ref="C2184:H2184"/>
    <mergeCell ref="C2187:H2187"/>
    <mergeCell ref="C2169:H2169"/>
    <mergeCell ref="C2125:H2125"/>
    <mergeCell ref="C192:H192"/>
    <mergeCell ref="C2189:C2190"/>
    <mergeCell ref="C1140:H1140"/>
    <mergeCell ref="C1141:H1141"/>
    <mergeCell ref="C1142:C1143"/>
    <mergeCell ref="C1599:C1600"/>
    <mergeCell ref="C2152:H2152"/>
    <mergeCell ref="C2153:H2153"/>
    <mergeCell ref="C2155:H2155"/>
    <mergeCell ref="C2156:H2156"/>
    <mergeCell ref="C2157:C2158"/>
    <mergeCell ref="C1882:C1883"/>
    <mergeCell ref="C1877:H1877"/>
    <mergeCell ref="C1878:H1878"/>
    <mergeCell ref="C1880:H1880"/>
    <mergeCell ref="C1881:H1881"/>
    <mergeCell ref="C2168:H2168"/>
    <mergeCell ref="C2170:H2170"/>
    <mergeCell ref="C1304:C1305"/>
    <mergeCell ref="C2154:H2154"/>
    <mergeCell ref="C1000:H1000"/>
    <mergeCell ref="C678:C679"/>
    <mergeCell ref="C728:I728"/>
    <mergeCell ref="C674:H674"/>
    <mergeCell ref="C147:H147"/>
    <mergeCell ref="C1986:C1987"/>
    <mergeCell ref="C1719:H1719"/>
    <mergeCell ref="C1720:H1720"/>
    <mergeCell ref="C1754:H1754"/>
    <mergeCell ref="C2064:H2064"/>
    <mergeCell ref="C1302:H1302"/>
    <mergeCell ref="C193:C194"/>
    <mergeCell ref="C1398:H1398"/>
    <mergeCell ref="C223:H223"/>
    <mergeCell ref="C224:H224"/>
    <mergeCell ref="C225:H225"/>
    <mergeCell ref="C226:H226"/>
    <mergeCell ref="C227:H227"/>
    <mergeCell ref="C228:C229"/>
    <mergeCell ref="C886:H886"/>
    <mergeCell ref="C887:H887"/>
    <mergeCell ref="C888:C889"/>
    <mergeCell ref="C1439:H1439"/>
    <mergeCell ref="C1031:H1031"/>
    <mergeCell ref="C1139:H1139"/>
    <mergeCell ref="C1061:H1061"/>
    <mergeCell ref="C1062:H1062"/>
    <mergeCell ref="C1063:H1063"/>
    <mergeCell ref="C676:H676"/>
    <mergeCell ref="C363:H363"/>
    <mergeCell ref="C364:H364"/>
    <mergeCell ref="C365:H365"/>
    <mergeCell ref="C366:H366"/>
    <mergeCell ref="C367:H367"/>
    <mergeCell ref="C368:C369"/>
    <mergeCell ref="C400:H400"/>
    <mergeCell ref="C401:H401"/>
    <mergeCell ref="C402:H402"/>
    <mergeCell ref="C403:H403"/>
    <mergeCell ref="C404:H404"/>
    <mergeCell ref="C405:C406"/>
    <mergeCell ref="C438:H438"/>
    <mergeCell ref="C439:H439"/>
    <mergeCell ref="C440:H440"/>
    <mergeCell ref="C441:H441"/>
    <mergeCell ref="C442:H442"/>
    <mergeCell ref="C443:C444"/>
    <mergeCell ref="C475:H475"/>
    <mergeCell ref="C476:H476"/>
    <mergeCell ref="C477:H477"/>
    <mergeCell ref="C597:H597"/>
    <mergeCell ref="C598:H598"/>
    <mergeCell ref="C599:C600"/>
    <mergeCell ref="C478:H478"/>
    <mergeCell ref="C479:H479"/>
    <mergeCell ref="C480:C481"/>
    <mergeCell ref="C514:H514"/>
    <mergeCell ref="C515:H515"/>
    <mergeCell ref="C516:H516"/>
    <mergeCell ref="C517:H517"/>
    <mergeCell ref="C518:H518"/>
    <mergeCell ref="C519:C520"/>
    <mergeCell ref="H519:H520"/>
    <mergeCell ref="D7:D8"/>
    <mergeCell ref="D61:D62"/>
    <mergeCell ref="D113:D114"/>
    <mergeCell ref="D150:D151"/>
    <mergeCell ref="D193:D194"/>
    <mergeCell ref="D228:D229"/>
    <mergeCell ref="D286:D287"/>
    <mergeCell ref="D327:D328"/>
    <mergeCell ref="D368:D369"/>
    <mergeCell ref="C148:H148"/>
    <mergeCell ref="C149:H149"/>
    <mergeCell ref="C150:C151"/>
    <mergeCell ref="C188:H188"/>
    <mergeCell ref="C189:H189"/>
    <mergeCell ref="C190:H190"/>
    <mergeCell ref="C191:H191"/>
    <mergeCell ref="C108:H108"/>
    <mergeCell ref="C109:H109"/>
    <mergeCell ref="C110:H110"/>
    <mergeCell ref="C111:H111"/>
    <mergeCell ref="C112:H112"/>
    <mergeCell ref="C113:C114"/>
    <mergeCell ref="C145:H145"/>
    <mergeCell ref="C146:H146"/>
    <mergeCell ref="D405:D406"/>
    <mergeCell ref="D443:D444"/>
    <mergeCell ref="D480:D481"/>
    <mergeCell ref="D519:D520"/>
    <mergeCell ref="D562:D563"/>
    <mergeCell ref="D599:D600"/>
    <mergeCell ref="D637:D638"/>
    <mergeCell ref="D678:D679"/>
    <mergeCell ref="D729:D730"/>
    <mergeCell ref="C557:H557"/>
    <mergeCell ref="C558:H558"/>
    <mergeCell ref="C559:H559"/>
    <mergeCell ref="C632:H632"/>
    <mergeCell ref="C633:H633"/>
    <mergeCell ref="C634:H634"/>
    <mergeCell ref="C635:H635"/>
    <mergeCell ref="C636:H636"/>
    <mergeCell ref="C637:C638"/>
    <mergeCell ref="C560:H560"/>
    <mergeCell ref="C561:H561"/>
    <mergeCell ref="C562:C563"/>
    <mergeCell ref="C594:H594"/>
    <mergeCell ref="C595:H595"/>
    <mergeCell ref="C596:H596"/>
    <mergeCell ref="D782:D783"/>
    <mergeCell ref="D821:D822"/>
    <mergeCell ref="D855:D856"/>
    <mergeCell ref="D888:D889"/>
    <mergeCell ref="D925:D926"/>
    <mergeCell ref="D960:D961"/>
    <mergeCell ref="D1001:D1002"/>
    <mergeCell ref="D1032:D1033"/>
    <mergeCell ref="D1066:D1067"/>
    <mergeCell ref="C884:H884"/>
    <mergeCell ref="C885:H885"/>
    <mergeCell ref="C851:H851"/>
    <mergeCell ref="C1064:H1064"/>
    <mergeCell ref="C999:H999"/>
    <mergeCell ref="H888:H889"/>
    <mergeCell ref="H925:H926"/>
    <mergeCell ref="H960:H961"/>
    <mergeCell ref="H1001:H1002"/>
    <mergeCell ref="H1032:H1033"/>
    <mergeCell ref="H1066:H1067"/>
    <mergeCell ref="C816:H816"/>
    <mergeCell ref="C819:H819"/>
    <mergeCell ref="C817:H817"/>
    <mergeCell ref="C958:H958"/>
    <mergeCell ref="C1395:H1395"/>
    <mergeCell ref="D1681:D1682"/>
    <mergeCell ref="D1723:D1724"/>
    <mergeCell ref="D1757:D1758"/>
    <mergeCell ref="D1800:D1801"/>
    <mergeCell ref="H1440:H1441"/>
    <mergeCell ref="H1480:H1481"/>
    <mergeCell ref="H1520:H1521"/>
    <mergeCell ref="H1555:H1556"/>
    <mergeCell ref="H1599:H1600"/>
    <mergeCell ref="H1646:H1647"/>
    <mergeCell ref="H1681:H1682"/>
    <mergeCell ref="H1723:H1724"/>
    <mergeCell ref="H1757:H1758"/>
    <mergeCell ref="C1440:C1441"/>
    <mergeCell ref="C1475:H1475"/>
    <mergeCell ref="H1400:H1401"/>
    <mergeCell ref="C1437:H1437"/>
    <mergeCell ref="C1399:H1399"/>
    <mergeCell ref="C1400:C1401"/>
    <mergeCell ref="D1986:D1987"/>
    <mergeCell ref="D2028:D2029"/>
    <mergeCell ref="D2067:D2068"/>
    <mergeCell ref="D2107:D2108"/>
    <mergeCell ref="D2128:D2129"/>
    <mergeCell ref="D1555:D1556"/>
    <mergeCell ref="D1599:D1600"/>
    <mergeCell ref="D1646:D1647"/>
    <mergeCell ref="C1550:H1550"/>
    <mergeCell ref="D2157:D2158"/>
    <mergeCell ref="D2172:D2173"/>
    <mergeCell ref="D2189:D2190"/>
    <mergeCell ref="H7:H8"/>
    <mergeCell ref="H61:H62"/>
    <mergeCell ref="H228:H229"/>
    <mergeCell ref="H193:H194"/>
    <mergeCell ref="H150:H151"/>
    <mergeCell ref="H113:H114"/>
    <mergeCell ref="H286:H287"/>
    <mergeCell ref="H327:H328"/>
    <mergeCell ref="H368:H369"/>
    <mergeCell ref="H405:H406"/>
    <mergeCell ref="H443:H444"/>
    <mergeCell ref="H480:H481"/>
    <mergeCell ref="H678:H679"/>
    <mergeCell ref="H637:H638"/>
    <mergeCell ref="H599:H600"/>
    <mergeCell ref="H562:H563"/>
    <mergeCell ref="H729:H730"/>
    <mergeCell ref="H782:H783"/>
    <mergeCell ref="H821:H822"/>
    <mergeCell ref="H855:H856"/>
    <mergeCell ref="D1843:D1844"/>
    <mergeCell ref="H2157:H2158"/>
    <mergeCell ref="H2172:H2173"/>
    <mergeCell ref="H2189:H2190"/>
    <mergeCell ref="H2201:H2202"/>
    <mergeCell ref="H1800:H1801"/>
    <mergeCell ref="H1843:H1844"/>
    <mergeCell ref="H1882:H1883"/>
    <mergeCell ref="H1918:H1919"/>
    <mergeCell ref="H1952:H1953"/>
    <mergeCell ref="H1986:H1987"/>
    <mergeCell ref="H2028:H2029"/>
    <mergeCell ref="H2067:H2068"/>
    <mergeCell ref="H2107:H2108"/>
    <mergeCell ref="C2137:H2137"/>
    <mergeCell ref="C2138:H2138"/>
    <mergeCell ref="C2139:H2139"/>
    <mergeCell ref="C2140:H2140"/>
    <mergeCell ref="C2141:H2141"/>
    <mergeCell ref="C2142:C2143"/>
    <mergeCell ref="C2024:H2024"/>
    <mergeCell ref="C2025:H2025"/>
    <mergeCell ref="C2026:H2026"/>
    <mergeCell ref="C2027:H2027"/>
    <mergeCell ref="D2142:D2143"/>
    <mergeCell ref="C263:H263"/>
    <mergeCell ref="C264:H264"/>
    <mergeCell ref="C265:H265"/>
    <mergeCell ref="C266:H266"/>
    <mergeCell ref="C267:H267"/>
    <mergeCell ref="C268:C269"/>
    <mergeCell ref="D268:D269"/>
    <mergeCell ref="H268:H269"/>
    <mergeCell ref="H2128:H2129"/>
    <mergeCell ref="C1257:H1257"/>
    <mergeCell ref="C1301:H1301"/>
    <mergeCell ref="C1228:H1228"/>
    <mergeCell ref="C1229:C1230"/>
    <mergeCell ref="C1254:H1254"/>
    <mergeCell ref="D1103:D1104"/>
    <mergeCell ref="D1142:D1143"/>
    <mergeCell ref="D1187:D1188"/>
    <mergeCell ref="D1229:D1230"/>
    <mergeCell ref="D1260:D1261"/>
    <mergeCell ref="C1182:H1182"/>
    <mergeCell ref="C1300:H1300"/>
    <mergeCell ref="D1882:D1883"/>
    <mergeCell ref="D1918:D1919"/>
    <mergeCell ref="D1952:D1953"/>
  </mergeCells>
  <phoneticPr fontId="4" type="noConversion"/>
  <conditionalFormatting sqref="Q4">
    <cfRule type="cellIs" dxfId="11" priority="1" operator="lessThan">
      <formula>0</formula>
    </cfRule>
  </conditionalFormatting>
  <hyperlinks>
    <hyperlink ref="A2385" location="EGRESOS!A1" display="INICIO"/>
    <hyperlink ref="O1" location="EGRESOS!A2304" display="FINAL"/>
  </hyperlinks>
  <printOptions horizontalCentered="1"/>
  <pageMargins left="0.19685039370078741" right="0.15748031496062992" top="1.3779527559055118" bottom="0.59055118110236227" header="0.59055118110236227" footer="0.78740157480314965"/>
  <pageSetup scale="71" orientation="portrait" r:id="rId1"/>
  <headerFooter alignWithMargins="0">
    <oddHeader>&amp;L&amp;G</oddHeader>
  </headerFooter>
  <rowBreaks count="61" manualBreakCount="61">
    <brk id="54" min="2" max="7" man="1"/>
    <brk id="106" min="2" max="7" man="1"/>
    <brk id="143" min="2" max="7" man="1"/>
    <brk id="186" min="2" max="7" man="1"/>
    <brk id="221" min="2" max="7" man="1"/>
    <brk id="261" min="2" max="7" man="1"/>
    <brk id="279" min="2" max="7" man="1"/>
    <brk id="320" min="2" max="7" man="1"/>
    <brk id="362" min="2" max="7" man="1"/>
    <brk id="399" min="2" max="7" man="1"/>
    <brk id="437" min="2" max="7" man="1"/>
    <brk id="474" min="2" max="7" man="1"/>
    <brk id="513" min="2" max="7" man="1"/>
    <brk id="556" min="2" max="7" man="1"/>
    <brk id="593" min="2" max="7" man="1"/>
    <brk id="631" min="2" max="7" man="1"/>
    <brk id="671" min="2" max="7" man="1"/>
    <brk id="722" min="2" max="7" man="1"/>
    <brk id="775" min="2" max="7" man="1"/>
    <brk id="814" min="2" max="7" man="1"/>
    <brk id="848" min="2" max="7" man="1"/>
    <brk id="881" min="2" max="7" man="1"/>
    <brk id="918" min="2" max="7" man="1"/>
    <brk id="953" min="2" max="7" man="1"/>
    <brk id="994" min="2" max="7" man="1"/>
    <brk id="1025" min="2" max="7" man="1"/>
    <brk id="1059" min="2" max="7" man="1"/>
    <brk id="1096" min="2" max="7" man="1"/>
    <brk id="1135" min="2" max="7" man="1"/>
    <brk id="1180" min="2" max="7" man="1"/>
    <brk id="1222" min="2" max="7" man="1"/>
    <brk id="1253" min="2" max="7" man="1"/>
    <brk id="1297" min="2" max="7" man="1"/>
    <brk id="1338" min="2" max="7" man="1"/>
    <brk id="1392" min="2" max="7" man="1"/>
    <brk id="1433" min="2" max="7" man="1"/>
    <brk id="1473" min="2" max="7" man="1"/>
    <brk id="1513" min="2" max="7" man="1"/>
    <brk id="1548" min="2" max="7" man="1"/>
    <brk id="1592" min="2" max="7" man="1"/>
    <brk id="1639" min="2" max="7" man="1"/>
    <brk id="1674" min="2" max="7" man="1"/>
    <brk id="1716" min="2" max="7" man="1"/>
    <brk id="1750" min="2" max="7" man="1"/>
    <brk id="1793" min="2" max="7" man="1"/>
    <brk id="1836" min="2" max="7" man="1"/>
    <brk id="1875" min="2" max="7" man="1"/>
    <brk id="1911" min="2" max="7" man="1"/>
    <brk id="1945" min="2" max="7" man="1"/>
    <brk id="1979" min="2" max="7" man="1"/>
    <brk id="2021" min="2" max="7" man="1"/>
    <brk id="2060" min="2" max="7" man="1"/>
    <brk id="2100" min="2" max="7" man="1"/>
    <brk id="2121" min="2" max="7" man="1"/>
    <brk id="2135" min="2" max="7" man="1"/>
    <brk id="2150" min="2" max="7" man="1"/>
    <brk id="2165" min="2" max="7" man="1"/>
    <brk id="2181" min="2" max="7" man="1"/>
    <brk id="2195" min="2" max="7" man="1"/>
    <brk id="2302" min="2" max="7" man="1"/>
    <brk id="2323" min="2" max="7" man="1"/>
  </rowBreaks>
  <colBreaks count="1" manualBreakCount="1">
    <brk id="8" min="1" max="1819" man="1"/>
  </colBreaks>
  <ignoredErrors>
    <ignoredError sqref="C2335:C2341 C123 C1922" numberStoredAsText="1"/>
    <ignoredError sqref="E2211 H2274 H2276 F2211 F53 H2317 H2262 H2282 H2286 H2291 H2295 H2303 H2307 H2309 H2320 H2305 F2304:H2304 F2305 E2307 E2317:E2318 H53 E2309 E2320 G2218 G2216 G2215 G2217 F2215 E2215 F2217 E2217:E2218 F2219 E2219 G2219 F2218 E2216:F2216 E2221:F2221 F2213 E2213 G2213 E2212:F2212 H2219 H2217 H2215 H2213 H2211 H2208:H2210 H2212 H2214 H2216 H2218 H2220:H2224 H2243:H2249" formula="1"/>
  </ignoredErrors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2:O1204"/>
  <sheetViews>
    <sheetView view="pageBreakPreview" zoomScale="115" zoomScaleNormal="100" zoomScaleSheetLayoutView="115" workbookViewId="0"/>
  </sheetViews>
  <sheetFormatPr baseColWidth="10" defaultColWidth="11.42578125" defaultRowHeight="12.75" x14ac:dyDescent="0.2"/>
  <cols>
    <col min="1" max="1" width="11.5703125" style="1" bestFit="1" customWidth="1"/>
    <col min="2" max="2" width="43.5703125" style="1" customWidth="1"/>
    <col min="3" max="3" width="21.42578125" style="1" customWidth="1"/>
    <col min="4" max="4" width="17.140625" style="1" customWidth="1"/>
    <col min="5" max="5" width="13.28515625" style="1" customWidth="1"/>
    <col min="6" max="6" width="12.28515625" style="1" bestFit="1" customWidth="1"/>
    <col min="7" max="16384" width="11.42578125" style="1"/>
  </cols>
  <sheetData>
    <row r="2" spans="1:15" x14ac:dyDescent="0.2">
      <c r="A2" s="404" t="s">
        <v>835</v>
      </c>
      <c r="B2" s="404"/>
      <c r="C2" s="404"/>
      <c r="D2" s="404"/>
      <c r="E2" s="10"/>
      <c r="F2" s="10"/>
    </row>
    <row r="4" spans="1:15" x14ac:dyDescent="0.2">
      <c r="A4" s="404" t="s">
        <v>260</v>
      </c>
      <c r="B4" s="404"/>
      <c r="C4" s="404"/>
      <c r="D4" s="404"/>
      <c r="E4" s="10"/>
      <c r="F4" s="10"/>
    </row>
    <row r="5" spans="1:15" ht="15.75" x14ac:dyDescent="0.25">
      <c r="A5" s="404" t="s">
        <v>252</v>
      </c>
      <c r="B5" s="442"/>
      <c r="C5" s="404"/>
      <c r="D5" s="404"/>
      <c r="E5" s="10"/>
      <c r="F5" s="10"/>
    </row>
    <row r="6" spans="1:15" x14ac:dyDescent="0.2">
      <c r="A6" s="404" t="s">
        <v>851</v>
      </c>
      <c r="B6" s="404"/>
      <c r="C6" s="404"/>
      <c r="D6" s="404"/>
      <c r="E6" s="10"/>
      <c r="F6" s="10"/>
    </row>
    <row r="7" spans="1:15" x14ac:dyDescent="0.2">
      <c r="A7" s="404" t="s">
        <v>273</v>
      </c>
      <c r="B7" s="404"/>
      <c r="C7" s="404"/>
      <c r="D7" s="404"/>
      <c r="E7" s="10"/>
      <c r="F7" s="10"/>
    </row>
    <row r="8" spans="1:15" ht="18" x14ac:dyDescent="0.25">
      <c r="A8" s="404" t="s">
        <v>501</v>
      </c>
      <c r="B8" s="404"/>
      <c r="C8" s="404"/>
      <c r="D8" s="404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</row>
    <row r="9" spans="1:15" x14ac:dyDescent="0.2">
      <c r="A9" s="72" t="s">
        <v>377</v>
      </c>
      <c r="B9" s="72" t="s">
        <v>277</v>
      </c>
      <c r="C9" s="72" t="s">
        <v>56</v>
      </c>
      <c r="D9" s="72" t="s">
        <v>378</v>
      </c>
      <c r="E9" s="113"/>
      <c r="F9" s="113"/>
    </row>
    <row r="10" spans="1:15" x14ac:dyDescent="0.2">
      <c r="A10" s="81"/>
      <c r="B10" s="81"/>
      <c r="C10" s="81"/>
      <c r="D10" s="81"/>
    </row>
    <row r="11" spans="1:15" x14ac:dyDescent="0.2">
      <c r="A11" s="89">
        <v>11</v>
      </c>
      <c r="B11" s="187" t="s">
        <v>209</v>
      </c>
      <c r="C11" s="27">
        <f>INGRESOS!M9</f>
        <v>1033130.82</v>
      </c>
      <c r="D11" s="27">
        <f>C11</f>
        <v>1033130.82</v>
      </c>
      <c r="E11" s="329"/>
      <c r="F11" s="330"/>
      <c r="G11" s="331"/>
    </row>
    <row r="12" spans="1:15" x14ac:dyDescent="0.2">
      <c r="A12" s="89"/>
      <c r="B12" s="187"/>
      <c r="C12" s="27"/>
      <c r="D12" s="27"/>
      <c r="E12" s="329"/>
      <c r="F12" s="330"/>
      <c r="G12" s="331"/>
    </row>
    <row r="13" spans="1:15" x14ac:dyDescent="0.2">
      <c r="A13" s="89">
        <v>12</v>
      </c>
      <c r="B13" s="187" t="s">
        <v>211</v>
      </c>
      <c r="C13" s="27">
        <f>+INGRESOS!M21</f>
        <v>2585016.46</v>
      </c>
      <c r="D13" s="27">
        <f>C13</f>
        <v>2585016.46</v>
      </c>
      <c r="E13" s="329"/>
      <c r="F13" s="330" t="s">
        <v>253</v>
      </c>
      <c r="G13" s="86"/>
    </row>
    <row r="14" spans="1:15" x14ac:dyDescent="0.2">
      <c r="A14" s="89"/>
      <c r="B14" s="187"/>
      <c r="C14" s="27"/>
      <c r="D14" s="27"/>
      <c r="E14" s="329"/>
      <c r="F14" s="330"/>
      <c r="G14" s="86"/>
    </row>
    <row r="15" spans="1:15" x14ac:dyDescent="0.2">
      <c r="A15" s="89">
        <v>15</v>
      </c>
      <c r="B15" s="187" t="s">
        <v>218</v>
      </c>
      <c r="C15" s="27">
        <f>+INGRESOS!M43</f>
        <v>193520.96</v>
      </c>
      <c r="D15" s="27">
        <f>C15</f>
        <v>193520.96</v>
      </c>
      <c r="E15" s="329"/>
      <c r="F15" s="330" t="s">
        <v>253</v>
      </c>
      <c r="G15" s="331"/>
    </row>
    <row r="16" spans="1:15" x14ac:dyDescent="0.2">
      <c r="A16" s="89"/>
      <c r="B16" s="187"/>
      <c r="C16" s="27"/>
      <c r="D16" s="27"/>
      <c r="E16" s="329"/>
      <c r="F16" s="330"/>
      <c r="G16" s="331"/>
    </row>
    <row r="17" spans="1:7" x14ac:dyDescent="0.2">
      <c r="A17" s="89">
        <v>16</v>
      </c>
      <c r="B17" s="187" t="s">
        <v>258</v>
      </c>
      <c r="C17" s="30">
        <f>INGRESOS!L74</f>
        <v>787874.85</v>
      </c>
      <c r="D17" s="27">
        <f>C17</f>
        <v>787874.85</v>
      </c>
      <c r="E17" s="329"/>
      <c r="F17" s="330"/>
      <c r="G17" s="86"/>
    </row>
    <row r="18" spans="1:7" x14ac:dyDescent="0.2">
      <c r="A18" s="89"/>
      <c r="B18" s="187"/>
      <c r="C18" s="27"/>
      <c r="D18" s="27"/>
      <c r="E18" s="329"/>
      <c r="F18" s="330"/>
      <c r="G18" s="86"/>
    </row>
    <row r="19" spans="1:7" x14ac:dyDescent="0.2">
      <c r="A19" s="89">
        <v>22</v>
      </c>
      <c r="B19" s="187" t="s">
        <v>257</v>
      </c>
      <c r="C19" s="27">
        <f>INGRESOS!L80</f>
        <v>711273.48</v>
      </c>
      <c r="D19" s="27">
        <f>C19</f>
        <v>711273.48</v>
      </c>
      <c r="E19" s="329"/>
      <c r="F19" s="330"/>
      <c r="G19" s="86"/>
    </row>
    <row r="20" spans="1:7" x14ac:dyDescent="0.2">
      <c r="A20" s="89"/>
      <c r="B20" s="187"/>
      <c r="C20" s="27"/>
      <c r="D20" s="27"/>
      <c r="E20" s="329"/>
      <c r="F20" s="330"/>
      <c r="G20" s="86"/>
    </row>
    <row r="21" spans="1:7" x14ac:dyDescent="0.2">
      <c r="A21" s="89">
        <v>32</v>
      </c>
      <c r="B21" s="187" t="s">
        <v>110</v>
      </c>
      <c r="C21" s="27">
        <f>+INGRESOS!M64+INGRESOS!L64</f>
        <v>6479043.9200000009</v>
      </c>
      <c r="D21" s="27">
        <f>C21</f>
        <v>6479043.9200000009</v>
      </c>
      <c r="E21" s="329"/>
      <c r="F21" s="330"/>
      <c r="G21" s="331"/>
    </row>
    <row r="22" spans="1:7" x14ac:dyDescent="0.2">
      <c r="A22" s="89"/>
      <c r="B22" s="187"/>
      <c r="C22" s="27"/>
      <c r="D22" s="27"/>
      <c r="E22" s="329"/>
      <c r="F22" s="330"/>
      <c r="G22" s="331"/>
    </row>
    <row r="23" spans="1:7" x14ac:dyDescent="0.2">
      <c r="A23" s="87"/>
      <c r="B23" s="332"/>
      <c r="C23" s="41"/>
      <c r="D23" s="27"/>
      <c r="E23" s="333"/>
      <c r="F23" s="330"/>
      <c r="G23" s="331"/>
    </row>
    <row r="24" spans="1:7" x14ac:dyDescent="0.2">
      <c r="A24" s="87"/>
      <c r="B24" s="87"/>
      <c r="C24" s="87"/>
      <c r="D24" s="27"/>
      <c r="E24" s="333"/>
      <c r="F24" s="330"/>
      <c r="G24" s="86"/>
    </row>
    <row r="25" spans="1:7" x14ac:dyDescent="0.2">
      <c r="A25" s="87"/>
      <c r="B25" s="87" t="s">
        <v>259</v>
      </c>
      <c r="C25" s="334">
        <f>SUM(C11:C24)</f>
        <v>11789860.490000002</v>
      </c>
      <c r="D25" s="41">
        <f>C25</f>
        <v>11789860.490000002</v>
      </c>
      <c r="E25" s="333"/>
      <c r="F25" s="330"/>
      <c r="G25" s="331"/>
    </row>
    <row r="26" spans="1:7" x14ac:dyDescent="0.2">
      <c r="A26" s="10"/>
      <c r="B26" s="10"/>
      <c r="C26" s="162"/>
      <c r="D26" s="162"/>
      <c r="E26" s="335">
        <f>INGRESOS!N92-'CONSOL RUBRO'!D25</f>
        <v>0</v>
      </c>
      <c r="F26" s="330"/>
      <c r="G26" s="331"/>
    </row>
    <row r="27" spans="1:7" x14ac:dyDescent="0.2">
      <c r="A27" s="10"/>
      <c r="B27" s="10"/>
      <c r="C27" s="162"/>
      <c r="D27" s="162"/>
      <c r="E27" s="333"/>
      <c r="F27" s="330"/>
      <c r="G27" s="331"/>
    </row>
    <row r="28" spans="1:7" x14ac:dyDescent="0.2">
      <c r="A28" s="10"/>
      <c r="B28" s="10"/>
      <c r="C28" s="162"/>
      <c r="D28" s="162"/>
      <c r="E28" s="333"/>
      <c r="F28" s="330"/>
      <c r="G28" s="331"/>
    </row>
    <row r="29" spans="1:7" x14ac:dyDescent="0.2">
      <c r="A29" s="10"/>
      <c r="B29" s="10"/>
      <c r="C29" s="162"/>
      <c r="D29" s="162"/>
      <c r="E29" s="333"/>
      <c r="F29" s="330"/>
      <c r="G29" s="331"/>
    </row>
    <row r="30" spans="1:7" x14ac:dyDescent="0.2">
      <c r="E30" s="333"/>
      <c r="F30" s="336"/>
      <c r="G30" s="337"/>
    </row>
    <row r="31" spans="1:7" x14ac:dyDescent="0.2">
      <c r="F31" s="126"/>
      <c r="G31" s="162"/>
    </row>
    <row r="32" spans="1:7" x14ac:dyDescent="0.2">
      <c r="F32" s="126"/>
      <c r="G32" s="162"/>
    </row>
    <row r="33" spans="1:7" x14ac:dyDescent="0.2">
      <c r="A33" s="404" t="s">
        <v>836</v>
      </c>
      <c r="B33" s="404"/>
      <c r="C33" s="404"/>
      <c r="D33" s="404"/>
      <c r="E33" s="10"/>
      <c r="F33" s="10"/>
      <c r="G33" s="162"/>
    </row>
    <row r="34" spans="1:7" x14ac:dyDescent="0.2">
      <c r="F34" s="126"/>
      <c r="G34" s="162"/>
    </row>
    <row r="35" spans="1:7" x14ac:dyDescent="0.2">
      <c r="F35" s="126"/>
      <c r="G35" s="162"/>
    </row>
    <row r="36" spans="1:7" x14ac:dyDescent="0.2">
      <c r="A36" s="404" t="s">
        <v>260</v>
      </c>
      <c r="B36" s="404"/>
      <c r="C36" s="404"/>
      <c r="D36" s="404"/>
      <c r="E36" s="10"/>
      <c r="F36" s="10"/>
      <c r="G36" s="162"/>
    </row>
    <row r="37" spans="1:7" x14ac:dyDescent="0.2">
      <c r="A37" s="404" t="s">
        <v>252</v>
      </c>
      <c r="B37" s="404"/>
      <c r="C37" s="404"/>
      <c r="D37" s="404"/>
      <c r="E37" s="10"/>
      <c r="F37" s="10"/>
      <c r="G37" s="162"/>
    </row>
    <row r="38" spans="1:7" x14ac:dyDescent="0.2">
      <c r="A38" s="404" t="str">
        <f>A6</f>
        <v xml:space="preserve"> PRESUPUESTO AÑO 2024</v>
      </c>
      <c r="B38" s="404"/>
      <c r="C38" s="404"/>
      <c r="D38" s="404"/>
      <c r="E38" s="10"/>
      <c r="F38" s="10"/>
      <c r="G38" s="162"/>
    </row>
    <row r="39" spans="1:7" x14ac:dyDescent="0.2">
      <c r="A39" s="404" t="s">
        <v>273</v>
      </c>
      <c r="B39" s="404"/>
      <c r="C39" s="404"/>
      <c r="D39" s="404"/>
      <c r="E39" s="10"/>
      <c r="F39" s="10"/>
      <c r="G39" s="162"/>
    </row>
    <row r="40" spans="1:7" x14ac:dyDescent="0.2">
      <c r="A40" s="404" t="str">
        <f>A8</f>
        <v>ANTEPROYECTO DE PRESUPUESTO EXTRA CONTABLE</v>
      </c>
      <c r="B40" s="404"/>
      <c r="C40" s="404"/>
      <c r="D40" s="404"/>
      <c r="F40" s="126"/>
      <c r="G40" s="162"/>
    </row>
    <row r="41" spans="1:7" x14ac:dyDescent="0.2">
      <c r="F41" s="126"/>
      <c r="G41" s="126"/>
    </row>
    <row r="42" spans="1:7" x14ac:dyDescent="0.2">
      <c r="A42" s="72" t="s">
        <v>377</v>
      </c>
      <c r="B42" s="72" t="s">
        <v>362</v>
      </c>
      <c r="C42" s="72" t="s">
        <v>56</v>
      </c>
      <c r="D42" s="72" t="s">
        <v>378</v>
      </c>
      <c r="F42" s="126" t="s">
        <v>253</v>
      </c>
      <c r="G42" s="2"/>
    </row>
    <row r="43" spans="1:7" ht="15" customHeight="1" x14ac:dyDescent="0.25">
      <c r="A43" s="81"/>
      <c r="B43" s="81"/>
      <c r="C43" s="81"/>
      <c r="D43" s="338"/>
      <c r="F43" s="126"/>
      <c r="G43" s="339"/>
    </row>
    <row r="44" spans="1:7" x14ac:dyDescent="0.2">
      <c r="A44" s="89">
        <v>51</v>
      </c>
      <c r="B44" s="187" t="s">
        <v>111</v>
      </c>
      <c r="C44" s="27">
        <f>+'CONSOL CUENTA'!F47</f>
        <v>3324176.34</v>
      </c>
      <c r="D44" s="27">
        <f>C44</f>
        <v>3324176.34</v>
      </c>
      <c r="F44" s="126"/>
      <c r="G44" s="2"/>
    </row>
    <row r="45" spans="1:7" x14ac:dyDescent="0.2">
      <c r="A45" s="89"/>
      <c r="B45" s="187"/>
      <c r="C45" s="187"/>
      <c r="D45" s="187"/>
      <c r="F45" s="126"/>
      <c r="G45" s="2"/>
    </row>
    <row r="46" spans="1:7" x14ac:dyDescent="0.2">
      <c r="A46" s="89"/>
      <c r="B46" s="187"/>
      <c r="C46" s="187"/>
      <c r="D46" s="187"/>
      <c r="F46" s="126"/>
    </row>
    <row r="47" spans="1:7" x14ac:dyDescent="0.2">
      <c r="A47" s="89">
        <v>54</v>
      </c>
      <c r="B47" s="187" t="s">
        <v>254</v>
      </c>
      <c r="C47" s="27">
        <f>+'CONSOL CUENTA'!F53</f>
        <v>3416083</v>
      </c>
      <c r="D47" s="27">
        <f>C47</f>
        <v>3416083</v>
      </c>
      <c r="F47" s="126"/>
    </row>
    <row r="48" spans="1:7" x14ac:dyDescent="0.2">
      <c r="A48" s="89"/>
      <c r="B48" s="187"/>
      <c r="C48" s="187"/>
      <c r="D48" s="187"/>
    </row>
    <row r="49" spans="1:4" x14ac:dyDescent="0.2">
      <c r="A49" s="89">
        <v>55</v>
      </c>
      <c r="B49" s="187" t="s">
        <v>112</v>
      </c>
      <c r="C49" s="27">
        <f>+'CONSOL CUENTA'!F57</f>
        <v>795355.44799999997</v>
      </c>
      <c r="D49" s="27">
        <f>C49</f>
        <v>795355.44799999997</v>
      </c>
    </row>
    <row r="50" spans="1:4" x14ac:dyDescent="0.2">
      <c r="A50" s="89"/>
      <c r="B50" s="187"/>
      <c r="C50" s="27"/>
      <c r="D50" s="27"/>
    </row>
    <row r="51" spans="1:4" x14ac:dyDescent="0.2">
      <c r="A51" s="89"/>
      <c r="B51" s="187"/>
      <c r="C51" s="27"/>
      <c r="D51" s="27"/>
    </row>
    <row r="52" spans="1:4" x14ac:dyDescent="0.2">
      <c r="A52" s="89">
        <v>56</v>
      </c>
      <c r="B52" s="187" t="s">
        <v>113</v>
      </c>
      <c r="C52" s="27">
        <f>+'CONSOL CUENTA'!F58</f>
        <v>53000</v>
      </c>
      <c r="D52" s="27">
        <f>C52</f>
        <v>53000</v>
      </c>
    </row>
    <row r="53" spans="1:4" x14ac:dyDescent="0.2">
      <c r="A53" s="89"/>
      <c r="B53" s="187"/>
      <c r="C53" s="27"/>
      <c r="D53" s="27"/>
    </row>
    <row r="54" spans="1:4" x14ac:dyDescent="0.2">
      <c r="A54" s="89"/>
      <c r="B54" s="187"/>
      <c r="C54" s="187"/>
      <c r="D54" s="187"/>
    </row>
    <row r="55" spans="1:4" x14ac:dyDescent="0.2">
      <c r="A55" s="89">
        <v>61</v>
      </c>
      <c r="B55" s="187" t="s">
        <v>114</v>
      </c>
      <c r="C55" s="27">
        <f>+'CONSOL CUENTA'!F62</f>
        <v>3684444.45</v>
      </c>
      <c r="D55" s="27">
        <f>C55</f>
        <v>3684444.45</v>
      </c>
    </row>
    <row r="56" spans="1:4" x14ac:dyDescent="0.2">
      <c r="A56" s="89"/>
      <c r="B56" s="187" t="s">
        <v>255</v>
      </c>
      <c r="C56" s="187"/>
      <c r="D56" s="187"/>
    </row>
    <row r="57" spans="1:4" x14ac:dyDescent="0.2">
      <c r="A57" s="89"/>
      <c r="B57" s="187" t="s">
        <v>250</v>
      </c>
      <c r="C57" s="187"/>
      <c r="D57" s="187"/>
    </row>
    <row r="58" spans="1:4" x14ac:dyDescent="0.2">
      <c r="A58" s="89"/>
      <c r="B58" s="187"/>
      <c r="C58" s="187"/>
      <c r="D58" s="187"/>
    </row>
    <row r="59" spans="1:4" x14ac:dyDescent="0.2">
      <c r="A59" s="89"/>
      <c r="B59" s="187"/>
      <c r="C59" s="187"/>
      <c r="D59" s="187"/>
    </row>
    <row r="60" spans="1:4" x14ac:dyDescent="0.2">
      <c r="A60" s="89">
        <v>71</v>
      </c>
      <c r="B60" s="187" t="s">
        <v>256</v>
      </c>
      <c r="C60" s="27">
        <f>+'CONSOL CUENTA'!F63</f>
        <v>470047.87200000003</v>
      </c>
      <c r="D60" s="27">
        <f>C60</f>
        <v>470047.87200000003</v>
      </c>
    </row>
    <row r="61" spans="1:4" x14ac:dyDescent="0.2">
      <c r="A61" s="89"/>
      <c r="B61" s="187"/>
      <c r="C61" s="27"/>
      <c r="D61" s="27"/>
    </row>
    <row r="62" spans="1:4" x14ac:dyDescent="0.2">
      <c r="A62" s="89"/>
      <c r="B62" s="187"/>
      <c r="C62" s="27"/>
      <c r="D62" s="27"/>
    </row>
    <row r="63" spans="1:4" x14ac:dyDescent="0.2">
      <c r="A63" s="89">
        <v>72</v>
      </c>
      <c r="B63" s="187" t="s">
        <v>110</v>
      </c>
      <c r="C63" s="27">
        <f>'CONSOL CUENTA'!C64</f>
        <v>46753.38</v>
      </c>
      <c r="D63" s="27">
        <f>C63</f>
        <v>46753.38</v>
      </c>
    </row>
    <row r="64" spans="1:4" x14ac:dyDescent="0.2">
      <c r="A64" s="72"/>
      <c r="B64" s="332"/>
      <c r="C64" s="332"/>
      <c r="D64" s="332"/>
    </row>
    <row r="65" spans="1:6" x14ac:dyDescent="0.2">
      <c r="A65" s="89"/>
      <c r="B65" s="187"/>
      <c r="C65" s="27"/>
      <c r="D65" s="27"/>
    </row>
    <row r="66" spans="1:6" x14ac:dyDescent="0.2">
      <c r="A66" s="81"/>
      <c r="B66" s="332" t="s">
        <v>276</v>
      </c>
      <c r="C66" s="41">
        <f>SUM(C44:C65)</f>
        <v>11789860.49</v>
      </c>
      <c r="D66" s="41">
        <f>SUM(D44:D65)</f>
        <v>11789860.49</v>
      </c>
      <c r="E66" s="2">
        <f>C25-C66</f>
        <v>0</v>
      </c>
    </row>
    <row r="67" spans="1:6" x14ac:dyDescent="0.2">
      <c r="E67" s="2">
        <f>EGRESOS!H2322-'CONSOL RUBRO'!D66</f>
        <v>0</v>
      </c>
      <c r="F67" s="2"/>
    </row>
    <row r="69" spans="1:6" x14ac:dyDescent="0.2">
      <c r="C69" s="2"/>
      <c r="D69" s="2"/>
    </row>
    <row r="70" spans="1:6" x14ac:dyDescent="0.2">
      <c r="C70" s="2"/>
      <c r="D70" s="2"/>
    </row>
    <row r="71" spans="1:6" x14ac:dyDescent="0.2">
      <c r="F71" s="2"/>
    </row>
    <row r="72" spans="1:6" x14ac:dyDescent="0.2">
      <c r="C72" s="2"/>
      <c r="D72" s="2"/>
    </row>
    <row r="73" spans="1:6" x14ac:dyDescent="0.2">
      <c r="C73" s="2"/>
      <c r="D73" s="2"/>
    </row>
    <row r="75" spans="1:6" x14ac:dyDescent="0.2">
      <c r="C75" s="2"/>
      <c r="D75" s="2"/>
    </row>
    <row r="1148" spans="3:3" x14ac:dyDescent="0.2">
      <c r="C1148" s="1">
        <f>C78</f>
        <v>0</v>
      </c>
    </row>
    <row r="1204" spans="3:3" x14ac:dyDescent="0.2">
      <c r="C1204" s="1">
        <f>C1181-F1193</f>
        <v>0</v>
      </c>
    </row>
  </sheetData>
  <mergeCells count="12">
    <mergeCell ref="A2:D2"/>
    <mergeCell ref="A33:D33"/>
    <mergeCell ref="A36:D36"/>
    <mergeCell ref="A37:D37"/>
    <mergeCell ref="A38:D38"/>
    <mergeCell ref="A8:D8"/>
    <mergeCell ref="A40:D40"/>
    <mergeCell ref="A7:D7"/>
    <mergeCell ref="A6:D6"/>
    <mergeCell ref="A4:D4"/>
    <mergeCell ref="A5:D5"/>
    <mergeCell ref="A39:D39"/>
  </mergeCells>
  <phoneticPr fontId="4" type="noConversion"/>
  <printOptions horizontalCentered="1"/>
  <pageMargins left="0.47244094488188981" right="0.39370078740157483" top="1.1811023622047245" bottom="0.78740157480314965" header="0.59055118110236227" footer="0"/>
  <pageSetup scale="95" orientation="portrait" r:id="rId1"/>
  <headerFooter alignWithMargins="0">
    <oddHeader>&amp;L&amp;G</oddHeader>
  </headerFooter>
  <rowBreaks count="1" manualBreakCount="1">
    <brk id="30" max="5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2:J1203"/>
  <sheetViews>
    <sheetView view="pageBreakPreview" zoomScale="86" zoomScaleNormal="70" zoomScaleSheetLayoutView="86" workbookViewId="0"/>
  </sheetViews>
  <sheetFormatPr baseColWidth="10" defaultColWidth="11.42578125" defaultRowHeight="12.75" x14ac:dyDescent="0.2"/>
  <cols>
    <col min="1" max="1" width="10" style="1" customWidth="1"/>
    <col min="2" max="2" width="47.42578125" style="1" customWidth="1"/>
    <col min="3" max="4" width="16" style="1" customWidth="1"/>
    <col min="5" max="5" width="13.28515625" style="1" hidden="1" customWidth="1"/>
    <col min="6" max="6" width="14.7109375" style="1" hidden="1" customWidth="1"/>
    <col min="7" max="7" width="14.140625" style="1" hidden="1" customWidth="1"/>
    <col min="8" max="8" width="13.7109375" style="1" hidden="1" customWidth="1"/>
    <col min="9" max="16384" width="11.42578125" style="1"/>
  </cols>
  <sheetData>
    <row r="2" spans="1:10" x14ac:dyDescent="0.2">
      <c r="A2" s="404" t="s">
        <v>835</v>
      </c>
      <c r="B2" s="404"/>
      <c r="C2" s="404"/>
      <c r="D2" s="404"/>
    </row>
    <row r="4" spans="1:10" x14ac:dyDescent="0.2">
      <c r="A4" s="404" t="s">
        <v>119</v>
      </c>
      <c r="B4" s="404"/>
      <c r="C4" s="404"/>
      <c r="D4" s="404"/>
    </row>
    <row r="5" spans="1:10" ht="15.75" x14ac:dyDescent="0.25">
      <c r="A5" s="404" t="s">
        <v>252</v>
      </c>
      <c r="B5" s="442"/>
      <c r="C5" s="404"/>
      <c r="D5" s="404"/>
    </row>
    <row r="6" spans="1:10" x14ac:dyDescent="0.2">
      <c r="A6" s="404" t="s">
        <v>851</v>
      </c>
      <c r="B6" s="404"/>
      <c r="C6" s="404"/>
      <c r="D6" s="404"/>
    </row>
    <row r="7" spans="1:10" x14ac:dyDescent="0.2">
      <c r="A7" s="404" t="s">
        <v>272</v>
      </c>
      <c r="B7" s="404"/>
      <c r="C7" s="404"/>
      <c r="D7" s="404"/>
    </row>
    <row r="8" spans="1:10" x14ac:dyDescent="0.2">
      <c r="A8" s="404" t="s">
        <v>499</v>
      </c>
      <c r="B8" s="404"/>
      <c r="C8" s="404"/>
      <c r="D8" s="404"/>
    </row>
    <row r="9" spans="1:10" x14ac:dyDescent="0.2">
      <c r="B9" s="333"/>
      <c r="C9" s="333"/>
      <c r="D9" s="333"/>
      <c r="E9" s="333"/>
      <c r="F9" s="336"/>
      <c r="G9" s="336"/>
      <c r="H9" s="337"/>
      <c r="I9" s="340"/>
    </row>
    <row r="10" spans="1:10" x14ac:dyDescent="0.2">
      <c r="A10" s="81"/>
      <c r="B10" s="72" t="s">
        <v>269</v>
      </c>
      <c r="C10" s="81"/>
      <c r="D10" s="81"/>
      <c r="E10" s="333"/>
      <c r="F10" s="336"/>
      <c r="G10" s="336"/>
      <c r="H10" s="341"/>
      <c r="I10" s="340"/>
    </row>
    <row r="11" spans="1:10" ht="13.5" x14ac:dyDescent="0.25">
      <c r="A11" s="443" t="s">
        <v>1</v>
      </c>
      <c r="B11" s="87"/>
      <c r="C11" s="71"/>
      <c r="D11" s="71"/>
      <c r="E11" s="342"/>
      <c r="F11" s="342"/>
      <c r="G11" s="342"/>
      <c r="H11" s="342"/>
      <c r="I11" s="342"/>
      <c r="J11" s="113"/>
    </row>
    <row r="12" spans="1:10" ht="13.5" x14ac:dyDescent="0.25">
      <c r="A12" s="443"/>
      <c r="B12" s="72" t="s">
        <v>0</v>
      </c>
      <c r="C12" s="157" t="s">
        <v>268</v>
      </c>
      <c r="D12" s="157" t="s">
        <v>378</v>
      </c>
      <c r="E12" s="343"/>
      <c r="F12" s="343"/>
      <c r="G12" s="343"/>
      <c r="H12" s="342" t="s">
        <v>268</v>
      </c>
      <c r="I12" s="342"/>
      <c r="J12" s="113"/>
    </row>
    <row r="13" spans="1:10" ht="13.5" x14ac:dyDescent="0.25">
      <c r="A13" s="344">
        <v>118</v>
      </c>
      <c r="B13" s="345" t="s">
        <v>209</v>
      </c>
      <c r="C13" s="30">
        <f>INGRESOS!M10</f>
        <v>1033130.82</v>
      </c>
      <c r="D13" s="30">
        <f>C13</f>
        <v>1033130.82</v>
      </c>
      <c r="E13" s="346"/>
      <c r="F13" s="346"/>
      <c r="G13" s="346"/>
      <c r="H13" s="346">
        <v>675482.55999999994</v>
      </c>
      <c r="I13" s="347">
        <f>D13/$D$25</f>
        <v>8.762875700491006E-2</v>
      </c>
      <c r="J13" s="346"/>
    </row>
    <row r="14" spans="1:10" ht="13.5" x14ac:dyDescent="0.25">
      <c r="A14" s="344">
        <v>121</v>
      </c>
      <c r="B14" s="345" t="s">
        <v>212</v>
      </c>
      <c r="C14" s="30">
        <f>+INGRESOS!M22</f>
        <v>2342664.61</v>
      </c>
      <c r="D14" s="30">
        <f t="shared" ref="D14:D23" si="0">C14</f>
        <v>2342664.61</v>
      </c>
      <c r="E14" s="346"/>
      <c r="F14" s="346"/>
      <c r="G14" s="346"/>
      <c r="H14" s="346">
        <v>1715798.2500000002</v>
      </c>
      <c r="I14" s="347">
        <f t="shared" ref="I14:I23" si="1">D14/$D$25</f>
        <v>0.19870163959845125</v>
      </c>
      <c r="J14" s="346"/>
    </row>
    <row r="15" spans="1:10" ht="13.5" x14ac:dyDescent="0.25">
      <c r="A15" s="344">
        <v>122</v>
      </c>
      <c r="B15" s="345" t="s">
        <v>215</v>
      </c>
      <c r="C15" s="30">
        <f>+INGRESOS!M39</f>
        <v>242351.85</v>
      </c>
      <c r="D15" s="30">
        <f t="shared" si="0"/>
        <v>242351.85</v>
      </c>
      <c r="E15" s="346"/>
      <c r="F15" s="346"/>
      <c r="G15" s="346"/>
      <c r="H15" s="346">
        <v>58929.71</v>
      </c>
      <c r="I15" s="347">
        <f t="shared" si="1"/>
        <v>2.0555955704951688E-2</v>
      </c>
      <c r="J15" s="346"/>
    </row>
    <row r="16" spans="1:10" ht="13.5" x14ac:dyDescent="0.25">
      <c r="A16" s="344">
        <v>153</v>
      </c>
      <c r="B16" s="348" t="s">
        <v>266</v>
      </c>
      <c r="C16" s="30">
        <f>+INGRESOS!M44</f>
        <v>69284.479999999996</v>
      </c>
      <c r="D16" s="30">
        <f t="shared" si="0"/>
        <v>69284.479999999996</v>
      </c>
      <c r="E16" s="346"/>
      <c r="F16" s="346"/>
      <c r="H16" s="1">
        <v>90924.160000000003</v>
      </c>
      <c r="I16" s="347">
        <f t="shared" si="1"/>
        <v>5.8766157630759201E-3</v>
      </c>
      <c r="J16" s="346"/>
    </row>
    <row r="17" spans="1:10" ht="13.5" x14ac:dyDescent="0.25">
      <c r="A17" s="349">
        <v>154</v>
      </c>
      <c r="B17" s="348" t="s">
        <v>226</v>
      </c>
      <c r="C17" s="30">
        <f>+INGRESOS!M55</f>
        <v>182.31</v>
      </c>
      <c r="D17" s="30">
        <f t="shared" si="0"/>
        <v>182.31</v>
      </c>
      <c r="E17" s="346"/>
      <c r="F17" s="346"/>
      <c r="H17" s="1">
        <v>77.600000000000009</v>
      </c>
      <c r="I17" s="347">
        <f t="shared" si="1"/>
        <v>1.5463287301375013E-5</v>
      </c>
    </row>
    <row r="18" spans="1:10" ht="13.5" x14ac:dyDescent="0.25">
      <c r="A18" s="344">
        <v>157</v>
      </c>
      <c r="B18" s="348" t="s">
        <v>267</v>
      </c>
      <c r="C18" s="30">
        <f>+INGRESOS!M59</f>
        <v>124054.17</v>
      </c>
      <c r="D18" s="30">
        <f t="shared" si="0"/>
        <v>124054.17</v>
      </c>
      <c r="E18" s="346"/>
      <c r="F18" s="346"/>
      <c r="H18" s="1">
        <v>5454.77</v>
      </c>
      <c r="I18" s="347">
        <f t="shared" si="1"/>
        <v>1.052210669542876E-2</v>
      </c>
    </row>
    <row r="19" spans="1:10" ht="13.5" x14ac:dyDescent="0.25">
      <c r="A19" s="344">
        <v>321</v>
      </c>
      <c r="B19" s="348" t="s">
        <v>335</v>
      </c>
      <c r="C19" s="30">
        <f>+INGRESOS!M65+INGRESOS!L65</f>
        <v>3479043.9200000004</v>
      </c>
      <c r="D19" s="30">
        <f t="shared" si="0"/>
        <v>3479043.9200000004</v>
      </c>
      <c r="E19" s="346"/>
      <c r="F19" s="346"/>
      <c r="H19" s="1">
        <v>1645270.97</v>
      </c>
      <c r="I19" s="347">
        <f t="shared" si="1"/>
        <v>0.29508779369788796</v>
      </c>
    </row>
    <row r="20" spans="1:10" ht="13.5" x14ac:dyDescent="0.25">
      <c r="A20" s="89">
        <v>322</v>
      </c>
      <c r="B20" s="155" t="s">
        <v>110</v>
      </c>
      <c r="C20" s="30">
        <f>INGRESOS!L69+INGRESOS!M69</f>
        <v>3000000</v>
      </c>
      <c r="D20" s="30">
        <f t="shared" si="0"/>
        <v>3000000</v>
      </c>
      <c r="E20" s="346"/>
      <c r="F20" s="346"/>
      <c r="H20" s="1">
        <v>412975.78</v>
      </c>
      <c r="I20" s="347">
        <f t="shared" si="1"/>
        <v>0.25445593716266274</v>
      </c>
    </row>
    <row r="21" spans="1:10" ht="13.5" x14ac:dyDescent="0.25">
      <c r="A21" s="89">
        <v>162</v>
      </c>
      <c r="B21" s="81" t="s">
        <v>261</v>
      </c>
      <c r="C21" s="30">
        <f>INGRESOS!L75</f>
        <v>0</v>
      </c>
      <c r="D21" s="30">
        <f t="shared" si="0"/>
        <v>0</v>
      </c>
      <c r="E21" s="346"/>
      <c r="F21" s="346"/>
      <c r="H21" s="1">
        <v>582985.4</v>
      </c>
      <c r="I21" s="347">
        <f t="shared" si="1"/>
        <v>0</v>
      </c>
    </row>
    <row r="22" spans="1:10" ht="13.5" x14ac:dyDescent="0.25">
      <c r="A22" s="89">
        <v>163</v>
      </c>
      <c r="B22" s="81" t="s">
        <v>240</v>
      </c>
      <c r="C22" s="30">
        <f>INGRESOS!L77</f>
        <v>787874.85</v>
      </c>
      <c r="D22" s="30">
        <f t="shared" si="0"/>
        <v>787874.85</v>
      </c>
      <c r="E22" s="346"/>
      <c r="F22" s="346"/>
      <c r="I22" s="347">
        <f t="shared" si="1"/>
        <v>6.6826477774547435E-2</v>
      </c>
    </row>
    <row r="23" spans="1:10" ht="13.5" x14ac:dyDescent="0.25">
      <c r="A23" s="89">
        <v>222</v>
      </c>
      <c r="B23" s="155" t="s">
        <v>262</v>
      </c>
      <c r="C23" s="103">
        <f>+INGRESOS!L81</f>
        <v>711273.48</v>
      </c>
      <c r="D23" s="30">
        <f t="shared" si="0"/>
        <v>711273.48</v>
      </c>
      <c r="E23" s="346"/>
      <c r="F23" s="346"/>
      <c r="G23" s="346"/>
      <c r="H23" s="346">
        <v>1748806.36</v>
      </c>
      <c r="I23" s="347">
        <f t="shared" si="1"/>
        <v>6.0329253310782816E-2</v>
      </c>
      <c r="J23" s="346"/>
    </row>
    <row r="24" spans="1:10" ht="13.5" x14ac:dyDescent="0.25">
      <c r="A24" s="155"/>
      <c r="B24" s="155"/>
      <c r="C24" s="103"/>
      <c r="D24" s="30"/>
      <c r="E24" s="350"/>
      <c r="F24" s="350"/>
      <c r="G24" s="350"/>
      <c r="H24" s="350"/>
      <c r="I24" s="346"/>
      <c r="J24" s="346"/>
    </row>
    <row r="25" spans="1:10" ht="13.5" x14ac:dyDescent="0.25">
      <c r="A25" s="155"/>
      <c r="B25" s="72" t="s">
        <v>271</v>
      </c>
      <c r="C25" s="351">
        <f>SUM(C13:C24)</f>
        <v>11789860.49</v>
      </c>
      <c r="D25" s="334">
        <f>C25</f>
        <v>11789860.49</v>
      </c>
      <c r="E25" s="350"/>
      <c r="F25" s="350"/>
      <c r="G25" s="350"/>
      <c r="H25" s="350">
        <v>6936705.5600000015</v>
      </c>
      <c r="I25" s="347">
        <f>SUM(I13:I23)</f>
        <v>0.99999999999999978</v>
      </c>
      <c r="J25" s="346"/>
    </row>
    <row r="26" spans="1:10" x14ac:dyDescent="0.2">
      <c r="C26" s="2"/>
      <c r="D26" s="2"/>
      <c r="E26" s="2">
        <f>INGRESOS!N92-'CONSOL CUENTA'!D25</f>
        <v>0</v>
      </c>
      <c r="F26" s="2"/>
      <c r="G26" s="2"/>
    </row>
    <row r="27" spans="1:10" x14ac:dyDescent="0.2">
      <c r="C27" s="2"/>
      <c r="D27" s="2"/>
      <c r="E27" s="2"/>
      <c r="F27" s="2"/>
      <c r="G27" s="2"/>
    </row>
    <row r="28" spans="1:10" x14ac:dyDescent="0.2">
      <c r="C28" s="2"/>
      <c r="D28" s="2"/>
      <c r="E28" s="2"/>
      <c r="F28" s="2"/>
      <c r="G28" s="2"/>
    </row>
    <row r="29" spans="1:10" x14ac:dyDescent="0.2">
      <c r="C29" s="2"/>
      <c r="D29" s="2"/>
      <c r="E29" s="2"/>
      <c r="F29" s="2"/>
      <c r="G29" s="2"/>
    </row>
    <row r="30" spans="1:10" x14ac:dyDescent="0.2">
      <c r="C30" s="2"/>
      <c r="D30" s="2"/>
      <c r="E30" s="2"/>
      <c r="F30" s="2"/>
      <c r="G30" s="2"/>
    </row>
    <row r="31" spans="1:10" x14ac:dyDescent="0.2">
      <c r="A31" s="404" t="s">
        <v>837</v>
      </c>
      <c r="B31" s="404"/>
      <c r="C31" s="404"/>
      <c r="D31" s="404"/>
      <c r="E31" s="2"/>
      <c r="F31" s="2"/>
      <c r="G31" s="2"/>
    </row>
    <row r="32" spans="1:10" x14ac:dyDescent="0.2">
      <c r="C32" s="2"/>
      <c r="D32" s="2"/>
      <c r="E32" s="2"/>
      <c r="F32" s="2"/>
      <c r="G32" s="2"/>
    </row>
    <row r="33" spans="1:10" x14ac:dyDescent="0.2">
      <c r="A33" s="404" t="s">
        <v>119</v>
      </c>
      <c r="B33" s="404"/>
      <c r="C33" s="404"/>
      <c r="D33" s="404"/>
      <c r="E33" s="2"/>
      <c r="F33" s="2"/>
      <c r="G33" s="2"/>
    </row>
    <row r="34" spans="1:10" x14ac:dyDescent="0.2">
      <c r="A34" s="404" t="s">
        <v>252</v>
      </c>
      <c r="B34" s="404"/>
      <c r="C34" s="404"/>
      <c r="D34" s="404"/>
      <c r="E34" s="2"/>
      <c r="F34" s="2"/>
      <c r="G34" s="2"/>
    </row>
    <row r="35" spans="1:10" x14ac:dyDescent="0.2">
      <c r="A35" s="404" t="str">
        <f>A6</f>
        <v xml:space="preserve"> PRESUPUESTO AÑO 2024</v>
      </c>
      <c r="B35" s="404"/>
      <c r="C35" s="404"/>
      <c r="D35" s="404"/>
      <c r="E35" s="2"/>
      <c r="F35" s="2" t="s">
        <v>269</v>
      </c>
      <c r="G35" s="2">
        <f>C25</f>
        <v>11789860.49</v>
      </c>
    </row>
    <row r="36" spans="1:10" x14ac:dyDescent="0.2">
      <c r="A36" s="404" t="s">
        <v>272</v>
      </c>
      <c r="B36" s="404"/>
      <c r="C36" s="404"/>
      <c r="D36" s="404"/>
      <c r="E36" s="2"/>
      <c r="F36" s="2" t="s">
        <v>362</v>
      </c>
      <c r="G36" s="2">
        <f>C66</f>
        <v>11789860.49</v>
      </c>
    </row>
    <row r="37" spans="1:10" x14ac:dyDescent="0.2">
      <c r="A37" s="404" t="str">
        <f>A8</f>
        <v>PRESUPUESTO EXTRA CONTABLE</v>
      </c>
      <c r="B37" s="404"/>
      <c r="C37" s="404"/>
      <c r="D37" s="404"/>
      <c r="E37" s="2"/>
      <c r="F37" s="2" t="s">
        <v>343</v>
      </c>
      <c r="G37" s="2">
        <f>G35-G36</f>
        <v>0</v>
      </c>
    </row>
    <row r="38" spans="1:10" x14ac:dyDescent="0.2">
      <c r="A38" s="72"/>
      <c r="B38" s="72" t="s">
        <v>275</v>
      </c>
      <c r="C38" s="157"/>
      <c r="D38" s="157"/>
      <c r="E38" s="352"/>
      <c r="F38" s="352"/>
      <c r="G38" s="352"/>
      <c r="H38" s="113"/>
      <c r="I38" s="113"/>
      <c r="J38" s="113"/>
    </row>
    <row r="39" spans="1:10" ht="13.5" x14ac:dyDescent="0.25">
      <c r="A39" s="419" t="s">
        <v>1</v>
      </c>
      <c r="B39" s="87"/>
      <c r="C39" s="157"/>
      <c r="D39" s="157"/>
      <c r="E39" s="343"/>
      <c r="F39" s="343"/>
      <c r="G39" s="343"/>
      <c r="H39" s="342"/>
      <c r="I39" s="342"/>
      <c r="J39" s="113"/>
    </row>
    <row r="40" spans="1:10" ht="13.5" x14ac:dyDescent="0.25">
      <c r="A40" s="419"/>
      <c r="B40" s="72" t="s">
        <v>0</v>
      </c>
      <c r="C40" s="157" t="s">
        <v>268</v>
      </c>
      <c r="D40" s="157" t="s">
        <v>378</v>
      </c>
      <c r="E40" s="343"/>
      <c r="F40" s="343"/>
      <c r="G40" s="343"/>
      <c r="H40" s="342" t="s">
        <v>268</v>
      </c>
      <c r="I40" s="342"/>
      <c r="J40" s="113"/>
    </row>
    <row r="41" spans="1:10" ht="13.5" x14ac:dyDescent="0.25">
      <c r="A41" s="89">
        <v>511</v>
      </c>
      <c r="B41" s="81" t="s">
        <v>141</v>
      </c>
      <c r="C41" s="91">
        <f>EGRESOS!E2203+EGRESOS!F2203+EGRESOS!G2203</f>
        <v>2773762.2800000003</v>
      </c>
      <c r="D41" s="91">
        <f>C41</f>
        <v>2773762.2800000003</v>
      </c>
      <c r="E41" s="346"/>
      <c r="F41" s="346"/>
      <c r="G41" s="86"/>
      <c r="H41" s="346">
        <v>1681000.8</v>
      </c>
      <c r="I41" s="353">
        <f>D41/$D$66</f>
        <v>0.23526676014128139</v>
      </c>
      <c r="J41" s="2"/>
    </row>
    <row r="42" spans="1:10" ht="13.5" x14ac:dyDescent="0.25">
      <c r="A42" s="89">
        <v>512</v>
      </c>
      <c r="B42" s="81" t="s">
        <v>23</v>
      </c>
      <c r="C42" s="30">
        <f>EGRESOS!E2208+EGRESOS!F2208+EGRESOS!G2208</f>
        <v>0</v>
      </c>
      <c r="D42" s="91">
        <f t="shared" ref="D42:D64" si="2">C42</f>
        <v>0</v>
      </c>
      <c r="E42" s="346"/>
      <c r="F42" s="346"/>
      <c r="G42" s="346"/>
      <c r="H42" s="346">
        <v>20735</v>
      </c>
      <c r="I42" s="353">
        <f t="shared" ref="I42:I64" si="3">D42/$D$66</f>
        <v>0</v>
      </c>
      <c r="J42" s="2"/>
    </row>
    <row r="43" spans="1:10" ht="13.5" x14ac:dyDescent="0.25">
      <c r="A43" s="89">
        <v>514</v>
      </c>
      <c r="B43" s="81" t="s">
        <v>24</v>
      </c>
      <c r="C43" s="30">
        <f>EGRESOS!E2211+EGRESOS!F2211+EGRESOS!G2211</f>
        <v>198482.13000000003</v>
      </c>
      <c r="D43" s="91">
        <f t="shared" si="2"/>
        <v>198482.13000000003</v>
      </c>
      <c r="E43" s="346"/>
      <c r="F43" s="346"/>
      <c r="G43" s="346"/>
      <c r="H43" s="346">
        <v>113374.04999999996</v>
      </c>
      <c r="I43" s="353">
        <f t="shared" si="3"/>
        <v>1.6834985466397154E-2</v>
      </c>
      <c r="J43" s="2"/>
    </row>
    <row r="44" spans="1:10" ht="13.5" x14ac:dyDescent="0.25">
      <c r="A44" s="89">
        <v>515</v>
      </c>
      <c r="B44" s="81" t="s">
        <v>25</v>
      </c>
      <c r="C44" s="30">
        <f>EGRESOS!E2213+EGRESOS!F2213+EGRESOS!G2213</f>
        <v>195985.34000000003</v>
      </c>
      <c r="D44" s="91">
        <f t="shared" si="2"/>
        <v>195985.34000000003</v>
      </c>
      <c r="E44" s="346"/>
      <c r="F44" s="346"/>
      <c r="G44" s="346"/>
      <c r="H44" s="346">
        <v>80810.340000000011</v>
      </c>
      <c r="I44" s="353">
        <f t="shared" si="3"/>
        <v>1.66232111199477E-2</v>
      </c>
      <c r="J44" s="2"/>
    </row>
    <row r="45" spans="1:10" ht="13.5" x14ac:dyDescent="0.25">
      <c r="A45" s="89">
        <v>516</v>
      </c>
      <c r="B45" s="81" t="s">
        <v>313</v>
      </c>
      <c r="C45" s="30">
        <f>EGRESOS!E2215+EGRESOS!F2215+EGRESOS!G2215</f>
        <v>30000</v>
      </c>
      <c r="D45" s="91">
        <f t="shared" si="2"/>
        <v>30000</v>
      </c>
      <c r="E45" s="346"/>
      <c r="F45" s="346"/>
      <c r="G45" s="346"/>
      <c r="H45" s="346">
        <v>6960</v>
      </c>
      <c r="I45" s="353">
        <f t="shared" si="3"/>
        <v>2.5445593716266271E-3</v>
      </c>
      <c r="J45" s="2"/>
    </row>
    <row r="46" spans="1:10" ht="13.5" x14ac:dyDescent="0.25">
      <c r="A46" s="89">
        <v>517</v>
      </c>
      <c r="B46" s="81" t="s">
        <v>51</v>
      </c>
      <c r="C46" s="30">
        <f>EGRESOS!E2217+EGRESOS!F2217+EGRESOS!G2217</f>
        <v>40196.589999999997</v>
      </c>
      <c r="D46" s="91">
        <f t="shared" si="2"/>
        <v>40196.589999999997</v>
      </c>
      <c r="E46" s="346"/>
      <c r="F46" s="346"/>
      <c r="G46" s="346"/>
      <c r="H46" s="346">
        <v>15000</v>
      </c>
      <c r="I46" s="353">
        <f t="shared" si="3"/>
        <v>3.4094203263977719E-3</v>
      </c>
      <c r="J46" s="2"/>
    </row>
    <row r="47" spans="1:10" ht="13.5" x14ac:dyDescent="0.25">
      <c r="A47" s="89">
        <v>519</v>
      </c>
      <c r="B47" s="81" t="s">
        <v>334</v>
      </c>
      <c r="C47" s="30">
        <f>EGRESOS!E2219+EGRESOS!F2219+EGRESOS!G2219</f>
        <v>85750</v>
      </c>
      <c r="D47" s="91">
        <f t="shared" si="2"/>
        <v>85750</v>
      </c>
      <c r="E47" s="346"/>
      <c r="F47" s="346">
        <f>C41+C42+C43+C44+C45+C46+C47</f>
        <v>3324176.34</v>
      </c>
      <c r="G47" s="346"/>
      <c r="H47" s="346">
        <v>13600</v>
      </c>
      <c r="I47" s="353">
        <f t="shared" si="3"/>
        <v>7.2731988705661095E-3</v>
      </c>
      <c r="J47" s="2"/>
    </row>
    <row r="48" spans="1:10" ht="13.5" x14ac:dyDescent="0.25">
      <c r="A48" s="89">
        <v>541</v>
      </c>
      <c r="B48" s="81" t="s">
        <v>120</v>
      </c>
      <c r="C48" s="30">
        <f>EGRESOS!E2221+EGRESOS!F2221+EGRESOS!G2221</f>
        <v>892878</v>
      </c>
      <c r="D48" s="91">
        <f t="shared" si="2"/>
        <v>892878</v>
      </c>
      <c r="E48" s="346"/>
      <c r="F48" s="346"/>
      <c r="G48" s="346"/>
      <c r="H48" s="346">
        <v>550331.76</v>
      </c>
      <c r="I48" s="353">
        <f t="shared" si="3"/>
        <v>7.5732702753974659E-2</v>
      </c>
      <c r="J48" s="2"/>
    </row>
    <row r="49" spans="1:10" ht="13.5" x14ac:dyDescent="0.25">
      <c r="A49" s="89">
        <v>542</v>
      </c>
      <c r="B49" s="81" t="s">
        <v>121</v>
      </c>
      <c r="C49" s="30">
        <f>EGRESOS!E2243+EGRESOS!F2243+EGRESOS!G2243</f>
        <v>672000</v>
      </c>
      <c r="D49" s="91">
        <f t="shared" si="2"/>
        <v>672000</v>
      </c>
      <c r="E49" s="346"/>
      <c r="F49" s="346"/>
      <c r="G49" s="346"/>
      <c r="H49" s="346">
        <v>664175.74</v>
      </c>
      <c r="I49" s="353">
        <f t="shared" si="3"/>
        <v>5.6998129924436453E-2</v>
      </c>
      <c r="J49" s="2"/>
    </row>
    <row r="50" spans="1:10" ht="13.5" x14ac:dyDescent="0.25">
      <c r="A50" s="89">
        <v>543</v>
      </c>
      <c r="B50" s="81" t="s">
        <v>122</v>
      </c>
      <c r="C50" s="30">
        <f>EGRESOS!E2249+EGRESOS!F2249+EGRESOS!G2249</f>
        <v>1213345</v>
      </c>
      <c r="D50" s="91">
        <f t="shared" si="2"/>
        <v>1213345</v>
      </c>
      <c r="E50" s="346"/>
      <c r="F50" s="346"/>
      <c r="G50" s="346"/>
      <c r="H50" s="346">
        <v>202566.53999999998</v>
      </c>
      <c r="I50" s="353">
        <f t="shared" si="3"/>
        <v>0.10291427969221033</v>
      </c>
      <c r="J50" s="2"/>
    </row>
    <row r="51" spans="1:10" ht="13.5" x14ac:dyDescent="0.25">
      <c r="A51" s="89">
        <v>544</v>
      </c>
      <c r="B51" s="81" t="s">
        <v>123</v>
      </c>
      <c r="C51" s="30">
        <f>EGRESOS!E2262+EGRESOS!F2262+EGRESOS!G2262</f>
        <v>43860</v>
      </c>
      <c r="D51" s="91">
        <f t="shared" si="2"/>
        <v>43860</v>
      </c>
      <c r="E51" s="346"/>
      <c r="F51" s="346"/>
      <c r="G51" s="346"/>
      <c r="H51" s="346">
        <v>19030</v>
      </c>
      <c r="I51" s="353">
        <f t="shared" si="3"/>
        <v>3.7201458013181288E-3</v>
      </c>
      <c r="J51" s="2"/>
    </row>
    <row r="52" spans="1:10" ht="13.5" x14ac:dyDescent="0.25">
      <c r="A52" s="89">
        <v>545</v>
      </c>
      <c r="B52" s="81" t="s">
        <v>194</v>
      </c>
      <c r="C52" s="30">
        <f>EGRESOS!E2267+EGRESOS!F2267+EGRESOS!G2267</f>
        <v>93400</v>
      </c>
      <c r="D52" s="91">
        <f t="shared" si="2"/>
        <v>93400</v>
      </c>
      <c r="E52" s="346"/>
      <c r="F52" s="346"/>
      <c r="G52" s="346"/>
      <c r="H52" s="346">
        <v>38375</v>
      </c>
      <c r="I52" s="353">
        <f t="shared" si="3"/>
        <v>7.9220615103309001E-3</v>
      </c>
      <c r="J52" s="2"/>
    </row>
    <row r="53" spans="1:10" ht="13.5" x14ac:dyDescent="0.25">
      <c r="A53" s="89">
        <v>546</v>
      </c>
      <c r="B53" s="81" t="s">
        <v>124</v>
      </c>
      <c r="C53" s="30">
        <f>EGRESOS!E2274+EGRESOS!F2274+EGRESOS!G2274</f>
        <v>500600</v>
      </c>
      <c r="D53" s="91">
        <f t="shared" si="2"/>
        <v>500600</v>
      </c>
      <c r="E53" s="346"/>
      <c r="F53" s="346">
        <f>C48+C49+C50+C51+C52+C53</f>
        <v>3416083</v>
      </c>
      <c r="G53" s="346"/>
      <c r="H53" s="346">
        <v>340000</v>
      </c>
      <c r="I53" s="353">
        <f t="shared" si="3"/>
        <v>4.2460214047876317E-2</v>
      </c>
      <c r="J53" s="2"/>
    </row>
    <row r="54" spans="1:10" ht="13.5" x14ac:dyDescent="0.25">
      <c r="A54" s="89">
        <v>553</v>
      </c>
      <c r="B54" s="81" t="s">
        <v>263</v>
      </c>
      <c r="C54" s="30">
        <f>EGRESOS!E2276+EGRESOS!F2276+EGRESOS!G2276</f>
        <v>624155.44799999997</v>
      </c>
      <c r="D54" s="91">
        <f t="shared" si="2"/>
        <v>624155.44799999997</v>
      </c>
      <c r="E54" s="346"/>
      <c r="F54" s="346"/>
      <c r="G54" s="346"/>
      <c r="H54" s="346">
        <v>203000</v>
      </c>
      <c r="I54" s="353">
        <f t="shared" si="3"/>
        <v>5.2940019818673863E-2</v>
      </c>
      <c r="J54" s="2"/>
    </row>
    <row r="55" spans="1:10" ht="13.5" x14ac:dyDescent="0.25">
      <c r="A55" s="89">
        <v>555</v>
      </c>
      <c r="B55" s="81" t="s">
        <v>323</v>
      </c>
      <c r="C55" s="30">
        <f>EGRESOS!E2280+EGRESOS!F2280+EGRESOS!G2280</f>
        <v>30000</v>
      </c>
      <c r="D55" s="91">
        <f t="shared" si="2"/>
        <v>30000</v>
      </c>
      <c r="E55" s="346"/>
      <c r="F55" s="346"/>
      <c r="G55" s="346"/>
      <c r="H55" s="346">
        <v>9000</v>
      </c>
      <c r="I55" s="353">
        <f t="shared" si="3"/>
        <v>2.5445593716266271E-3</v>
      </c>
      <c r="J55" s="2"/>
    </row>
    <row r="56" spans="1:10" ht="13.5" x14ac:dyDescent="0.25">
      <c r="A56" s="89">
        <v>556</v>
      </c>
      <c r="B56" s="81" t="s">
        <v>190</v>
      </c>
      <c r="C56" s="30">
        <f>EGRESOS!E2282+EGRESOS!F2282+EGRESOS!G2282</f>
        <v>81000</v>
      </c>
      <c r="D56" s="91">
        <f t="shared" si="2"/>
        <v>81000</v>
      </c>
      <c r="E56" s="346"/>
      <c r="F56" s="346"/>
      <c r="G56" s="346"/>
      <c r="H56" s="346">
        <v>53064.66</v>
      </c>
      <c r="I56" s="353">
        <f t="shared" si="3"/>
        <v>6.8703103033918933E-3</v>
      </c>
      <c r="J56" s="2"/>
    </row>
    <row r="57" spans="1:10" ht="13.5" x14ac:dyDescent="0.25">
      <c r="A57" s="89">
        <v>557</v>
      </c>
      <c r="B57" s="94" t="s">
        <v>125</v>
      </c>
      <c r="C57" s="30">
        <f>EGRESOS!E2286+EGRESOS!F2286+EGRESOS!G2286</f>
        <v>60200</v>
      </c>
      <c r="D57" s="91">
        <f t="shared" si="2"/>
        <v>60200</v>
      </c>
      <c r="E57" s="346"/>
      <c r="F57" s="346">
        <f>C54+C55+C56+C57</f>
        <v>795355.44799999997</v>
      </c>
      <c r="G57" s="346"/>
      <c r="H57" s="346">
        <v>115000</v>
      </c>
      <c r="I57" s="353">
        <f t="shared" si="3"/>
        <v>5.1060824723974316E-3</v>
      </c>
      <c r="J57" s="2"/>
    </row>
    <row r="58" spans="1:10" ht="13.5" x14ac:dyDescent="0.25">
      <c r="A58" s="89">
        <v>563</v>
      </c>
      <c r="B58" s="81" t="s">
        <v>264</v>
      </c>
      <c r="C58" s="30">
        <f>EGRESOS!E2291+EGRESOS!F2291+EGRESOS!G2291</f>
        <v>53000</v>
      </c>
      <c r="D58" s="91">
        <f t="shared" si="2"/>
        <v>53000</v>
      </c>
      <c r="E58" s="346"/>
      <c r="F58" s="346">
        <f>C58</f>
        <v>53000</v>
      </c>
      <c r="G58" s="346"/>
      <c r="H58" s="346">
        <v>14200</v>
      </c>
      <c r="I58" s="353">
        <f t="shared" si="3"/>
        <v>4.4953882232070417E-3</v>
      </c>
      <c r="J58" s="2"/>
    </row>
    <row r="59" spans="1:10" ht="13.5" x14ac:dyDescent="0.25">
      <c r="A59" s="89">
        <v>611</v>
      </c>
      <c r="B59" s="81" t="s">
        <v>126</v>
      </c>
      <c r="C59" s="30">
        <f>EGRESOS!E2295+EGRESOS!F2295+EGRESOS!G2295</f>
        <v>329975</v>
      </c>
      <c r="D59" s="91">
        <f t="shared" si="2"/>
        <v>329975</v>
      </c>
      <c r="E59" s="346"/>
      <c r="F59" s="346"/>
      <c r="G59" s="346"/>
      <c r="H59" s="346">
        <v>189948.12</v>
      </c>
      <c r="I59" s="353">
        <f t="shared" si="3"/>
        <v>2.7988032621749877E-2</v>
      </c>
      <c r="J59" s="2"/>
    </row>
    <row r="60" spans="1:10" ht="13.5" x14ac:dyDescent="0.25">
      <c r="A60" s="89">
        <v>614</v>
      </c>
      <c r="B60" s="81" t="s">
        <v>185</v>
      </c>
      <c r="C60" s="30">
        <f>EGRESOS!E2305+EGRESOS!F2305+EGRESOS!G2305</f>
        <v>7050</v>
      </c>
      <c r="D60" s="91">
        <f t="shared" si="2"/>
        <v>7050</v>
      </c>
      <c r="E60" s="346"/>
      <c r="F60" s="346"/>
      <c r="G60" s="346"/>
      <c r="H60" s="346">
        <v>400</v>
      </c>
      <c r="I60" s="353">
        <f t="shared" si="3"/>
        <v>5.9797145233225735E-4</v>
      </c>
      <c r="J60" s="2"/>
    </row>
    <row r="61" spans="1:10" ht="13.5" x14ac:dyDescent="0.25">
      <c r="A61" s="89">
        <v>615</v>
      </c>
      <c r="B61" s="81" t="s">
        <v>156</v>
      </c>
      <c r="C61" s="30">
        <f>EGRESOS!E2307+EGRESOS!F2307+EGRESOS!G2307</f>
        <v>112792.95</v>
      </c>
      <c r="D61" s="91">
        <f t="shared" si="2"/>
        <v>112792.95</v>
      </c>
      <c r="E61" s="346"/>
      <c r="F61" s="346"/>
      <c r="G61" s="346"/>
      <c r="H61" s="346">
        <v>72082.040000000008</v>
      </c>
      <c r="I61" s="353">
        <f t="shared" si="3"/>
        <v>9.5669452658637862E-3</v>
      </c>
      <c r="J61" s="2"/>
    </row>
    <row r="62" spans="1:10" ht="13.5" x14ac:dyDescent="0.25">
      <c r="A62" s="89">
        <v>616</v>
      </c>
      <c r="B62" s="81" t="s">
        <v>127</v>
      </c>
      <c r="C62" s="30">
        <f>EGRESOS!E2309+EGRESOS!F2309+EGRESOS!G2309</f>
        <v>3234626.5</v>
      </c>
      <c r="D62" s="91">
        <f t="shared" si="2"/>
        <v>3234626.5</v>
      </c>
      <c r="E62" s="346"/>
      <c r="F62" s="346">
        <f>C59+C60+C61+C62</f>
        <v>3684444.45</v>
      </c>
      <c r="G62" s="346"/>
      <c r="H62" s="346">
        <v>2282175.7400000002</v>
      </c>
      <c r="I62" s="353">
        <f t="shared" si="3"/>
        <v>0.27435663914289454</v>
      </c>
      <c r="J62" s="2"/>
    </row>
    <row r="63" spans="1:10" ht="13.5" x14ac:dyDescent="0.25">
      <c r="A63" s="89">
        <v>713</v>
      </c>
      <c r="B63" s="81" t="s">
        <v>265</v>
      </c>
      <c r="C63" s="30">
        <f>EGRESOS!H2317</f>
        <v>470047.87200000003</v>
      </c>
      <c r="D63" s="91">
        <f t="shared" si="2"/>
        <v>470047.87200000003</v>
      </c>
      <c r="E63" s="346"/>
      <c r="F63" s="346">
        <f>C63</f>
        <v>470047.87200000003</v>
      </c>
      <c r="G63" s="346"/>
      <c r="H63" s="346">
        <v>200000</v>
      </c>
      <c r="I63" s="353">
        <f t="shared" si="3"/>
        <v>3.9868823927025114E-2</v>
      </c>
      <c r="J63" s="2"/>
    </row>
    <row r="64" spans="1:10" ht="13.5" x14ac:dyDescent="0.25">
      <c r="A64" s="89">
        <v>721</v>
      </c>
      <c r="B64" s="81" t="s">
        <v>366</v>
      </c>
      <c r="C64" s="30">
        <f>EGRESOS!E2320+EGRESOS!F2320+EGRESOS!G2320</f>
        <v>46753.38</v>
      </c>
      <c r="D64" s="91">
        <f t="shared" si="2"/>
        <v>46753.38</v>
      </c>
      <c r="E64" s="346"/>
      <c r="F64" s="346"/>
      <c r="G64" s="346"/>
      <c r="H64" s="346">
        <v>51875.77</v>
      </c>
      <c r="I64" s="353">
        <f t="shared" si="3"/>
        <v>3.9655583744740309E-3</v>
      </c>
      <c r="J64" s="2"/>
    </row>
    <row r="65" spans="1:10" ht="13.5" x14ac:dyDescent="0.25">
      <c r="A65" s="89"/>
      <c r="B65" s="81"/>
      <c r="C65" s="30"/>
      <c r="D65" s="30"/>
      <c r="E65" s="346"/>
      <c r="F65" s="346">
        <f>SUM(F47:F63)</f>
        <v>11743107.109999999</v>
      </c>
      <c r="G65" s="346"/>
      <c r="H65" s="346"/>
      <c r="I65" s="2"/>
      <c r="J65" s="2"/>
    </row>
    <row r="66" spans="1:10" ht="13.5" x14ac:dyDescent="0.25">
      <c r="A66" s="72"/>
      <c r="B66" s="72" t="s">
        <v>270</v>
      </c>
      <c r="C66" s="82">
        <f>SUM(C41:C65)</f>
        <v>11789860.49</v>
      </c>
      <c r="D66" s="82">
        <f>C66</f>
        <v>11789860.49</v>
      </c>
      <c r="E66" s="354">
        <f>D25-D66</f>
        <v>0</v>
      </c>
      <c r="F66" s="2"/>
      <c r="G66" s="354"/>
      <c r="H66" s="354">
        <v>6936705.5600000005</v>
      </c>
      <c r="I66" s="355">
        <f>SUM(I41:I64)</f>
        <v>1</v>
      </c>
      <c r="J66" s="162"/>
    </row>
    <row r="67" spans="1:10" x14ac:dyDescent="0.2">
      <c r="C67" s="2"/>
      <c r="D67" s="2"/>
      <c r="E67" s="2"/>
      <c r="F67" s="2"/>
      <c r="G67" s="2"/>
      <c r="J67" s="2"/>
    </row>
    <row r="68" spans="1:10" x14ac:dyDescent="0.2">
      <c r="C68" s="2"/>
      <c r="D68" s="2"/>
      <c r="E68" s="2">
        <f>EGRESOS!H2322-'CONSOL CUENTA'!D66</f>
        <v>0</v>
      </c>
      <c r="F68" s="2"/>
      <c r="G68" s="2"/>
    </row>
    <row r="69" spans="1:10" x14ac:dyDescent="0.2">
      <c r="C69" s="2"/>
      <c r="D69" s="2"/>
      <c r="E69" s="2"/>
      <c r="F69" s="2"/>
      <c r="G69" s="2"/>
    </row>
    <row r="70" spans="1:10" x14ac:dyDescent="0.2">
      <c r="B70" s="356"/>
      <c r="C70" s="162"/>
      <c r="D70" s="162"/>
      <c r="E70" s="162"/>
      <c r="F70" s="162"/>
      <c r="G70" s="162"/>
      <c r="H70" s="162"/>
      <c r="I70" s="162"/>
    </row>
    <row r="71" spans="1:10" x14ac:dyDescent="0.2">
      <c r="C71" s="2"/>
      <c r="D71" s="2"/>
      <c r="E71" s="2"/>
      <c r="F71" s="2"/>
      <c r="G71" s="2"/>
    </row>
    <row r="72" spans="1:10" x14ac:dyDescent="0.2">
      <c r="C72" s="2"/>
      <c r="D72" s="2"/>
      <c r="E72" s="2"/>
      <c r="F72" s="2"/>
      <c r="G72" s="2"/>
    </row>
    <row r="73" spans="1:10" x14ac:dyDescent="0.2">
      <c r="C73" s="2"/>
      <c r="D73" s="2"/>
      <c r="E73" s="2"/>
      <c r="F73" s="2"/>
      <c r="G73" s="2"/>
    </row>
    <row r="74" spans="1:10" x14ac:dyDescent="0.2">
      <c r="C74" s="2"/>
      <c r="D74" s="2"/>
      <c r="E74" s="2"/>
      <c r="F74" s="2"/>
      <c r="G74" s="2"/>
    </row>
    <row r="75" spans="1:10" x14ac:dyDescent="0.2">
      <c r="C75" s="2"/>
      <c r="D75" s="2"/>
      <c r="E75" s="2"/>
      <c r="F75" s="2"/>
      <c r="G75" s="2"/>
    </row>
    <row r="76" spans="1:10" x14ac:dyDescent="0.2">
      <c r="C76" s="2"/>
      <c r="D76" s="2"/>
      <c r="E76" s="2"/>
      <c r="F76" s="2"/>
      <c r="G76" s="2">
        <f>C66-EGRESOS!H2384</f>
        <v>0</v>
      </c>
    </row>
    <row r="77" spans="1:10" x14ac:dyDescent="0.2">
      <c r="C77" s="2"/>
      <c r="D77" s="2"/>
      <c r="E77" s="2"/>
      <c r="F77" s="2"/>
      <c r="G77" s="2"/>
    </row>
    <row r="78" spans="1:10" x14ac:dyDescent="0.2">
      <c r="C78" s="2"/>
      <c r="D78" s="2"/>
      <c r="E78" s="2"/>
      <c r="F78" s="2"/>
      <c r="G78" s="2"/>
    </row>
    <row r="79" spans="1:10" x14ac:dyDescent="0.2">
      <c r="C79" s="2"/>
      <c r="D79" s="2"/>
      <c r="E79" s="2"/>
      <c r="F79" s="2"/>
      <c r="G79" s="2"/>
    </row>
    <row r="80" spans="1:10" x14ac:dyDescent="0.2">
      <c r="C80" s="2"/>
      <c r="D80" s="2"/>
      <c r="E80" s="2"/>
      <c r="F80" s="2"/>
      <c r="G80" s="2"/>
    </row>
    <row r="81" spans="3:7" x14ac:dyDescent="0.2">
      <c r="C81" s="2"/>
      <c r="D81" s="2"/>
      <c r="E81" s="2"/>
      <c r="F81" s="2"/>
      <c r="G81" s="2"/>
    </row>
    <row r="82" spans="3:7" x14ac:dyDescent="0.2">
      <c r="C82" s="2"/>
      <c r="D82" s="2"/>
      <c r="E82" s="2"/>
      <c r="F82" s="2"/>
      <c r="G82" s="2"/>
    </row>
    <row r="83" spans="3:7" x14ac:dyDescent="0.2">
      <c r="C83" s="2"/>
      <c r="D83" s="2"/>
      <c r="E83" s="2"/>
      <c r="F83" s="2"/>
      <c r="G83" s="2"/>
    </row>
    <row r="84" spans="3:7" x14ac:dyDescent="0.2">
      <c r="C84" s="2"/>
      <c r="D84" s="2"/>
      <c r="E84" s="2"/>
      <c r="F84" s="2"/>
      <c r="G84" s="2"/>
    </row>
    <row r="85" spans="3:7" x14ac:dyDescent="0.2">
      <c r="C85" s="2"/>
      <c r="D85" s="2"/>
      <c r="E85" s="2"/>
      <c r="F85" s="2"/>
      <c r="G85" s="2"/>
    </row>
    <row r="86" spans="3:7" x14ac:dyDescent="0.2">
      <c r="C86" s="2"/>
      <c r="D86" s="2"/>
      <c r="E86" s="2"/>
      <c r="F86" s="2"/>
      <c r="G86" s="2"/>
    </row>
    <row r="87" spans="3:7" x14ac:dyDescent="0.2">
      <c r="C87" s="2"/>
      <c r="D87" s="2"/>
      <c r="E87" s="2"/>
      <c r="F87" s="2"/>
      <c r="G87" s="2"/>
    </row>
    <row r="88" spans="3:7" x14ac:dyDescent="0.2">
      <c r="C88" s="2"/>
      <c r="D88" s="2"/>
      <c r="E88" s="2"/>
      <c r="F88" s="2"/>
      <c r="G88" s="2"/>
    </row>
    <row r="89" spans="3:7" x14ac:dyDescent="0.2">
      <c r="C89" s="2"/>
      <c r="D89" s="2"/>
      <c r="E89" s="2"/>
      <c r="F89" s="2"/>
      <c r="G89" s="2"/>
    </row>
    <row r="90" spans="3:7" x14ac:dyDescent="0.2">
      <c r="C90" s="2"/>
      <c r="D90" s="2"/>
      <c r="E90" s="2"/>
      <c r="F90" s="2"/>
      <c r="G90" s="2"/>
    </row>
    <row r="91" spans="3:7" x14ac:dyDescent="0.2">
      <c r="C91" s="2"/>
      <c r="D91" s="2"/>
      <c r="E91" s="2"/>
      <c r="F91" s="2"/>
      <c r="G91" s="2"/>
    </row>
    <row r="92" spans="3:7" x14ac:dyDescent="0.2">
      <c r="C92" s="2"/>
      <c r="D92" s="2"/>
      <c r="E92" s="2"/>
      <c r="F92" s="2"/>
      <c r="G92" s="2"/>
    </row>
    <row r="93" spans="3:7" x14ac:dyDescent="0.2">
      <c r="C93" s="2"/>
      <c r="D93" s="2"/>
      <c r="E93" s="2"/>
      <c r="F93" s="2"/>
      <c r="G93" s="2"/>
    </row>
    <row r="94" spans="3:7" x14ac:dyDescent="0.2">
      <c r="C94" s="2"/>
      <c r="D94" s="2"/>
      <c r="E94" s="2"/>
      <c r="F94" s="2"/>
      <c r="G94" s="2"/>
    </row>
    <row r="95" spans="3:7" x14ac:dyDescent="0.2">
      <c r="C95" s="2"/>
      <c r="D95" s="2"/>
      <c r="E95" s="2"/>
      <c r="F95" s="2"/>
      <c r="G95" s="2"/>
    </row>
    <row r="96" spans="3:7" x14ac:dyDescent="0.2">
      <c r="C96" s="2"/>
      <c r="D96" s="2"/>
      <c r="E96" s="2"/>
      <c r="F96" s="2"/>
      <c r="G96" s="2"/>
    </row>
    <row r="97" spans="3:7" x14ac:dyDescent="0.2">
      <c r="C97" s="2"/>
      <c r="D97" s="2"/>
      <c r="E97" s="2"/>
      <c r="F97" s="2"/>
      <c r="G97" s="2"/>
    </row>
    <row r="98" spans="3:7" x14ac:dyDescent="0.2">
      <c r="C98" s="2"/>
      <c r="D98" s="2"/>
      <c r="E98" s="2"/>
      <c r="F98" s="2"/>
      <c r="G98" s="2"/>
    </row>
    <row r="99" spans="3:7" x14ac:dyDescent="0.2">
      <c r="C99" s="2"/>
      <c r="D99" s="2"/>
      <c r="E99" s="2"/>
      <c r="F99" s="2"/>
      <c r="G99" s="2"/>
    </row>
    <row r="100" spans="3:7" x14ac:dyDescent="0.2">
      <c r="C100" s="2"/>
      <c r="D100" s="2"/>
      <c r="E100" s="2"/>
      <c r="F100" s="2"/>
      <c r="G100" s="2"/>
    </row>
    <row r="101" spans="3:7" x14ac:dyDescent="0.2">
      <c r="C101" s="2"/>
      <c r="D101" s="2"/>
      <c r="E101" s="2"/>
      <c r="F101" s="2"/>
      <c r="G101" s="2"/>
    </row>
    <row r="102" spans="3:7" x14ac:dyDescent="0.2">
      <c r="C102" s="2"/>
      <c r="D102" s="2"/>
      <c r="E102" s="2"/>
      <c r="F102" s="2"/>
      <c r="G102" s="2"/>
    </row>
    <row r="103" spans="3:7" x14ac:dyDescent="0.2">
      <c r="C103" s="2"/>
      <c r="D103" s="2"/>
      <c r="E103" s="2"/>
      <c r="F103" s="2"/>
      <c r="G103" s="2"/>
    </row>
    <row r="104" spans="3:7" x14ac:dyDescent="0.2">
      <c r="C104" s="2"/>
      <c r="D104" s="2"/>
      <c r="E104" s="2"/>
      <c r="F104" s="2"/>
      <c r="G104" s="2"/>
    </row>
    <row r="105" spans="3:7" x14ac:dyDescent="0.2">
      <c r="C105" s="2"/>
      <c r="D105" s="2"/>
      <c r="E105" s="2"/>
      <c r="F105" s="2"/>
      <c r="G105" s="2"/>
    </row>
    <row r="106" spans="3:7" x14ac:dyDescent="0.2">
      <c r="C106" s="2"/>
      <c r="D106" s="2"/>
      <c r="E106" s="2"/>
      <c r="F106" s="2"/>
      <c r="G106" s="2"/>
    </row>
    <row r="107" spans="3:7" x14ac:dyDescent="0.2">
      <c r="C107" s="2"/>
      <c r="D107" s="2"/>
      <c r="E107" s="2"/>
      <c r="F107" s="2"/>
      <c r="G107" s="2"/>
    </row>
    <row r="108" spans="3:7" x14ac:dyDescent="0.2">
      <c r="C108" s="2"/>
      <c r="D108" s="2"/>
      <c r="E108" s="2"/>
      <c r="F108" s="2"/>
      <c r="G108" s="2"/>
    </row>
    <row r="109" spans="3:7" x14ac:dyDescent="0.2">
      <c r="C109" s="2"/>
      <c r="D109" s="2"/>
      <c r="E109" s="2"/>
      <c r="F109" s="2"/>
      <c r="G109" s="2"/>
    </row>
    <row r="110" spans="3:7" x14ac:dyDescent="0.2">
      <c r="C110" s="2"/>
      <c r="D110" s="2"/>
      <c r="E110" s="2"/>
      <c r="F110" s="2"/>
      <c r="G110" s="2"/>
    </row>
    <row r="111" spans="3:7" x14ac:dyDescent="0.2">
      <c r="C111" s="2"/>
      <c r="D111" s="2"/>
      <c r="E111" s="2"/>
      <c r="F111" s="2"/>
      <c r="G111" s="2"/>
    </row>
    <row r="112" spans="3:7" x14ac:dyDescent="0.2">
      <c r="C112" s="2"/>
      <c r="D112" s="2"/>
      <c r="E112" s="2"/>
      <c r="F112" s="2"/>
      <c r="G112" s="2"/>
    </row>
    <row r="113" spans="3:7" x14ac:dyDescent="0.2">
      <c r="C113" s="2"/>
      <c r="D113" s="2"/>
      <c r="E113" s="2"/>
      <c r="F113" s="2"/>
      <c r="G113" s="2"/>
    </row>
    <row r="114" spans="3:7" x14ac:dyDescent="0.2">
      <c r="C114" s="2"/>
      <c r="D114" s="2"/>
      <c r="E114" s="2"/>
      <c r="F114" s="2"/>
      <c r="G114" s="2"/>
    </row>
    <row r="115" spans="3:7" x14ac:dyDescent="0.2">
      <c r="C115" s="2"/>
      <c r="D115" s="2"/>
      <c r="E115" s="2"/>
      <c r="F115" s="2"/>
      <c r="G115" s="2"/>
    </row>
    <row r="116" spans="3:7" x14ac:dyDescent="0.2">
      <c r="C116" s="2"/>
      <c r="D116" s="2"/>
      <c r="E116" s="2"/>
      <c r="F116" s="2"/>
      <c r="G116" s="2"/>
    </row>
    <row r="117" spans="3:7" x14ac:dyDescent="0.2">
      <c r="C117" s="2"/>
      <c r="D117" s="2"/>
      <c r="E117" s="2"/>
      <c r="F117" s="2"/>
      <c r="G117" s="2"/>
    </row>
    <row r="118" spans="3:7" x14ac:dyDescent="0.2">
      <c r="C118" s="2"/>
      <c r="D118" s="2"/>
      <c r="E118" s="2"/>
      <c r="F118" s="2"/>
      <c r="G118" s="2"/>
    </row>
    <row r="119" spans="3:7" x14ac:dyDescent="0.2">
      <c r="C119" s="2"/>
      <c r="D119" s="2"/>
      <c r="E119" s="2"/>
      <c r="F119" s="2"/>
      <c r="G119" s="2"/>
    </row>
    <row r="120" spans="3:7" x14ac:dyDescent="0.2">
      <c r="C120" s="2"/>
      <c r="D120" s="2"/>
      <c r="E120" s="2"/>
      <c r="F120" s="2"/>
      <c r="G120" s="2"/>
    </row>
    <row r="121" spans="3:7" x14ac:dyDescent="0.2">
      <c r="C121" s="2"/>
      <c r="D121" s="2"/>
      <c r="E121" s="2"/>
      <c r="F121" s="2"/>
      <c r="G121" s="2"/>
    </row>
    <row r="122" spans="3:7" x14ac:dyDescent="0.2">
      <c r="C122" s="2"/>
      <c r="D122" s="2"/>
      <c r="E122" s="2"/>
      <c r="F122" s="2"/>
      <c r="G122" s="2"/>
    </row>
    <row r="123" spans="3:7" x14ac:dyDescent="0.2">
      <c r="C123" s="2"/>
      <c r="D123" s="2"/>
      <c r="E123" s="2"/>
      <c r="F123" s="2"/>
      <c r="G123" s="2"/>
    </row>
    <row r="124" spans="3:7" x14ac:dyDescent="0.2">
      <c r="C124" s="2"/>
      <c r="D124" s="2"/>
      <c r="E124" s="2"/>
      <c r="F124" s="2"/>
      <c r="G124" s="2"/>
    </row>
    <row r="125" spans="3:7" x14ac:dyDescent="0.2">
      <c r="C125" s="2"/>
      <c r="D125" s="2"/>
      <c r="E125" s="2"/>
      <c r="F125" s="2"/>
      <c r="G125" s="2"/>
    </row>
    <row r="126" spans="3:7" x14ac:dyDescent="0.2">
      <c r="C126" s="2"/>
      <c r="D126" s="2"/>
      <c r="E126" s="2"/>
      <c r="F126" s="2"/>
      <c r="G126" s="2"/>
    </row>
    <row r="127" spans="3:7" x14ac:dyDescent="0.2">
      <c r="C127" s="2"/>
      <c r="D127" s="2"/>
      <c r="E127" s="2"/>
      <c r="F127" s="2"/>
      <c r="G127" s="2"/>
    </row>
    <row r="128" spans="3:7" x14ac:dyDescent="0.2">
      <c r="C128" s="2"/>
      <c r="D128" s="2"/>
      <c r="E128" s="2"/>
      <c r="F128" s="2"/>
      <c r="G128" s="2"/>
    </row>
    <row r="1147" spans="3:4" x14ac:dyDescent="0.2">
      <c r="C1147" s="2">
        <f>C77</f>
        <v>0</v>
      </c>
      <c r="D1147" s="2"/>
    </row>
    <row r="1203" spans="3:3" x14ac:dyDescent="0.2">
      <c r="C1203" s="1">
        <f>C1180-F1192</f>
        <v>0</v>
      </c>
    </row>
  </sheetData>
  <mergeCells count="14">
    <mergeCell ref="A39:A40"/>
    <mergeCell ref="A2:D2"/>
    <mergeCell ref="A4:D4"/>
    <mergeCell ref="A5:D5"/>
    <mergeCell ref="A6:D6"/>
    <mergeCell ref="A36:D36"/>
    <mergeCell ref="A7:D7"/>
    <mergeCell ref="A31:D31"/>
    <mergeCell ref="A33:D33"/>
    <mergeCell ref="A34:D34"/>
    <mergeCell ref="A35:D35"/>
    <mergeCell ref="A11:A12"/>
    <mergeCell ref="A8:D8"/>
    <mergeCell ref="A37:D37"/>
  </mergeCells>
  <phoneticPr fontId="4" type="noConversion"/>
  <pageMargins left="1.0236220472440944" right="0.74803149606299213" top="1.1811023622047245" bottom="0.98425196850393704" header="0.59055118110236227" footer="0"/>
  <pageSetup scale="95" orientation="portrait" r:id="rId1"/>
  <headerFooter alignWithMargins="0">
    <oddHeader>&amp;L&amp;G</oddHeader>
  </headerFooter>
  <rowBreaks count="1" manualBreakCount="1">
    <brk id="28" max="7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162"/>
  <sheetViews>
    <sheetView topLeftCell="A22" zoomScale="148" zoomScaleNormal="148" workbookViewId="0">
      <selection activeCell="C17" sqref="C17"/>
    </sheetView>
  </sheetViews>
  <sheetFormatPr baseColWidth="10" defaultColWidth="11.42578125" defaultRowHeight="12.75" x14ac:dyDescent="0.2"/>
  <cols>
    <col min="1" max="2" width="12.28515625" style="1" bestFit="1" customWidth="1"/>
    <col min="3" max="3" width="13.28515625" style="1" bestFit="1" customWidth="1"/>
    <col min="4" max="4" width="17.28515625" style="1" customWidth="1"/>
    <col min="5" max="6" width="11.42578125" style="1"/>
    <col min="7" max="7" width="14.5703125" style="1" bestFit="1" customWidth="1"/>
    <col min="8" max="16384" width="11.42578125" style="1"/>
  </cols>
  <sheetData>
    <row r="1" spans="1:3" x14ac:dyDescent="0.2">
      <c r="A1" s="12"/>
    </row>
    <row r="2" spans="1:3" x14ac:dyDescent="0.2">
      <c r="A2" s="1" t="s">
        <v>361</v>
      </c>
      <c r="B2" s="1" t="s">
        <v>533</v>
      </c>
      <c r="C2" s="1" t="s">
        <v>534</v>
      </c>
    </row>
    <row r="3" spans="1:3" x14ac:dyDescent="0.2">
      <c r="B3" s="1">
        <v>505</v>
      </c>
      <c r="C3" s="1">
        <v>25</v>
      </c>
    </row>
    <row r="4" spans="1:3" x14ac:dyDescent="0.2">
      <c r="A4" s="1">
        <v>1237.55</v>
      </c>
      <c r="B4" s="1">
        <v>500.51</v>
      </c>
      <c r="C4" s="1">
        <v>65258.76</v>
      </c>
    </row>
    <row r="5" spans="1:3" ht="15.75" x14ac:dyDescent="0.25">
      <c r="A5" s="1">
        <v>9982.1</v>
      </c>
      <c r="B5" s="57">
        <v>100.8</v>
      </c>
      <c r="C5" s="1">
        <v>12154.37</v>
      </c>
    </row>
    <row r="6" spans="1:3" x14ac:dyDescent="0.2">
      <c r="A6" s="1">
        <v>13.2</v>
      </c>
      <c r="B6" s="1">
        <v>313.7</v>
      </c>
      <c r="C6" s="1">
        <v>1410.09</v>
      </c>
    </row>
    <row r="7" spans="1:3" x14ac:dyDescent="0.2">
      <c r="A7" s="1">
        <v>651.04</v>
      </c>
      <c r="B7" s="1">
        <v>694.6</v>
      </c>
      <c r="C7" s="1">
        <v>13867.93</v>
      </c>
    </row>
    <row r="8" spans="1:3" x14ac:dyDescent="0.2">
      <c r="A8" s="1">
        <v>14.78</v>
      </c>
      <c r="B8" s="1">
        <v>83.32</v>
      </c>
      <c r="C8" s="1">
        <v>82.4</v>
      </c>
    </row>
    <row r="9" spans="1:3" x14ac:dyDescent="0.2">
      <c r="A9" s="1">
        <v>4.28</v>
      </c>
      <c r="B9" s="1">
        <v>88.04</v>
      </c>
      <c r="C9" s="1">
        <v>14750.04</v>
      </c>
    </row>
    <row r="10" spans="1:3" x14ac:dyDescent="0.2">
      <c r="A10" s="1">
        <v>16.7</v>
      </c>
      <c r="B10" s="1">
        <v>32.68</v>
      </c>
      <c r="C10" s="1">
        <v>657245.55000000005</v>
      </c>
    </row>
    <row r="11" spans="1:3" x14ac:dyDescent="0.2">
      <c r="A11" s="1">
        <v>12.87</v>
      </c>
      <c r="B11" s="1">
        <v>129432.52</v>
      </c>
      <c r="C11" s="1">
        <v>461963.08</v>
      </c>
    </row>
    <row r="12" spans="1:3" x14ac:dyDescent="0.2">
      <c r="A12" s="1">
        <v>14.78</v>
      </c>
      <c r="B12" s="1">
        <v>8644.61</v>
      </c>
      <c r="C12" s="1">
        <v>5226.54</v>
      </c>
    </row>
    <row r="13" spans="1:3" x14ac:dyDescent="0.2">
      <c r="A13" s="1">
        <v>326.49</v>
      </c>
      <c r="B13" s="1">
        <v>246.03</v>
      </c>
    </row>
    <row r="14" spans="1:3" x14ac:dyDescent="0.2">
      <c r="A14" s="1">
        <v>477.34</v>
      </c>
      <c r="B14" s="1">
        <v>316.94</v>
      </c>
    </row>
    <row r="15" spans="1:3" x14ac:dyDescent="0.2">
      <c r="A15" s="1">
        <v>1633.94</v>
      </c>
    </row>
    <row r="16" spans="1:3" x14ac:dyDescent="0.2">
      <c r="A16" s="1">
        <v>20</v>
      </c>
    </row>
    <row r="17" spans="1:1" x14ac:dyDescent="0.2">
      <c r="A17" s="1">
        <v>1797.24</v>
      </c>
    </row>
    <row r="18" spans="1:1" x14ac:dyDescent="0.2">
      <c r="A18" s="1">
        <v>2062.5500000000002</v>
      </c>
    </row>
    <row r="19" spans="1:1" x14ac:dyDescent="0.2">
      <c r="A19" s="1">
        <v>203.62</v>
      </c>
    </row>
    <row r="20" spans="1:1" x14ac:dyDescent="0.2">
      <c r="A20" s="1">
        <v>32.49</v>
      </c>
    </row>
    <row r="21" spans="1:1" x14ac:dyDescent="0.2">
      <c r="A21" s="1">
        <v>16.04</v>
      </c>
    </row>
    <row r="22" spans="1:1" x14ac:dyDescent="0.2">
      <c r="A22" s="1">
        <v>669.04</v>
      </c>
    </row>
    <row r="23" spans="1:1" x14ac:dyDescent="0.2">
      <c r="A23" s="1">
        <v>1493.71</v>
      </c>
    </row>
    <row r="24" spans="1:1" x14ac:dyDescent="0.2">
      <c r="A24" s="1">
        <v>527.97</v>
      </c>
    </row>
    <row r="25" spans="1:1" x14ac:dyDescent="0.2">
      <c r="A25" s="1">
        <v>174.78</v>
      </c>
    </row>
    <row r="26" spans="1:1" x14ac:dyDescent="0.2">
      <c r="A26" s="1">
        <v>22.14</v>
      </c>
    </row>
    <row r="27" spans="1:1" x14ac:dyDescent="0.2">
      <c r="A27" s="1">
        <v>16.7</v>
      </c>
    </row>
    <row r="28" spans="1:1" x14ac:dyDescent="0.2">
      <c r="A28" s="1">
        <v>1178.83</v>
      </c>
    </row>
    <row r="29" spans="1:1" x14ac:dyDescent="0.2">
      <c r="A29" s="1">
        <v>182.67</v>
      </c>
    </row>
    <row r="30" spans="1:1" x14ac:dyDescent="0.2">
      <c r="A30" s="1">
        <v>151.63</v>
      </c>
    </row>
    <row r="31" spans="1:1" x14ac:dyDescent="0.2">
      <c r="A31" s="1">
        <v>1189.82</v>
      </c>
    </row>
    <row r="32" spans="1:1" x14ac:dyDescent="0.2">
      <c r="A32" s="1">
        <v>16.04</v>
      </c>
    </row>
    <row r="33" spans="1:4" x14ac:dyDescent="0.2">
      <c r="A33" s="1">
        <v>127.42</v>
      </c>
    </row>
    <row r="34" spans="1:4" x14ac:dyDescent="0.2">
      <c r="A34" s="1">
        <v>3388.14</v>
      </c>
    </row>
    <row r="35" spans="1:4" x14ac:dyDescent="0.2">
      <c r="A35" s="1">
        <v>416.3</v>
      </c>
    </row>
    <row r="36" spans="1:4" x14ac:dyDescent="0.2">
      <c r="A36" s="1">
        <v>27.63</v>
      </c>
    </row>
    <row r="37" spans="1:4" x14ac:dyDescent="0.2">
      <c r="A37" s="1">
        <v>6163.23</v>
      </c>
    </row>
    <row r="38" spans="1:4" x14ac:dyDescent="0.2">
      <c r="A38" s="1">
        <v>274.14</v>
      </c>
    </row>
    <row r="39" spans="1:4" x14ac:dyDescent="0.2">
      <c r="A39" s="1">
        <v>6.27</v>
      </c>
    </row>
    <row r="40" spans="1:4" x14ac:dyDescent="0.2">
      <c r="A40" s="1">
        <v>6156.56</v>
      </c>
    </row>
    <row r="41" spans="1:4" x14ac:dyDescent="0.2">
      <c r="A41" s="1">
        <v>3922.75</v>
      </c>
    </row>
    <row r="42" spans="1:4" x14ac:dyDescent="0.2">
      <c r="A42" s="1">
        <v>1535.36</v>
      </c>
    </row>
    <row r="43" spans="1:4" ht="18" x14ac:dyDescent="0.25">
      <c r="A43" s="1">
        <v>0.54</v>
      </c>
      <c r="D43" s="11"/>
    </row>
    <row r="44" spans="1:4" x14ac:dyDescent="0.2">
      <c r="A44" s="1">
        <v>5.04</v>
      </c>
    </row>
    <row r="45" spans="1:4" x14ac:dyDescent="0.2">
      <c r="A45" s="1">
        <v>5254.95</v>
      </c>
    </row>
    <row r="46" spans="1:4" x14ac:dyDescent="0.2">
      <c r="A46" s="1">
        <v>201.17</v>
      </c>
    </row>
    <row r="47" spans="1:4" x14ac:dyDescent="0.2">
      <c r="A47" s="1">
        <v>3741.87</v>
      </c>
    </row>
    <row r="48" spans="1:4" x14ac:dyDescent="0.2">
      <c r="A48" s="1">
        <v>4107.7299999999996</v>
      </c>
    </row>
    <row r="49" spans="1:3" x14ac:dyDescent="0.2">
      <c r="A49" s="1">
        <v>366.69</v>
      </c>
    </row>
    <row r="50" spans="1:3" x14ac:dyDescent="0.2">
      <c r="A50" s="1">
        <v>852.73</v>
      </c>
    </row>
    <row r="51" spans="1:3" x14ac:dyDescent="0.2">
      <c r="A51" s="1">
        <v>1005.62</v>
      </c>
    </row>
    <row r="52" spans="1:3" x14ac:dyDescent="0.2">
      <c r="A52" s="1">
        <v>696.85</v>
      </c>
    </row>
    <row r="53" spans="1:3" x14ac:dyDescent="0.2">
      <c r="A53" s="1">
        <v>726.01</v>
      </c>
    </row>
    <row r="54" spans="1:3" x14ac:dyDescent="0.2">
      <c r="A54" s="1">
        <v>3156.74</v>
      </c>
    </row>
    <row r="55" spans="1:3" x14ac:dyDescent="0.2">
      <c r="A55" s="1">
        <v>1670.35</v>
      </c>
    </row>
    <row r="56" spans="1:3" x14ac:dyDescent="0.2">
      <c r="A56" s="1">
        <v>377.84</v>
      </c>
    </row>
    <row r="57" spans="1:3" x14ac:dyDescent="0.2">
      <c r="A57" s="1">
        <v>1611.39</v>
      </c>
    </row>
    <row r="58" spans="1:3" x14ac:dyDescent="0.2">
      <c r="A58" s="1">
        <v>1946.45</v>
      </c>
    </row>
    <row r="59" spans="1:3" x14ac:dyDescent="0.2">
      <c r="A59" s="1">
        <v>1333.86</v>
      </c>
    </row>
    <row r="60" spans="1:3" x14ac:dyDescent="0.2">
      <c r="A60" s="1">
        <v>1663.09</v>
      </c>
    </row>
    <row r="61" spans="1:3" x14ac:dyDescent="0.2">
      <c r="A61" s="1">
        <v>4996.04</v>
      </c>
    </row>
    <row r="62" spans="1:3" x14ac:dyDescent="0.2">
      <c r="A62" s="1">
        <v>48828.28</v>
      </c>
    </row>
    <row r="63" spans="1:3" x14ac:dyDescent="0.2">
      <c r="A63" s="1">
        <v>14958.29</v>
      </c>
    </row>
    <row r="64" spans="1:3" x14ac:dyDescent="0.2">
      <c r="A64" s="2">
        <f>SUM(A3:A63)</f>
        <v>143659.67000000001</v>
      </c>
      <c r="B64" s="2">
        <f>SUM(B3:B63)</f>
        <v>140958.75000000003</v>
      </c>
      <c r="C64" s="2">
        <f>SUM(C3:C63)</f>
        <v>1231983.76</v>
      </c>
    </row>
    <row r="75" spans="1:8" x14ac:dyDescent="0.2">
      <c r="A75" s="1" t="s">
        <v>604</v>
      </c>
      <c r="C75" s="3">
        <v>600</v>
      </c>
    </row>
    <row r="76" spans="1:8" x14ac:dyDescent="0.2">
      <c r="A76" s="1" t="s">
        <v>602</v>
      </c>
      <c r="C76" s="3">
        <f>(C75/1.13)*0.01</f>
        <v>5.3097345132743365</v>
      </c>
    </row>
    <row r="77" spans="1:8" x14ac:dyDescent="0.2">
      <c r="A77" s="1" t="s">
        <v>603</v>
      </c>
      <c r="C77" s="4">
        <f>C75-C76</f>
        <v>594.69026548672571</v>
      </c>
    </row>
    <row r="78" spans="1:8" x14ac:dyDescent="0.2">
      <c r="C78" s="3"/>
    </row>
    <row r="79" spans="1:8" x14ac:dyDescent="0.2">
      <c r="C79" s="3"/>
    </row>
    <row r="80" spans="1:8" x14ac:dyDescent="0.2">
      <c r="C80" s="444" t="s">
        <v>606</v>
      </c>
      <c r="D80" s="444"/>
      <c r="G80" s="421" t="s">
        <v>607</v>
      </c>
      <c r="H80" s="421"/>
    </row>
    <row r="81" spans="3:11" x14ac:dyDescent="0.2">
      <c r="C81" s="1">
        <v>600</v>
      </c>
      <c r="D81" s="5" t="s">
        <v>605</v>
      </c>
      <c r="G81" s="1">
        <v>500</v>
      </c>
      <c r="H81" s="5" t="s">
        <v>605</v>
      </c>
    </row>
    <row r="82" spans="3:11" x14ac:dyDescent="0.2">
      <c r="C82" s="3">
        <f>C81/1.13</f>
        <v>530.97345132743362</v>
      </c>
      <c r="D82" s="4">
        <f>C82*0.13</f>
        <v>69.026548672566378</v>
      </c>
      <c r="G82" s="3">
        <f>G81/1.13</f>
        <v>442.47787610619474</v>
      </c>
      <c r="H82" s="4">
        <f>G82*0.13</f>
        <v>57.522123893805322</v>
      </c>
    </row>
    <row r="83" spans="3:11" x14ac:dyDescent="0.2">
      <c r="D83" s="5"/>
      <c r="H83" s="5"/>
    </row>
    <row r="84" spans="3:11" x14ac:dyDescent="0.2">
      <c r="D84" s="5"/>
      <c r="H84" s="5"/>
    </row>
    <row r="85" spans="3:11" x14ac:dyDescent="0.2">
      <c r="D85" s="5"/>
      <c r="H85" s="5"/>
    </row>
    <row r="87" spans="3:11" x14ac:dyDescent="0.2">
      <c r="C87" s="1" t="s">
        <v>608</v>
      </c>
      <c r="E87" s="1" t="s">
        <v>609</v>
      </c>
      <c r="G87" s="4">
        <v>69.03</v>
      </c>
      <c r="H87" s="1" t="s">
        <v>611</v>
      </c>
    </row>
    <row r="88" spans="3:11" x14ac:dyDescent="0.2">
      <c r="E88" s="1" t="s">
        <v>610</v>
      </c>
      <c r="G88" s="6">
        <v>57.52</v>
      </c>
      <c r="H88" s="1" t="s">
        <v>612</v>
      </c>
    </row>
    <row r="89" spans="3:11" x14ac:dyDescent="0.2">
      <c r="D89" s="421" t="s">
        <v>613</v>
      </c>
      <c r="E89" s="421"/>
      <c r="F89" s="7"/>
      <c r="G89" s="3">
        <f>G87-G88</f>
        <v>11.509999999999998</v>
      </c>
    </row>
    <row r="90" spans="3:11" x14ac:dyDescent="0.2">
      <c r="G90" s="6">
        <v>5.31</v>
      </c>
    </row>
    <row r="91" spans="3:11" x14ac:dyDescent="0.2">
      <c r="G91" s="3">
        <f>G89-G90</f>
        <v>6.1999999999999984</v>
      </c>
      <c r="K91" s="1">
        <v>99</v>
      </c>
    </row>
    <row r="92" spans="3:11" x14ac:dyDescent="0.2">
      <c r="K92" s="1">
        <v>100</v>
      </c>
    </row>
    <row r="101" spans="2:6" x14ac:dyDescent="0.2">
      <c r="B101" s="8">
        <v>44520</v>
      </c>
    </row>
    <row r="102" spans="2:6" x14ac:dyDescent="0.2">
      <c r="B102" s="8">
        <v>44549</v>
      </c>
      <c r="C102" s="9">
        <v>350</v>
      </c>
      <c r="D102" s="9">
        <f>C102*2</f>
        <v>700</v>
      </c>
    </row>
    <row r="103" spans="2:6" x14ac:dyDescent="0.2">
      <c r="C103" s="9"/>
      <c r="D103" s="9"/>
    </row>
    <row r="104" spans="2:6" x14ac:dyDescent="0.2">
      <c r="B104" s="8">
        <v>44550</v>
      </c>
      <c r="C104" s="9"/>
      <c r="D104" s="9"/>
    </row>
    <row r="105" spans="2:6" x14ac:dyDescent="0.2">
      <c r="B105" s="8">
        <v>44561</v>
      </c>
      <c r="C105" s="9">
        <v>350</v>
      </c>
      <c r="D105" s="9">
        <f>C105*2</f>
        <v>700</v>
      </c>
    </row>
    <row r="106" spans="2:6" x14ac:dyDescent="0.2">
      <c r="B106" s="1">
        <f>B105-B104</f>
        <v>11</v>
      </c>
      <c r="C106" s="9">
        <f>(C105/30)*B106</f>
        <v>128.33333333333331</v>
      </c>
      <c r="D106" s="9">
        <f>C106*2</f>
        <v>256.66666666666663</v>
      </c>
      <c r="E106" s="3">
        <f>D102+D106</f>
        <v>956.66666666666663</v>
      </c>
      <c r="F106" s="3"/>
    </row>
    <row r="107" spans="2:6" x14ac:dyDescent="0.2">
      <c r="C107" s="9"/>
      <c r="D107" s="9"/>
    </row>
    <row r="108" spans="2:6" x14ac:dyDescent="0.2">
      <c r="B108" s="1">
        <v>19</v>
      </c>
      <c r="C108" s="9">
        <f>(C105/30)*B108</f>
        <v>221.66666666666666</v>
      </c>
      <c r="D108" s="9">
        <f>C108*2</f>
        <v>443.33333333333331</v>
      </c>
    </row>
    <row r="111" spans="2:6" x14ac:dyDescent="0.2">
      <c r="B111" s="1">
        <v>23</v>
      </c>
    </row>
    <row r="112" spans="2:6" x14ac:dyDescent="0.2">
      <c r="B112" s="1">
        <v>31</v>
      </c>
      <c r="C112" s="1">
        <v>350</v>
      </c>
    </row>
    <row r="113" spans="2:12" x14ac:dyDescent="0.2">
      <c r="B113" s="1">
        <f>B112-B111</f>
        <v>8</v>
      </c>
      <c r="C113" s="9">
        <f>(C112/30)*B113</f>
        <v>93.333333333333329</v>
      </c>
      <c r="E113" s="1">
        <v>93.33</v>
      </c>
      <c r="G113" s="3"/>
    </row>
    <row r="114" spans="2:12" x14ac:dyDescent="0.2">
      <c r="C114" s="9"/>
    </row>
    <row r="115" spans="2:12" x14ac:dyDescent="0.2">
      <c r="B115" s="1">
        <v>22</v>
      </c>
      <c r="C115" s="9">
        <f>(C112/30)*B115</f>
        <v>256.66666666666663</v>
      </c>
      <c r="E115" s="1">
        <v>256.67</v>
      </c>
      <c r="G115" s="3">
        <f>E106+E115</f>
        <v>1213.3366666666666</v>
      </c>
    </row>
    <row r="117" spans="2:12" x14ac:dyDescent="0.2">
      <c r="G117" s="1">
        <v>1215</v>
      </c>
    </row>
    <row r="121" spans="2:12" x14ac:dyDescent="0.2">
      <c r="D121" s="1" t="s">
        <v>659</v>
      </c>
      <c r="E121" s="1" t="s">
        <v>660</v>
      </c>
      <c r="F121" s="1" t="s">
        <v>661</v>
      </c>
      <c r="G121" s="1" t="s">
        <v>662</v>
      </c>
    </row>
    <row r="122" spans="2:12" x14ac:dyDescent="0.2">
      <c r="B122" s="1" t="s">
        <v>648</v>
      </c>
      <c r="G122" s="1">
        <v>28880.01</v>
      </c>
      <c r="J122" s="1">
        <v>0</v>
      </c>
      <c r="K122" s="1">
        <v>0</v>
      </c>
      <c r="L122" s="1">
        <v>1203046.3999999999</v>
      </c>
    </row>
    <row r="123" spans="2:12" x14ac:dyDescent="0.2">
      <c r="B123" s="1" t="s">
        <v>649</v>
      </c>
      <c r="G123" s="1">
        <v>117906.34</v>
      </c>
      <c r="J123" s="1">
        <v>0</v>
      </c>
      <c r="K123" s="1">
        <v>0</v>
      </c>
      <c r="L123" s="1">
        <v>252848.51</v>
      </c>
    </row>
    <row r="124" spans="2:12" x14ac:dyDescent="0.2">
      <c r="B124" s="1" t="s">
        <v>650</v>
      </c>
      <c r="G124" s="1">
        <v>117906.34</v>
      </c>
      <c r="J124" s="1">
        <v>0</v>
      </c>
      <c r="K124" s="1">
        <v>0</v>
      </c>
      <c r="L124" s="1">
        <v>33398</v>
      </c>
    </row>
    <row r="125" spans="2:12" x14ac:dyDescent="0.2">
      <c r="B125" s="1" t="s">
        <v>651</v>
      </c>
      <c r="D125" s="1">
        <v>359133.58</v>
      </c>
      <c r="E125" s="1">
        <v>123320.9</v>
      </c>
      <c r="G125" s="1">
        <f>D125-E125</f>
        <v>235812.68000000002</v>
      </c>
      <c r="J125" s="1">
        <v>0</v>
      </c>
      <c r="K125" s="1">
        <v>0</v>
      </c>
      <c r="L125" s="1">
        <v>48706.31</v>
      </c>
    </row>
    <row r="126" spans="2:12" x14ac:dyDescent="0.2">
      <c r="B126" s="1" t="s">
        <v>652</v>
      </c>
      <c r="D126" s="1">
        <v>359133.58</v>
      </c>
      <c r="E126" s="1">
        <v>123320.9</v>
      </c>
      <c r="G126" s="1">
        <f t="shared" ref="G126:G132" si="0">D126-E126</f>
        <v>235812.68000000002</v>
      </c>
      <c r="J126" s="1">
        <v>0</v>
      </c>
      <c r="K126" s="1">
        <v>0</v>
      </c>
      <c r="L126" s="1">
        <v>69601.11</v>
      </c>
    </row>
    <row r="127" spans="2:12" x14ac:dyDescent="0.2">
      <c r="B127" s="1" t="s">
        <v>653</v>
      </c>
      <c r="D127" s="1">
        <v>359133.58</v>
      </c>
      <c r="E127" s="1">
        <v>123320.9</v>
      </c>
      <c r="G127" s="1">
        <f t="shared" si="0"/>
        <v>235812.68000000002</v>
      </c>
      <c r="J127" s="1">
        <v>0</v>
      </c>
      <c r="K127" s="1">
        <v>0</v>
      </c>
      <c r="L127" s="1">
        <v>47991</v>
      </c>
    </row>
    <row r="128" spans="2:12" x14ac:dyDescent="0.2">
      <c r="B128" s="1" t="s">
        <v>654</v>
      </c>
      <c r="D128" s="1">
        <v>359133.58</v>
      </c>
      <c r="E128" s="1">
        <v>123320.9</v>
      </c>
      <c r="G128" s="1">
        <f t="shared" si="0"/>
        <v>235812.68000000002</v>
      </c>
      <c r="J128" s="1">
        <v>0</v>
      </c>
      <c r="K128" s="1">
        <v>0</v>
      </c>
      <c r="L128" s="1">
        <v>57362.13</v>
      </c>
    </row>
    <row r="129" spans="2:12" x14ac:dyDescent="0.2">
      <c r="B129" s="1" t="s">
        <v>655</v>
      </c>
      <c r="D129" s="1">
        <v>359133.58</v>
      </c>
      <c r="E129" s="1">
        <v>123320.9</v>
      </c>
      <c r="G129" s="1">
        <f t="shared" si="0"/>
        <v>235812.68000000002</v>
      </c>
      <c r="J129" s="1">
        <v>0</v>
      </c>
      <c r="L129" s="1">
        <v>14890</v>
      </c>
    </row>
    <row r="130" spans="2:12" x14ac:dyDescent="0.2">
      <c r="B130" s="1" t="s">
        <v>656</v>
      </c>
      <c r="D130" s="1">
        <v>359133.58</v>
      </c>
      <c r="E130" s="1">
        <v>123320.9</v>
      </c>
      <c r="G130" s="1">
        <f t="shared" si="0"/>
        <v>235812.68000000002</v>
      </c>
      <c r="J130" s="1">
        <v>28000</v>
      </c>
      <c r="K130" s="1">
        <v>0</v>
      </c>
      <c r="L130" s="1">
        <v>58342.62</v>
      </c>
    </row>
    <row r="131" spans="2:12" x14ac:dyDescent="0.2">
      <c r="B131" s="1" t="s">
        <v>657</v>
      </c>
      <c r="D131" s="1">
        <f>71826.71+215480.15+71826.72</f>
        <v>359133.57999999996</v>
      </c>
      <c r="E131" s="1">
        <v>123320.9</v>
      </c>
      <c r="G131" s="1">
        <f t="shared" si="0"/>
        <v>235812.67999999996</v>
      </c>
      <c r="J131" s="1">
        <v>0</v>
      </c>
      <c r="K131" s="1">
        <v>0</v>
      </c>
      <c r="L131" s="1">
        <v>101907.86</v>
      </c>
    </row>
    <row r="132" spans="2:12" x14ac:dyDescent="0.2">
      <c r="B132" s="1" t="s">
        <v>658</v>
      </c>
      <c r="D132" s="1">
        <f>71826.79+215480.12+71826.71</f>
        <v>359133.62</v>
      </c>
      <c r="E132" s="1">
        <v>123320.9</v>
      </c>
      <c r="G132" s="1">
        <f t="shared" si="0"/>
        <v>235812.72</v>
      </c>
      <c r="J132" s="1">
        <v>0</v>
      </c>
      <c r="K132" s="1">
        <v>0</v>
      </c>
      <c r="L132" s="1">
        <v>26152.5</v>
      </c>
    </row>
    <row r="133" spans="2:12" x14ac:dyDescent="0.2">
      <c r="G133" s="9">
        <f>SUM(G122:G132)</f>
        <v>2151194.17</v>
      </c>
      <c r="J133" s="1">
        <v>0</v>
      </c>
      <c r="K133" s="1">
        <v>0</v>
      </c>
      <c r="L133" s="1">
        <v>40937.5</v>
      </c>
    </row>
    <row r="134" spans="2:12" x14ac:dyDescent="0.2">
      <c r="J134" s="1">
        <v>0</v>
      </c>
      <c r="K134" s="1">
        <v>0</v>
      </c>
      <c r="L134" s="1">
        <v>48596.77</v>
      </c>
    </row>
    <row r="135" spans="2:12" x14ac:dyDescent="0.2">
      <c r="J135" s="1">
        <v>5500</v>
      </c>
      <c r="K135" s="1">
        <v>0</v>
      </c>
      <c r="L135" s="1">
        <v>39083.130000000005</v>
      </c>
    </row>
    <row r="136" spans="2:12" x14ac:dyDescent="0.2">
      <c r="J136" s="1">
        <v>0</v>
      </c>
      <c r="K136" s="1">
        <v>0</v>
      </c>
      <c r="L136" s="1">
        <v>62748.299999999996</v>
      </c>
    </row>
    <row r="137" spans="2:12" x14ac:dyDescent="0.2">
      <c r="L137" s="1">
        <v>24156.31</v>
      </c>
    </row>
    <row r="138" spans="2:12" x14ac:dyDescent="0.2">
      <c r="C138" s="10" t="s">
        <v>700</v>
      </c>
      <c r="J138" s="1">
        <v>0</v>
      </c>
      <c r="K138" s="1">
        <v>0</v>
      </c>
      <c r="L138" s="1">
        <v>83476.755000000005</v>
      </c>
    </row>
    <row r="139" spans="2:12" x14ac:dyDescent="0.2">
      <c r="J139" s="1">
        <v>0</v>
      </c>
      <c r="K139" s="1">
        <v>0</v>
      </c>
      <c r="L139" s="1">
        <v>166369.91000000003</v>
      </c>
    </row>
    <row r="140" spans="2:12" x14ac:dyDescent="0.2">
      <c r="D140" s="1" t="s">
        <v>659</v>
      </c>
      <c r="E140" s="1" t="s">
        <v>660</v>
      </c>
      <c r="F140" s="1" t="s">
        <v>661</v>
      </c>
      <c r="G140" s="1" t="s">
        <v>662</v>
      </c>
      <c r="J140" s="1">
        <v>385000</v>
      </c>
      <c r="K140" s="1">
        <v>0</v>
      </c>
      <c r="L140" s="1">
        <v>2441053.16</v>
      </c>
    </row>
    <row r="141" spans="2:12" x14ac:dyDescent="0.2">
      <c r="B141" s="1" t="s">
        <v>648</v>
      </c>
      <c r="G141" s="1">
        <v>28880.01</v>
      </c>
      <c r="J141" s="1">
        <v>0</v>
      </c>
      <c r="K141" s="1">
        <v>0</v>
      </c>
      <c r="L141" s="1">
        <v>117108.79999999999</v>
      </c>
    </row>
    <row r="142" spans="2:12" x14ac:dyDescent="0.2">
      <c r="B142" s="1" t="s">
        <v>649</v>
      </c>
      <c r="G142" s="1">
        <v>117906.34</v>
      </c>
      <c r="J142" s="1">
        <v>6000</v>
      </c>
      <c r="K142" s="1">
        <v>0</v>
      </c>
      <c r="L142" s="1">
        <v>415676.35000000003</v>
      </c>
    </row>
    <row r="143" spans="2:12" x14ac:dyDescent="0.2">
      <c r="B143" s="1" t="s">
        <v>650</v>
      </c>
      <c r="G143" s="1">
        <v>117906.34</v>
      </c>
      <c r="J143" s="1">
        <v>0</v>
      </c>
      <c r="K143" s="1">
        <v>0</v>
      </c>
      <c r="L143" s="1">
        <v>156983.76</v>
      </c>
    </row>
    <row r="144" spans="2:12" x14ac:dyDescent="0.2">
      <c r="B144" s="1" t="s">
        <v>651</v>
      </c>
      <c r="D144" s="1">
        <v>359133.58</v>
      </c>
      <c r="E144" s="1">
        <v>123320.9</v>
      </c>
      <c r="G144" s="1">
        <f>D144-E144</f>
        <v>235812.68000000002</v>
      </c>
      <c r="J144" s="1">
        <v>0</v>
      </c>
      <c r="K144" s="1">
        <v>0</v>
      </c>
      <c r="L144" s="1">
        <v>43308</v>
      </c>
    </row>
    <row r="145" spans="2:12" x14ac:dyDescent="0.2">
      <c r="J145" s="1">
        <v>0</v>
      </c>
      <c r="K145" s="1">
        <v>0</v>
      </c>
      <c r="L145" s="1">
        <v>117591.59999999999</v>
      </c>
    </row>
    <row r="146" spans="2:12" x14ac:dyDescent="0.2">
      <c r="H146" s="1">
        <f>SUM(G141:G144)</f>
        <v>500505.37</v>
      </c>
      <c r="J146" s="1">
        <v>0</v>
      </c>
      <c r="K146" s="1">
        <v>0</v>
      </c>
      <c r="L146" s="1">
        <v>45270</v>
      </c>
    </row>
    <row r="147" spans="2:12" x14ac:dyDescent="0.2">
      <c r="B147" s="8">
        <v>44882</v>
      </c>
      <c r="D147" s="1">
        <f>71826.71+215480.15+71826.72</f>
        <v>359133.57999999996</v>
      </c>
      <c r="E147" s="1">
        <v>123320.9</v>
      </c>
      <c r="G147" s="1">
        <f>(D147-E147)*0.5</f>
        <v>117906.33999999998</v>
      </c>
      <c r="J147" s="1">
        <v>0</v>
      </c>
      <c r="K147" s="1">
        <v>0</v>
      </c>
      <c r="L147" s="1">
        <v>56496.31</v>
      </c>
    </row>
    <row r="148" spans="2:12" x14ac:dyDescent="0.2">
      <c r="B148" s="1" t="s">
        <v>658</v>
      </c>
      <c r="D148" s="1">
        <f>71826.79+215480.12+71826.71</f>
        <v>359133.62</v>
      </c>
      <c r="E148" s="1">
        <v>123320.9</v>
      </c>
      <c r="G148" s="1">
        <f>D148-E148</f>
        <v>235812.72</v>
      </c>
      <c r="J148" s="1">
        <v>0</v>
      </c>
      <c r="K148" s="1">
        <v>0</v>
      </c>
      <c r="L148" s="1">
        <v>32921.31</v>
      </c>
    </row>
    <row r="149" spans="2:12" x14ac:dyDescent="0.2">
      <c r="J149" s="1">
        <v>0</v>
      </c>
      <c r="K149" s="1">
        <v>0</v>
      </c>
      <c r="L149" s="1">
        <v>71293.81</v>
      </c>
    </row>
    <row r="150" spans="2:12" x14ac:dyDescent="0.2">
      <c r="G150" s="9">
        <f>SUM(G141:G148)</f>
        <v>854224.42999999993</v>
      </c>
      <c r="J150" s="1">
        <v>0</v>
      </c>
      <c r="K150" s="1">
        <v>0</v>
      </c>
      <c r="L150" s="1">
        <v>45070.119999999995</v>
      </c>
    </row>
    <row r="151" spans="2:12" x14ac:dyDescent="0.2">
      <c r="J151" s="1">
        <v>53500</v>
      </c>
      <c r="K151" s="1">
        <v>0</v>
      </c>
      <c r="L151" s="1">
        <v>45193.01</v>
      </c>
    </row>
    <row r="152" spans="2:12" x14ac:dyDescent="0.2">
      <c r="J152" s="1">
        <v>0</v>
      </c>
      <c r="K152" s="1">
        <v>0</v>
      </c>
      <c r="L152" s="1">
        <v>62767.8</v>
      </c>
    </row>
    <row r="153" spans="2:12" x14ac:dyDescent="0.2">
      <c r="J153" s="1">
        <v>0</v>
      </c>
      <c r="K153" s="1">
        <v>0</v>
      </c>
      <c r="L153" s="1">
        <v>26406.31</v>
      </c>
    </row>
    <row r="154" spans="2:12" x14ac:dyDescent="0.2">
      <c r="J154" s="1">
        <v>3589309.8499999996</v>
      </c>
      <c r="K154" s="1">
        <v>0</v>
      </c>
      <c r="L154" s="1">
        <v>0</v>
      </c>
    </row>
    <row r="155" spans="2:12" x14ac:dyDescent="0.2">
      <c r="J155" s="1">
        <v>1479850.7999999998</v>
      </c>
      <c r="K155" s="1">
        <v>0</v>
      </c>
      <c r="L155" s="1">
        <v>0</v>
      </c>
    </row>
    <row r="156" spans="2:12" x14ac:dyDescent="0.2">
      <c r="J156" s="1">
        <v>0</v>
      </c>
      <c r="K156" s="1">
        <v>0</v>
      </c>
      <c r="L156" s="1">
        <v>32372.309999999998</v>
      </c>
    </row>
    <row r="157" spans="2:12" x14ac:dyDescent="0.2">
      <c r="J157" s="1">
        <v>0</v>
      </c>
      <c r="K157" s="1">
        <v>0</v>
      </c>
      <c r="L157" s="1">
        <v>30080</v>
      </c>
    </row>
    <row r="158" spans="2:12" x14ac:dyDescent="0.2">
      <c r="J158" s="1">
        <v>0</v>
      </c>
      <c r="K158" s="1">
        <v>0</v>
      </c>
      <c r="L158" s="1">
        <v>37540.82</v>
      </c>
    </row>
    <row r="159" spans="2:12" x14ac:dyDescent="0.2">
      <c r="J159" s="1">
        <v>0</v>
      </c>
      <c r="K159" s="1">
        <v>0</v>
      </c>
      <c r="L159" s="1">
        <v>77156.429999999993</v>
      </c>
    </row>
    <row r="160" spans="2:12" x14ac:dyDescent="0.2">
      <c r="J160" s="1">
        <v>202012.34</v>
      </c>
      <c r="K160" s="1">
        <v>0</v>
      </c>
      <c r="L160" s="1">
        <v>0</v>
      </c>
    </row>
    <row r="161" spans="10:12" x14ac:dyDescent="0.2">
      <c r="J161" s="1">
        <v>0</v>
      </c>
      <c r="K161" s="1">
        <v>0</v>
      </c>
      <c r="L161" s="1">
        <v>212717.5</v>
      </c>
    </row>
    <row r="162" spans="10:12" x14ac:dyDescent="0.2">
      <c r="J162" s="1">
        <f>SUM(J122:J161)</f>
        <v>5749172.9899999993</v>
      </c>
      <c r="K162" s="1">
        <f>SUM(K122:K161)</f>
        <v>0</v>
      </c>
      <c r="L162" s="1">
        <f>SUM(L122:L161)</f>
        <v>6446622.5149999969</v>
      </c>
    </row>
  </sheetData>
  <mergeCells count="3">
    <mergeCell ref="C80:D80"/>
    <mergeCell ref="G80:H80"/>
    <mergeCell ref="D89:E89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10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Caratula</vt:lpstr>
      <vt:lpstr>INDICE</vt:lpstr>
      <vt:lpstr>Consolidado</vt:lpstr>
      <vt:lpstr>Hoja2</vt:lpstr>
      <vt:lpstr>INGRESOS</vt:lpstr>
      <vt:lpstr>EGRESOS</vt:lpstr>
      <vt:lpstr>CONSOL RUBRO</vt:lpstr>
      <vt:lpstr>CONSOL CUENTA</vt:lpstr>
      <vt:lpstr>Hoja1</vt:lpstr>
      <vt:lpstr>Hoja4</vt:lpstr>
      <vt:lpstr>Gráfico5</vt:lpstr>
      <vt:lpstr>Caratula!Área_de_impresión</vt:lpstr>
      <vt:lpstr>'CONSOL CUENTA'!Área_de_impresión</vt:lpstr>
      <vt:lpstr>'CONSOL RUBRO'!Área_de_impresión</vt:lpstr>
      <vt:lpstr>Consolidado!Área_de_impresión</vt:lpstr>
      <vt:lpstr>EGRESOS!Área_de_impresión</vt:lpstr>
      <vt:lpstr>INDICE!Área_de_impresión</vt:lpstr>
      <vt:lpstr>INGRESOS!Área_de_impresión</vt:lpstr>
    </vt:vector>
  </TitlesOfParts>
  <Company>Alcaldia de San Marcos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de San Marcos</dc:creator>
  <cp:lastModifiedBy>Gerencia Financiera</cp:lastModifiedBy>
  <cp:lastPrinted>2023-11-22T21:27:14Z</cp:lastPrinted>
  <dcterms:created xsi:type="dcterms:W3CDTF">2004-11-30T14:20:45Z</dcterms:created>
  <dcterms:modified xsi:type="dcterms:W3CDTF">2023-11-22T21:41:13Z</dcterms:modified>
</cp:coreProperties>
</file>