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RESUPUESTO MUNICIPAL 2023\"/>
    </mc:Choice>
  </mc:AlternateContent>
  <xr:revisionPtr revIDLastSave="0" documentId="13_ncr:1_{9D9C263B-3480-459C-A35D-8200640EE634}" xr6:coauthVersionLast="47" xr6:coauthVersionMax="47" xr10:uidLastSave="{00000000-0000-0000-0000-000000000000}"/>
  <bookViews>
    <workbookView xWindow="-120" yWindow="-120" windowWidth="29040" windowHeight="15840" tabRatio="928" firstSheet="2" activeTab="10" xr2:uid="{00000000-000D-0000-FFFF-FFFF00000000}"/>
  </bookViews>
  <sheets>
    <sheet name="ESTRUCTURA PRESP." sheetId="26" r:id="rId1"/>
    <sheet name="ING. REALES" sheetId="18" r:id="rId2"/>
    <sheet name="PLLA MUNICIPAL HONORARIOS" sheetId="20" r:id="rId3"/>
    <sheet name="PLLA MUNICIPAL LEY SAL" sheetId="22" r:id="rId4"/>
    <sheet name="PLLA DIETAS" sheetId="21" r:id="rId5"/>
    <sheet name="F.P y DL" sheetId="4" r:id="rId6"/>
    <sheet name="AG1" sheetId="5" r:id="rId7"/>
    <sheet name="AG3" sheetId="6" r:id="rId8"/>
    <sheet name="AG4" sheetId="7" r:id="rId9"/>
    <sheet name="AG5" sheetId="8" r:id="rId10"/>
    <sheet name="CONSOLIDADO" sheetId="9" r:id="rId11"/>
    <sheet name="PRESUP.DE EGRESOS" sheetId="10" r:id="rId12"/>
    <sheet name="RESUMEN1" sheetId="27" r:id="rId13"/>
    <sheet name="RESUMEN2" sheetId="12" r:id="rId14"/>
    <sheet name="RESUMEN3" sheetId="13" r:id="rId15"/>
    <sheet name="RESUMEN4" sheetId="14" r:id="rId16"/>
    <sheet name="SALDOS 31 12 2022" sheetId="30" r:id="rId17"/>
  </sheets>
  <definedNames>
    <definedName name="_xlnm._FilterDatabase" localSheetId="7" hidden="1">'AG3'!$B$13:$V$69</definedName>
    <definedName name="_xlnm._FilterDatabase" localSheetId="8" hidden="1">'AG4'!$B$10:$J$14</definedName>
    <definedName name="_xlnm._FilterDatabase" localSheetId="10" hidden="1">CONSOLIDADO!$A$9:$BT$172</definedName>
    <definedName name="_xlnm._FilterDatabase" localSheetId="5" hidden="1">'F.P y DL'!$A$445:$G$544</definedName>
    <definedName name="_xlnm._FilterDatabase" localSheetId="16" hidden="1">'SALDOS 31 12 2022'!$B$11:$J$53</definedName>
    <definedName name="_xlnm.Print_Area" localSheetId="6">'AG1'!$A$1:$K$152</definedName>
    <definedName name="_xlnm.Print_Area" localSheetId="9">'AG5'!$A$1:$H$47</definedName>
    <definedName name="_xlnm.Print_Area" localSheetId="10">CONSOLIDADO!$A$1:$BS$172</definedName>
    <definedName name="_xlnm.Print_Area" localSheetId="0">'ESTRUCTURA PRESP.'!$B$1:$E$37</definedName>
    <definedName name="_xlnm.Print_Area" localSheetId="5">'F.P y DL'!$A$1:$G$544</definedName>
    <definedName name="_xlnm.Print_Area" localSheetId="1">'ING. REALES'!$A$1:$R$80</definedName>
    <definedName name="_xlnm.Print_Area" localSheetId="4">'PLLA DIETAS'!$A$1:$Q$20</definedName>
    <definedName name="_xlnm.Print_Area" localSheetId="11">'PRESUP.DE EGRESOS'!$A$1:$E$168</definedName>
    <definedName name="_xlnm.Print_Area" localSheetId="12">RESUMEN1!$B$1:$D$50</definedName>
    <definedName name="_xlnm.Print_Area" localSheetId="13">RESUMEN2!$B$1:$H$44</definedName>
    <definedName name="_xlnm.Print_Titles" localSheetId="6">'AG1'!$4:$12</definedName>
    <definedName name="_xlnm.Print_Titles" localSheetId="7">'AG3'!$1:$12</definedName>
    <definedName name="_xlnm.Print_Titles" localSheetId="8">'AG4'!$1:$11</definedName>
    <definedName name="_xlnm.Print_Titles" localSheetId="10">CONSOLIDADO!$A:$B,CONSOLIDADO!$1:$8</definedName>
    <definedName name="_xlnm.Print_Titles" localSheetId="3">'PLLA MUNICIPAL LEY SAL'!$5:$8</definedName>
    <definedName name="_xlnm.Print_Titles" localSheetId="11">'PRESUP.DE EGRESOS'!$1:$7</definedName>
    <definedName name="_xlnm.Print_Titles" localSheetId="16">'SALDOS 31 12 2022'!$11:$11</definedName>
  </definedNames>
  <calcPr calcId="181029"/>
</workbook>
</file>

<file path=xl/calcChain.xml><?xml version="1.0" encoding="utf-8"?>
<calcChain xmlns="http://schemas.openxmlformats.org/spreadsheetml/2006/main">
  <c r="C468" i="4" l="1"/>
  <c r="O37" i="18"/>
  <c r="C540" i="4"/>
  <c r="F106" i="18"/>
  <c r="M67" i="6"/>
  <c r="M55" i="6"/>
  <c r="M20" i="6"/>
  <c r="M19" i="6"/>
  <c r="M15" i="6"/>
  <c r="C450" i="4"/>
  <c r="D139" i="5"/>
  <c r="G139" i="5"/>
  <c r="E139" i="5"/>
  <c r="C139" i="5"/>
  <c r="C138" i="5" s="1"/>
  <c r="C355" i="4" l="1"/>
  <c r="AQ166" i="9" l="1"/>
  <c r="AQ164" i="9" s="1"/>
  <c r="AQ163" i="9" s="1"/>
  <c r="H19" i="6"/>
  <c r="O43" i="18"/>
  <c r="O16" i="18"/>
  <c r="O38" i="18"/>
  <c r="O44" i="18"/>
  <c r="AV35" i="22" l="1"/>
  <c r="AU35" i="22"/>
  <c r="AS35" i="22"/>
  <c r="AX35" i="22" s="1"/>
  <c r="AN35" i="22"/>
  <c r="T35" i="22"/>
  <c r="I35" i="22"/>
  <c r="AT35" i="22" l="1"/>
  <c r="M35" i="22"/>
  <c r="N35" i="22"/>
  <c r="AO35" i="22" s="1"/>
  <c r="AJ35" i="22"/>
  <c r="AP35" i="22"/>
  <c r="P35" i="22"/>
  <c r="J35" i="22"/>
  <c r="Q35" i="22"/>
  <c r="V35" i="22" s="1"/>
  <c r="AY35" i="22" l="1"/>
  <c r="BC35" i="22" s="1"/>
  <c r="S35" i="22"/>
  <c r="U35" i="22"/>
  <c r="AW35" i="22"/>
  <c r="BA35" i="22" s="1"/>
  <c r="AM35" i="22"/>
  <c r="AQ35" i="22" s="1"/>
  <c r="R35" i="22"/>
  <c r="AC35" i="22" s="1"/>
  <c r="W35" i="22"/>
  <c r="X35" i="22" s="1"/>
  <c r="BE35" i="22" l="1"/>
  <c r="C490" i="4" l="1"/>
  <c r="C528" i="4"/>
  <c r="J43" i="30" l="1"/>
  <c r="H53" i="30"/>
  <c r="F53" i="30"/>
  <c r="D53" i="30"/>
  <c r="J53" i="30" s="1"/>
  <c r="J52" i="30"/>
  <c r="J50" i="30"/>
  <c r="A50" i="30"/>
  <c r="J49" i="30"/>
  <c r="J45" i="30"/>
  <c r="J44" i="30"/>
  <c r="J42" i="30"/>
  <c r="J41" i="30"/>
  <c r="J40" i="30"/>
  <c r="J38" i="30"/>
  <c r="J37" i="30"/>
  <c r="J36" i="30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7" i="30"/>
  <c r="J16" i="30"/>
  <c r="J15" i="30"/>
  <c r="J14" i="30"/>
  <c r="A14" i="30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J13" i="30"/>
  <c r="T67" i="6" l="1"/>
  <c r="AV11" i="9"/>
  <c r="AV124" i="9"/>
  <c r="AV122" i="9"/>
  <c r="AV85" i="9"/>
  <c r="AV84" i="9"/>
  <c r="AV83" i="9"/>
  <c r="AV82" i="9"/>
  <c r="AV81" i="9"/>
  <c r="AV80" i="9"/>
  <c r="AV79" i="9"/>
  <c r="AV78" i="9"/>
  <c r="AV77" i="9"/>
  <c r="AV76" i="9"/>
  <c r="AV74" i="9"/>
  <c r="AV69" i="9"/>
  <c r="AV68" i="9"/>
  <c r="AV67" i="9"/>
  <c r="AV47" i="9"/>
  <c r="AV49" i="9"/>
  <c r="AV52" i="9"/>
  <c r="AV54" i="9"/>
  <c r="AV56" i="9"/>
  <c r="AV57" i="9"/>
  <c r="AV58" i="9"/>
  <c r="AV59" i="9"/>
  <c r="AV60" i="9"/>
  <c r="AV62" i="9"/>
  <c r="AV63" i="9"/>
  <c r="L28" i="6"/>
  <c r="L67" i="6"/>
  <c r="AU166" i="9" s="1"/>
  <c r="I67" i="6"/>
  <c r="AR166" i="9" s="1"/>
  <c r="AR164" i="9" s="1"/>
  <c r="AR163" i="9" s="1"/>
  <c r="AU123" i="9"/>
  <c r="AV123" i="9" s="1"/>
  <c r="AU86" i="9"/>
  <c r="AV86" i="9" s="1"/>
  <c r="AU75" i="9"/>
  <c r="AV75" i="9" s="1"/>
  <c r="AU64" i="9"/>
  <c r="AV64" i="9" s="1"/>
  <c r="AU46" i="9"/>
  <c r="AV46" i="9" s="1"/>
  <c r="AU55" i="9"/>
  <c r="AV55" i="9" s="1"/>
  <c r="AU51" i="9"/>
  <c r="AU48" i="9"/>
  <c r="AV48" i="9" s="1"/>
  <c r="AU19" i="9"/>
  <c r="AV19" i="9" s="1"/>
  <c r="AU61" i="9"/>
  <c r="AV61" i="9" s="1"/>
  <c r="AU50" i="9"/>
  <c r="AV50" i="9" s="1"/>
  <c r="AR129" i="9"/>
  <c r="AR127" i="9" s="1"/>
  <c r="AR72" i="9"/>
  <c r="AR71" i="9" s="1"/>
  <c r="AR51" i="9"/>
  <c r="AR45" i="9" s="1"/>
  <c r="AS70" i="9"/>
  <c r="AS65" i="9" s="1"/>
  <c r="AT73" i="9"/>
  <c r="AT53" i="9"/>
  <c r="AS164" i="9"/>
  <c r="AS163" i="9" s="1"/>
  <c r="AT164" i="9"/>
  <c r="AT163" i="9" s="1"/>
  <c r="AS147" i="9"/>
  <c r="AS126" i="9" s="1"/>
  <c r="AR147" i="9"/>
  <c r="AT147" i="9"/>
  <c r="AT126" i="9" s="1"/>
  <c r="AT117" i="9"/>
  <c r="AS117" i="9"/>
  <c r="AR117" i="9"/>
  <c r="AT112" i="9"/>
  <c r="AS112" i="9"/>
  <c r="AR112" i="9"/>
  <c r="AT108" i="9"/>
  <c r="AS108" i="9"/>
  <c r="AR108" i="9"/>
  <c r="AT106" i="9"/>
  <c r="AS106" i="9"/>
  <c r="AR106" i="9"/>
  <c r="AT100" i="9"/>
  <c r="AS100" i="9"/>
  <c r="AR100" i="9"/>
  <c r="AT87" i="9"/>
  <c r="AS87" i="9"/>
  <c r="AR87" i="9"/>
  <c r="AS71" i="9"/>
  <c r="AT65" i="9"/>
  <c r="AR65" i="9"/>
  <c r="AS45" i="9"/>
  <c r="AT40" i="9"/>
  <c r="AS40" i="9"/>
  <c r="AR40" i="9"/>
  <c r="AS38" i="9"/>
  <c r="AT38" i="9"/>
  <c r="AR38" i="9"/>
  <c r="AT35" i="9"/>
  <c r="AS35" i="9"/>
  <c r="AR35" i="9"/>
  <c r="AS32" i="9"/>
  <c r="AT32" i="9"/>
  <c r="AR32" i="9"/>
  <c r="AT29" i="9"/>
  <c r="AS29" i="9"/>
  <c r="AR29" i="9"/>
  <c r="AT26" i="9"/>
  <c r="AS26" i="9"/>
  <c r="AR26" i="9"/>
  <c r="AS23" i="9"/>
  <c r="AT23" i="9"/>
  <c r="AR23" i="9"/>
  <c r="AR18" i="9"/>
  <c r="AT18" i="9"/>
  <c r="AS18" i="9"/>
  <c r="AT11" i="9"/>
  <c r="AS11" i="9"/>
  <c r="AR11" i="9"/>
  <c r="C340" i="4"/>
  <c r="H71" i="18"/>
  <c r="C122" i="9"/>
  <c r="C17" i="9"/>
  <c r="O52" i="18"/>
  <c r="U52" i="18" s="1"/>
  <c r="U44" i="18"/>
  <c r="U43" i="18"/>
  <c r="U38" i="18"/>
  <c r="O33" i="18"/>
  <c r="U33" i="18" s="1"/>
  <c r="O29" i="18"/>
  <c r="U29" i="18" s="1"/>
  <c r="U16" i="18"/>
  <c r="U51" i="18"/>
  <c r="U49" i="18"/>
  <c r="U47" i="18"/>
  <c r="U46" i="18"/>
  <c r="U45" i="18"/>
  <c r="U41" i="18"/>
  <c r="U34" i="18"/>
  <c r="U31" i="18"/>
  <c r="U30" i="18"/>
  <c r="U28" i="18"/>
  <c r="U27" i="18"/>
  <c r="U25" i="18"/>
  <c r="U24" i="18"/>
  <c r="U23" i="18"/>
  <c r="U22" i="18"/>
  <c r="U21" i="18"/>
  <c r="U20" i="18"/>
  <c r="U17" i="18"/>
  <c r="U15" i="18"/>
  <c r="U14" i="18"/>
  <c r="U13" i="18"/>
  <c r="U12" i="18"/>
  <c r="U11" i="18"/>
  <c r="U72" i="18"/>
  <c r="O10" i="18"/>
  <c r="AV70" i="9" l="1"/>
  <c r="AV51" i="9"/>
  <c r="AV72" i="9"/>
  <c r="AR126" i="9"/>
  <c r="AT71" i="9"/>
  <c r="AV73" i="9"/>
  <c r="AT45" i="9"/>
  <c r="AV53" i="9"/>
  <c r="AR99" i="9"/>
  <c r="AS99" i="9"/>
  <c r="AV18" i="9"/>
  <c r="AR44" i="9"/>
  <c r="AT99" i="9"/>
  <c r="AS44" i="9"/>
  <c r="AT10" i="9"/>
  <c r="AR10" i="9"/>
  <c r="AS10" i="9"/>
  <c r="AT44" i="9" l="1"/>
  <c r="AT172" i="9" s="1"/>
  <c r="D27" i="14" s="1"/>
  <c r="I27" i="14" s="1"/>
  <c r="AR172" i="9"/>
  <c r="D25" i="14" s="1"/>
  <c r="I25" i="14" s="1"/>
  <c r="AS172" i="9"/>
  <c r="D26" i="14" s="1"/>
  <c r="I26" i="14" s="1"/>
  <c r="T10" i="18" l="1"/>
  <c r="U10" i="18" s="1"/>
  <c r="T37" i="18"/>
  <c r="U37" i="18" s="1"/>
  <c r="O73" i="18"/>
  <c r="F458" i="4"/>
  <c r="F490" i="4"/>
  <c r="F470" i="4"/>
  <c r="L43" i="6" l="1"/>
  <c r="M48" i="6"/>
  <c r="V48" i="6" s="1"/>
  <c r="M47" i="6"/>
  <c r="V47" i="6" s="1"/>
  <c r="M46" i="6"/>
  <c r="V46" i="6" s="1"/>
  <c r="M45" i="6"/>
  <c r="V45" i="6" s="1"/>
  <c r="M44" i="6"/>
  <c r="V44" i="6" s="1"/>
  <c r="L37" i="6"/>
  <c r="M41" i="6"/>
  <c r="V41" i="6" s="1"/>
  <c r="M40" i="6"/>
  <c r="V40" i="6" s="1"/>
  <c r="M39" i="6"/>
  <c r="V39" i="6" s="1"/>
  <c r="M38" i="6"/>
  <c r="V38" i="6" s="1"/>
  <c r="I23" i="6"/>
  <c r="L23" i="6"/>
  <c r="M26" i="6"/>
  <c r="V26" i="6" s="1"/>
  <c r="M25" i="6"/>
  <c r="V25" i="6" s="1"/>
  <c r="M24" i="6"/>
  <c r="V24" i="6" s="1"/>
  <c r="L50" i="6"/>
  <c r="V55" i="6"/>
  <c r="M54" i="6"/>
  <c r="V54" i="6" s="1"/>
  <c r="M53" i="6"/>
  <c r="V53" i="6" s="1"/>
  <c r="M52" i="6"/>
  <c r="V52" i="6" s="1"/>
  <c r="M51" i="6"/>
  <c r="V51" i="6" s="1"/>
  <c r="M34" i="6"/>
  <c r="V34" i="6" s="1"/>
  <c r="M33" i="6"/>
  <c r="V33" i="6" s="1"/>
  <c r="M32" i="6"/>
  <c r="V32" i="6" s="1"/>
  <c r="M31" i="6"/>
  <c r="V31" i="6" s="1"/>
  <c r="M35" i="6"/>
  <c r="V35" i="6" s="1"/>
  <c r="M30" i="6"/>
  <c r="V30" i="6" s="1"/>
  <c r="M29" i="6"/>
  <c r="M28" i="6" l="1"/>
  <c r="M43" i="6"/>
  <c r="M37" i="6"/>
  <c r="M23" i="6"/>
  <c r="M50" i="6"/>
  <c r="M16" i="6" l="1"/>
  <c r="M14" i="6" s="1"/>
  <c r="L66" i="6"/>
  <c r="K66" i="6"/>
  <c r="J66" i="6"/>
  <c r="I66" i="6"/>
  <c r="H66" i="6"/>
  <c r="L63" i="6"/>
  <c r="K63" i="6"/>
  <c r="J63" i="6"/>
  <c r="I63" i="6"/>
  <c r="H63" i="6"/>
  <c r="K50" i="6"/>
  <c r="J50" i="6"/>
  <c r="I50" i="6"/>
  <c r="H50" i="6"/>
  <c r="K43" i="6"/>
  <c r="J43" i="6"/>
  <c r="I43" i="6"/>
  <c r="H43" i="6"/>
  <c r="K37" i="6"/>
  <c r="J37" i="6"/>
  <c r="I37" i="6"/>
  <c r="H37" i="6"/>
  <c r="K28" i="6"/>
  <c r="J28" i="6"/>
  <c r="I28" i="6"/>
  <c r="H28" i="6"/>
  <c r="K23" i="6"/>
  <c r="J23" i="6"/>
  <c r="H23" i="6"/>
  <c r="J18" i="6"/>
  <c r="L18" i="6"/>
  <c r="K18" i="6"/>
  <c r="I18" i="6"/>
  <c r="L14" i="6"/>
  <c r="K14" i="6"/>
  <c r="J14" i="6"/>
  <c r="I14" i="6"/>
  <c r="H14" i="6"/>
  <c r="I71" i="18"/>
  <c r="G67" i="6"/>
  <c r="M84" i="6"/>
  <c r="L69" i="6" l="1"/>
  <c r="F32" i="12" s="1"/>
  <c r="H18" i="6"/>
  <c r="H69" i="6" s="1"/>
  <c r="F26" i="12" s="1"/>
  <c r="AQ66" i="9"/>
  <c r="AV66" i="9" s="1"/>
  <c r="K69" i="6"/>
  <c r="F29" i="12" s="1"/>
  <c r="I69" i="6"/>
  <c r="F27" i="12" s="1"/>
  <c r="J69" i="6"/>
  <c r="F28" i="12" s="1"/>
  <c r="G25" i="12" l="1"/>
  <c r="G78" i="6"/>
  <c r="G66" i="6"/>
  <c r="G63" i="6"/>
  <c r="G50" i="6"/>
  <c r="G43" i="6"/>
  <c r="G37" i="6"/>
  <c r="G28" i="6"/>
  <c r="G23" i="6"/>
  <c r="G18" i="6"/>
  <c r="G14" i="6"/>
  <c r="L71" i="18"/>
  <c r="G501" i="4"/>
  <c r="G99" i="5" s="1"/>
  <c r="G500" i="4"/>
  <c r="G98" i="5" s="1"/>
  <c r="F92" i="9"/>
  <c r="E92" i="9"/>
  <c r="D96" i="9"/>
  <c r="D92" i="9" s="1"/>
  <c r="C95" i="9"/>
  <c r="G95" i="9" s="1"/>
  <c r="BQ96" i="9"/>
  <c r="BE96" i="9"/>
  <c r="BA96" i="9"/>
  <c r="AN96" i="9"/>
  <c r="AM96" i="9"/>
  <c r="AL96" i="9"/>
  <c r="AI96" i="9"/>
  <c r="AB96" i="9"/>
  <c r="AF96" i="9" s="1"/>
  <c r="Z96" i="9"/>
  <c r="S96" i="9"/>
  <c r="W96" i="9" s="1"/>
  <c r="R96" i="9"/>
  <c r="H96" i="9"/>
  <c r="BQ95" i="9"/>
  <c r="BE95" i="9"/>
  <c r="BA95" i="9"/>
  <c r="AN95" i="9"/>
  <c r="AM95" i="9"/>
  <c r="AL95" i="9"/>
  <c r="AI95" i="9"/>
  <c r="AB95" i="9"/>
  <c r="AF95" i="9" s="1"/>
  <c r="AJ95" i="9" s="1"/>
  <c r="Z95" i="9"/>
  <c r="S95" i="9"/>
  <c r="R95" i="9"/>
  <c r="H95" i="9"/>
  <c r="C491" i="4"/>
  <c r="C91" i="9"/>
  <c r="C89" i="9"/>
  <c r="C76" i="9"/>
  <c r="C535" i="4"/>
  <c r="D535" i="4"/>
  <c r="E535" i="4"/>
  <c r="F535" i="4"/>
  <c r="G536" i="4"/>
  <c r="G535" i="4" s="1"/>
  <c r="G512" i="4"/>
  <c r="D472" i="4"/>
  <c r="C472" i="4"/>
  <c r="C458" i="4"/>
  <c r="AB141" i="9"/>
  <c r="AF141" i="9" s="1"/>
  <c r="BQ141" i="9"/>
  <c r="BN141" i="9"/>
  <c r="BK141" i="9"/>
  <c r="BE141" i="9"/>
  <c r="BA141" i="9"/>
  <c r="AN141" i="9"/>
  <c r="AM141" i="9"/>
  <c r="AL141" i="9"/>
  <c r="AI141" i="9"/>
  <c r="Z141" i="9"/>
  <c r="W141" i="9"/>
  <c r="R141" i="9"/>
  <c r="L141" i="9"/>
  <c r="G141" i="9"/>
  <c r="BQ140" i="9"/>
  <c r="AI140" i="9"/>
  <c r="Z140" i="9"/>
  <c r="W140" i="9"/>
  <c r="AA140" i="9" s="1"/>
  <c r="L140" i="9"/>
  <c r="G140" i="9"/>
  <c r="F419" i="4"/>
  <c r="E419" i="4"/>
  <c r="D419" i="4"/>
  <c r="C423" i="4"/>
  <c r="C422" i="4" s="1"/>
  <c r="C421" i="4" s="1"/>
  <c r="D423" i="4"/>
  <c r="D422" i="4" s="1"/>
  <c r="D421" i="4" s="1"/>
  <c r="E423" i="4"/>
  <c r="E422" i="4" s="1"/>
  <c r="E421" i="4" s="1"/>
  <c r="F423" i="4"/>
  <c r="F422" i="4" s="1"/>
  <c r="F421" i="4" s="1"/>
  <c r="AA96" i="9" l="1"/>
  <c r="AJ96" i="9"/>
  <c r="AK95" i="9"/>
  <c r="AO95" i="9" s="1"/>
  <c r="AW95" i="9" s="1"/>
  <c r="BS95" i="9" s="1"/>
  <c r="C93" i="10" s="1"/>
  <c r="G96" i="9"/>
  <c r="AV141" i="9"/>
  <c r="W95" i="9"/>
  <c r="AA95" i="9" s="1"/>
  <c r="AA141" i="9"/>
  <c r="G69" i="6"/>
  <c r="G73" i="6" s="1"/>
  <c r="AK96" i="9"/>
  <c r="AO96" i="9" s="1"/>
  <c r="AW96" i="9" s="1"/>
  <c r="AJ141" i="9"/>
  <c r="AB140" i="9"/>
  <c r="AF140" i="9" s="1"/>
  <c r="G419" i="4"/>
  <c r="F140" i="5" s="1"/>
  <c r="AK141" i="9"/>
  <c r="G423" i="4"/>
  <c r="G422" i="4" s="1"/>
  <c r="G421" i="4" s="1"/>
  <c r="F139" i="5" l="1"/>
  <c r="K140" i="5"/>
  <c r="BS96" i="9"/>
  <c r="C94" i="10" s="1"/>
  <c r="AO141" i="9"/>
  <c r="AW141" i="9" s="1"/>
  <c r="BS141" i="9" s="1"/>
  <c r="C138" i="10" s="1"/>
  <c r="D137" i="10" s="1"/>
  <c r="AK140" i="9"/>
  <c r="AO140" i="9" s="1"/>
  <c r="AJ140" i="9"/>
  <c r="AB64" i="9"/>
  <c r="G44" i="5"/>
  <c r="F84" i="18"/>
  <c r="X65" i="9"/>
  <c r="Y65" i="9"/>
  <c r="AV45" i="9"/>
  <c r="F138" i="5" l="1"/>
  <c r="K139" i="5"/>
  <c r="AU18" i="9"/>
  <c r="AU11" i="9"/>
  <c r="BD100" i="9"/>
  <c r="BA13" i="9"/>
  <c r="BA17" i="9"/>
  <c r="BA16" i="9"/>
  <c r="BA15" i="9"/>
  <c r="BA14" i="9"/>
  <c r="BA12" i="9"/>
  <c r="BA22" i="9"/>
  <c r="BA21" i="9"/>
  <c r="BA20" i="9"/>
  <c r="BA18" i="9" s="1"/>
  <c r="BA19" i="9"/>
  <c r="BA25" i="9"/>
  <c r="BA24" i="9"/>
  <c r="BA27" i="9"/>
  <c r="BA28" i="9"/>
  <c r="BA31" i="9"/>
  <c r="BA30" i="9"/>
  <c r="BA34" i="9"/>
  <c r="BA33" i="9"/>
  <c r="BA39" i="9"/>
  <c r="BA38" i="9"/>
  <c r="BA37" i="9"/>
  <c r="BA36" i="9"/>
  <c r="BA42" i="9"/>
  <c r="BA41" i="9"/>
  <c r="BA64" i="9"/>
  <c r="BA63" i="9"/>
  <c r="BA62" i="9"/>
  <c r="BA61" i="9"/>
  <c r="BA60" i="9"/>
  <c r="BA59" i="9"/>
  <c r="BA58" i="9"/>
  <c r="BA57" i="9"/>
  <c r="BA56" i="9"/>
  <c r="BA55" i="9"/>
  <c r="BA54" i="9"/>
  <c r="BA53" i="9"/>
  <c r="BA52" i="9"/>
  <c r="BA51" i="9"/>
  <c r="BA50" i="9"/>
  <c r="BA49" i="9"/>
  <c r="BA48" i="9"/>
  <c r="BA47" i="9"/>
  <c r="BA46" i="9"/>
  <c r="BA70" i="9"/>
  <c r="BA69" i="9"/>
  <c r="BA68" i="9"/>
  <c r="BA67" i="9"/>
  <c r="BA66" i="9"/>
  <c r="BA86" i="9"/>
  <c r="BA85" i="9"/>
  <c r="BA84" i="9"/>
  <c r="BA83" i="9"/>
  <c r="BA82" i="9"/>
  <c r="BA81" i="9"/>
  <c r="BA80" i="9"/>
  <c r="BA79" i="9"/>
  <c r="BA78" i="9"/>
  <c r="BA77" i="9"/>
  <c r="BA76" i="9"/>
  <c r="BA75" i="9"/>
  <c r="BA74" i="9"/>
  <c r="BA73" i="9"/>
  <c r="BA72" i="9"/>
  <c r="BA91" i="9"/>
  <c r="BA90" i="9"/>
  <c r="BA89" i="9"/>
  <c r="BA88" i="9"/>
  <c r="BA97" i="9"/>
  <c r="BA94" i="9"/>
  <c r="BA93" i="9"/>
  <c r="BA110" i="9"/>
  <c r="BA109" i="9"/>
  <c r="BA107" i="9"/>
  <c r="BA106" i="9"/>
  <c r="BA105" i="9"/>
  <c r="BA104" i="9"/>
  <c r="BA102" i="9"/>
  <c r="BA101" i="9"/>
  <c r="BA115" i="9"/>
  <c r="BA114" i="9"/>
  <c r="BA113" i="9"/>
  <c r="BA120" i="9"/>
  <c r="BA119" i="9"/>
  <c r="BA124" i="9"/>
  <c r="BA123" i="9"/>
  <c r="BA122" i="9"/>
  <c r="BA135" i="9"/>
  <c r="BA134" i="9"/>
  <c r="BA133" i="9"/>
  <c r="BA132" i="9"/>
  <c r="BA131" i="9"/>
  <c r="BA130" i="9"/>
  <c r="BA129" i="9"/>
  <c r="BA128" i="9"/>
  <c r="BA139" i="9"/>
  <c r="BA138" i="9"/>
  <c r="BA137" i="9"/>
  <c r="BA146" i="9"/>
  <c r="BA145" i="9"/>
  <c r="BA144" i="9"/>
  <c r="BA143" i="9"/>
  <c r="BA155" i="9"/>
  <c r="BA154" i="9"/>
  <c r="BA153" i="9"/>
  <c r="BA152" i="9"/>
  <c r="BA151" i="9"/>
  <c r="BA150" i="9"/>
  <c r="BA149" i="9"/>
  <c r="BA148" i="9"/>
  <c r="BA166" i="9"/>
  <c r="BA165" i="9"/>
  <c r="BA161" i="9"/>
  <c r="BA159" i="9"/>
  <c r="AZ18" i="9"/>
  <c r="AX11" i="9"/>
  <c r="AZ11" i="9"/>
  <c r="AZ100" i="9"/>
  <c r="AZ111" i="9"/>
  <c r="AZ108" i="9" s="1"/>
  <c r="AZ158" i="9"/>
  <c r="AZ157" i="9" s="1"/>
  <c r="U64" i="6"/>
  <c r="V21" i="6"/>
  <c r="V20" i="6"/>
  <c r="V19" i="6"/>
  <c r="M18" i="6"/>
  <c r="V18" i="6" s="1"/>
  <c r="V17" i="6"/>
  <c r="V16" i="6"/>
  <c r="BA111" i="9" l="1"/>
  <c r="BA11" i="9"/>
  <c r="AZ99" i="9"/>
  <c r="AZ172" i="9" s="1"/>
  <c r="I56" i="18" l="1"/>
  <c r="V50" i="6" l="1"/>
  <c r="V43" i="6"/>
  <c r="F108" i="18" l="1"/>
  <c r="G36" i="5" l="1"/>
  <c r="G43" i="5"/>
  <c r="C348" i="4"/>
  <c r="D71" i="18" l="1"/>
  <c r="N71" i="18" s="1"/>
  <c r="L51" i="22" l="1"/>
  <c r="L49" i="22"/>
  <c r="M48" i="18"/>
  <c r="G48" i="18"/>
  <c r="N34" i="18"/>
  <c r="N33" i="18"/>
  <c r="N38" i="18"/>
  <c r="N37" i="18"/>
  <c r="N41" i="18"/>
  <c r="N46" i="18"/>
  <c r="N45" i="18"/>
  <c r="N44" i="18"/>
  <c r="N43" i="18"/>
  <c r="N52" i="18"/>
  <c r="N51" i="18"/>
  <c r="N67" i="18"/>
  <c r="R67" i="18" s="1"/>
  <c r="N64" i="18"/>
  <c r="N61" i="18"/>
  <c r="N60" i="18"/>
  <c r="N58" i="18"/>
  <c r="N55" i="18"/>
  <c r="O71" i="18"/>
  <c r="H29" i="22" l="1"/>
  <c r="M72" i="18" l="1"/>
  <c r="M69" i="18"/>
  <c r="M68" i="18" s="1"/>
  <c r="M66" i="18"/>
  <c r="M65" i="18" s="1"/>
  <c r="M63" i="18"/>
  <c r="M62" i="18" s="1"/>
  <c r="M56" i="18"/>
  <c r="M54" i="18" s="1"/>
  <c r="M53" i="18" s="1"/>
  <c r="M50" i="18"/>
  <c r="M42" i="18"/>
  <c r="M40" i="18"/>
  <c r="M39" i="18" s="1"/>
  <c r="M35" i="18"/>
  <c r="M32" i="18"/>
  <c r="M19" i="18"/>
  <c r="M9" i="18"/>
  <c r="M8" i="18" s="1"/>
  <c r="M18" i="18" l="1"/>
  <c r="M74" i="18" s="1"/>
  <c r="M75" i="18" s="1"/>
  <c r="BA174" i="9" s="1"/>
  <c r="I72" i="18" l="1"/>
  <c r="I66" i="18"/>
  <c r="I65" i="18" s="1"/>
  <c r="I63" i="18"/>
  <c r="I62" i="18" s="1"/>
  <c r="I54" i="18"/>
  <c r="I53" i="18" s="1"/>
  <c r="I50" i="18"/>
  <c r="I48" i="18"/>
  <c r="I42" i="18"/>
  <c r="I40" i="18"/>
  <c r="I39" i="18" s="1"/>
  <c r="I35" i="18"/>
  <c r="I32" i="18"/>
  <c r="I19" i="18"/>
  <c r="I18" i="18" s="1"/>
  <c r="I9" i="18"/>
  <c r="I8" i="18" s="1"/>
  <c r="G56" i="18"/>
  <c r="H56" i="18" s="1"/>
  <c r="N56" i="18" s="1"/>
  <c r="D54" i="18"/>
  <c r="Q71" i="18"/>
  <c r="R71" i="18" s="1"/>
  <c r="U71" i="18" s="1"/>
  <c r="U74" i="18" s="1"/>
  <c r="N54" i="18" l="1"/>
  <c r="N53" i="18" s="1"/>
  <c r="R56" i="18"/>
  <c r="F107" i="18"/>
  <c r="O99" i="18"/>
  <c r="L99" i="18"/>
  <c r="I99" i="18"/>
  <c r="F99" i="18"/>
  <c r="F109" i="18" l="1"/>
  <c r="Q99" i="18"/>
  <c r="K99" i="18"/>
  <c r="H99" i="18"/>
  <c r="N99" i="18" l="1"/>
  <c r="R99" i="18" s="1"/>
  <c r="G92" i="18" l="1"/>
  <c r="G90" i="18"/>
  <c r="H90" i="18" s="1"/>
  <c r="N90" i="18" s="1"/>
  <c r="R90" i="18" s="1"/>
  <c r="H30" i="22"/>
  <c r="H17" i="22"/>
  <c r="H15" i="22"/>
  <c r="H14" i="22"/>
  <c r="H10" i="22"/>
  <c r="L68" i="22"/>
  <c r="L67" i="22"/>
  <c r="AV67" i="22" s="1"/>
  <c r="L66" i="22"/>
  <c r="AV66" i="22" s="1"/>
  <c r="L65" i="22"/>
  <c r="AV65" i="22" s="1"/>
  <c r="L64" i="22"/>
  <c r="AV64" i="22" s="1"/>
  <c r="T67" i="22"/>
  <c r="AU67" i="22"/>
  <c r="AS67" i="22"/>
  <c r="AX67" i="22" s="1"/>
  <c r="AN67" i="22"/>
  <c r="I67" i="22"/>
  <c r="L62" i="22"/>
  <c r="L58" i="22"/>
  <c r="L57" i="22"/>
  <c r="L52" i="22"/>
  <c r="L53" i="22"/>
  <c r="AU16" i="22"/>
  <c r="AS16" i="22"/>
  <c r="AX16" i="22" s="1"/>
  <c r="AN16" i="22"/>
  <c r="T16" i="22"/>
  <c r="I16" i="22"/>
  <c r="AJ16" i="22" l="1"/>
  <c r="AP16" i="22"/>
  <c r="P67" i="22"/>
  <c r="U67" i="22" s="1"/>
  <c r="AP67" i="22"/>
  <c r="L56" i="22"/>
  <c r="N67" i="22"/>
  <c r="S67" i="22" s="1"/>
  <c r="Q67" i="22"/>
  <c r="V67" i="22" s="1"/>
  <c r="M67" i="22"/>
  <c r="AJ67" i="22"/>
  <c r="G94" i="18"/>
  <c r="AT67" i="22"/>
  <c r="J67" i="22"/>
  <c r="M16" i="22"/>
  <c r="N16" i="22"/>
  <c r="AY16" i="22" s="1"/>
  <c r="Q16" i="22"/>
  <c r="V16" i="22" s="1"/>
  <c r="J16" i="22"/>
  <c r="P16" i="22"/>
  <c r="AT16" i="22"/>
  <c r="AY67" i="22" l="1"/>
  <c r="W67" i="22"/>
  <c r="X67" i="22" s="1"/>
  <c r="AO67" i="22"/>
  <c r="R67" i="22"/>
  <c r="AC67" i="22" s="1"/>
  <c r="R16" i="22"/>
  <c r="AC16" i="22" s="1"/>
  <c r="AW67" i="22"/>
  <c r="BA67" i="22" s="1"/>
  <c r="AM67" i="22"/>
  <c r="AQ67" i="22" s="1"/>
  <c r="AO16" i="22"/>
  <c r="BC16" i="22" s="1"/>
  <c r="S16" i="22"/>
  <c r="AM16" i="22"/>
  <c r="AW16" i="22"/>
  <c r="BA16" i="22" s="1"/>
  <c r="U16" i="22"/>
  <c r="BC67" i="22" l="1"/>
  <c r="BE67" i="22"/>
  <c r="AQ16" i="22"/>
  <c r="W16" i="22"/>
  <c r="X16" i="22" s="1"/>
  <c r="BE16" i="22" l="1"/>
  <c r="F53" i="20"/>
  <c r="AU65" i="22" l="1"/>
  <c r="AS65" i="22"/>
  <c r="AX65" i="22" s="1"/>
  <c r="AN65" i="22"/>
  <c r="T65" i="22"/>
  <c r="I65" i="22"/>
  <c r="R46" i="18"/>
  <c r="H48" i="18"/>
  <c r="C36" i="9"/>
  <c r="BN165" i="9"/>
  <c r="BQ165" i="9"/>
  <c r="BQ142" i="9"/>
  <c r="BP164" i="9"/>
  <c r="BP163" i="9" s="1"/>
  <c r="BO155" i="9"/>
  <c r="BQ155" i="9" s="1"/>
  <c r="BP147" i="9"/>
  <c r="BM164" i="9"/>
  <c r="BM163" i="9" s="1"/>
  <c r="BL166" i="9"/>
  <c r="BL164" i="9" s="1"/>
  <c r="BN157" i="9"/>
  <c r="BM157" i="9"/>
  <c r="BL157" i="9"/>
  <c r="BN155" i="9"/>
  <c r="BN154" i="9"/>
  <c r="BN153" i="9"/>
  <c r="BN152" i="9"/>
  <c r="BN151" i="9"/>
  <c r="BN150" i="9"/>
  <c r="BN149" i="9"/>
  <c r="BN148" i="9"/>
  <c r="BM147" i="9"/>
  <c r="BL147" i="9"/>
  <c r="BN146" i="9"/>
  <c r="BN145" i="9"/>
  <c r="BN144" i="9"/>
  <c r="BN143" i="9"/>
  <c r="BM142" i="9"/>
  <c r="BM140" i="9" s="1"/>
  <c r="BL142" i="9"/>
  <c r="BL140" i="9" s="1"/>
  <c r="BN139" i="9"/>
  <c r="BN138" i="9"/>
  <c r="BN137" i="9"/>
  <c r="BM136" i="9"/>
  <c r="BL136" i="9"/>
  <c r="BN135" i="9"/>
  <c r="BN134" i="9"/>
  <c r="BN133" i="9"/>
  <c r="BN132" i="9"/>
  <c r="BN131" i="9"/>
  <c r="BN130" i="9"/>
  <c r="BN129" i="9"/>
  <c r="BN128" i="9"/>
  <c r="BM127" i="9"/>
  <c r="BL127" i="9"/>
  <c r="BN29" i="9"/>
  <c r="BN28" i="9"/>
  <c r="BN27" i="9"/>
  <c r="BN26" i="9"/>
  <c r="BN25" i="9"/>
  <c r="BN24" i="9"/>
  <c r="BM23" i="9"/>
  <c r="BL23" i="9"/>
  <c r="BN22" i="9"/>
  <c r="BN21" i="9"/>
  <c r="BN20" i="9"/>
  <c r="BN19" i="9"/>
  <c r="BM18" i="9"/>
  <c r="BL18" i="9"/>
  <c r="BN17" i="9"/>
  <c r="BN16" i="9"/>
  <c r="BN15" i="9"/>
  <c r="BN14" i="9"/>
  <c r="BN13" i="9"/>
  <c r="BN12" i="9"/>
  <c r="BM11" i="9"/>
  <c r="BL11" i="9"/>
  <c r="N65" i="22" l="1"/>
  <c r="S65" i="22" s="1"/>
  <c r="AP65" i="22"/>
  <c r="BL10" i="9"/>
  <c r="AT65" i="22"/>
  <c r="Q65" i="22"/>
  <c r="V65" i="22" s="1"/>
  <c r="AJ65" i="22"/>
  <c r="P65" i="22"/>
  <c r="J65" i="22"/>
  <c r="M65" i="22"/>
  <c r="BN166" i="9"/>
  <c r="BN23" i="9"/>
  <c r="BL126" i="9"/>
  <c r="BN147" i="9"/>
  <c r="BN11" i="9"/>
  <c r="BL163" i="9"/>
  <c r="BN164" i="9"/>
  <c r="BN18" i="9"/>
  <c r="BM126" i="9"/>
  <c r="BK29" i="9"/>
  <c r="BJ23" i="9"/>
  <c r="BI23" i="9"/>
  <c r="BJ18" i="9"/>
  <c r="BI18" i="9"/>
  <c r="BK146" i="9"/>
  <c r="BK145" i="9"/>
  <c r="BK144" i="9"/>
  <c r="BK143" i="9"/>
  <c r="BK139" i="9"/>
  <c r="BK138" i="9"/>
  <c r="BK137" i="9"/>
  <c r="BK135" i="9"/>
  <c r="BK134" i="9"/>
  <c r="BK133" i="9"/>
  <c r="BK132" i="9"/>
  <c r="BK131" i="9"/>
  <c r="BK130" i="9"/>
  <c r="BK129" i="9"/>
  <c r="BK128" i="9"/>
  <c r="BK28" i="9"/>
  <c r="BK27" i="9"/>
  <c r="BK26" i="9"/>
  <c r="BK25" i="9"/>
  <c r="BK24" i="9"/>
  <c r="BK22" i="9"/>
  <c r="BK21" i="9"/>
  <c r="BK20" i="9"/>
  <c r="BK19" i="9"/>
  <c r="BK17" i="9"/>
  <c r="BK16" i="9"/>
  <c r="BK15" i="9"/>
  <c r="BK14" i="9"/>
  <c r="BK13" i="9"/>
  <c r="BK12" i="9"/>
  <c r="BJ11" i="9"/>
  <c r="BI11" i="9"/>
  <c r="BK164" i="9"/>
  <c r="BK163" i="9" s="1"/>
  <c r="BJ164" i="9"/>
  <c r="BJ163" i="9" s="1"/>
  <c r="BK157" i="9"/>
  <c r="BJ157" i="9"/>
  <c r="BI157" i="9"/>
  <c r="BI147" i="9"/>
  <c r="BI142" i="9"/>
  <c r="BI140" i="9" s="1"/>
  <c r="BJ142" i="9"/>
  <c r="BJ140" i="9" s="1"/>
  <c r="BI136" i="9"/>
  <c r="BJ136" i="9"/>
  <c r="BI127" i="9"/>
  <c r="BJ155" i="9"/>
  <c r="BF172" i="9"/>
  <c r="BH172" i="9"/>
  <c r="BG172" i="9"/>
  <c r="BD164" i="9"/>
  <c r="BC164" i="9"/>
  <c r="BC163" i="9" s="1"/>
  <c r="BB164" i="9"/>
  <c r="BD158" i="9"/>
  <c r="BD157" i="9" s="1"/>
  <c r="BC158" i="9"/>
  <c r="BC157" i="9" s="1"/>
  <c r="BB158" i="9"/>
  <c r="BB157" i="9" s="1"/>
  <c r="BD147" i="9"/>
  <c r="BC147" i="9"/>
  <c r="BB147" i="9"/>
  <c r="BD142" i="9"/>
  <c r="BD140" i="9" s="1"/>
  <c r="BC142" i="9"/>
  <c r="BC140" i="9" s="1"/>
  <c r="BB142" i="9"/>
  <c r="BB140" i="9" s="1"/>
  <c r="BD136" i="9"/>
  <c r="BC136" i="9"/>
  <c r="BB136" i="9"/>
  <c r="BD127" i="9"/>
  <c r="BB127" i="9"/>
  <c r="BC127" i="9"/>
  <c r="BD121" i="9"/>
  <c r="BC121" i="9"/>
  <c r="BB121" i="9"/>
  <c r="BD118" i="9"/>
  <c r="BC118" i="9"/>
  <c r="BB118" i="9"/>
  <c r="BC100" i="9"/>
  <c r="BB100" i="9"/>
  <c r="BD92" i="9"/>
  <c r="BC92" i="9"/>
  <c r="BB92" i="9"/>
  <c r="BB87" i="9"/>
  <c r="BB71" i="9"/>
  <c r="BD45" i="9"/>
  <c r="BC45" i="9"/>
  <c r="BD11" i="9"/>
  <c r="BC11" i="9"/>
  <c r="BB52" i="9"/>
  <c r="BB45" i="9" s="1"/>
  <c r="BC112" i="9"/>
  <c r="BC108" i="9"/>
  <c r="BC106" i="9"/>
  <c r="BC87" i="9"/>
  <c r="BC71" i="9"/>
  <c r="BC65" i="9"/>
  <c r="BD65" i="9"/>
  <c r="BC40" i="9"/>
  <c r="BC38" i="9"/>
  <c r="BB38" i="9"/>
  <c r="BC35" i="9"/>
  <c r="BD29" i="9"/>
  <c r="BB29" i="9"/>
  <c r="BD26" i="9"/>
  <c r="BC26" i="9"/>
  <c r="BC18" i="9"/>
  <c r="AQ117" i="9"/>
  <c r="AH118" i="9"/>
  <c r="AH117" i="9" s="1"/>
  <c r="AG117" i="9"/>
  <c r="X117" i="9"/>
  <c r="Y118" i="9"/>
  <c r="AH92" i="9"/>
  <c r="AU38" i="9"/>
  <c r="AI171" i="9"/>
  <c r="AJ171" i="9" s="1"/>
  <c r="AI170" i="9"/>
  <c r="AJ170" i="9" s="1"/>
  <c r="AI169" i="9"/>
  <c r="AJ169" i="9" s="1"/>
  <c r="AI168" i="9"/>
  <c r="AJ168" i="9" s="1"/>
  <c r="AI166" i="9"/>
  <c r="AI165" i="9"/>
  <c r="AI161" i="9"/>
  <c r="AJ161" i="9" s="1"/>
  <c r="AI160" i="9"/>
  <c r="AJ160" i="9" s="1"/>
  <c r="AI159" i="9"/>
  <c r="AJ159" i="9" s="1"/>
  <c r="AI158" i="9"/>
  <c r="AJ158" i="9" s="1"/>
  <c r="AI157" i="9"/>
  <c r="AJ157" i="9" s="1"/>
  <c r="AI155" i="9"/>
  <c r="AI154" i="9"/>
  <c r="AI153" i="9"/>
  <c r="AI152" i="9"/>
  <c r="AI151" i="9"/>
  <c r="AI150" i="9"/>
  <c r="AI149" i="9"/>
  <c r="AI148" i="9"/>
  <c r="AI147" i="9"/>
  <c r="AI146" i="9"/>
  <c r="AI145" i="9"/>
  <c r="AI144" i="9"/>
  <c r="AI143" i="9"/>
  <c r="AI142" i="9"/>
  <c r="AI139" i="9"/>
  <c r="AI138" i="9"/>
  <c r="AI137" i="9"/>
  <c r="AI136" i="9"/>
  <c r="AI135" i="9"/>
  <c r="AI134" i="9"/>
  <c r="AI133" i="9"/>
  <c r="AI132" i="9"/>
  <c r="AI131" i="9"/>
  <c r="AI130" i="9"/>
  <c r="AI129" i="9"/>
  <c r="AI128" i="9"/>
  <c r="AI127" i="9"/>
  <c r="AI126" i="9"/>
  <c r="AI124" i="9"/>
  <c r="AI123" i="9"/>
  <c r="AI122" i="9"/>
  <c r="AI121" i="9"/>
  <c r="AI120" i="9"/>
  <c r="AI119" i="9"/>
  <c r="AI115" i="9"/>
  <c r="AI114" i="9"/>
  <c r="AI113" i="9"/>
  <c r="AI107" i="9"/>
  <c r="AI106" i="9"/>
  <c r="AI105" i="9"/>
  <c r="AI104" i="9"/>
  <c r="AI103" i="9"/>
  <c r="AI102" i="9"/>
  <c r="AI101" i="9"/>
  <c r="AI97" i="9"/>
  <c r="AJ97" i="9" s="1"/>
  <c r="AI94" i="9"/>
  <c r="AI93" i="9"/>
  <c r="AI91" i="9"/>
  <c r="AI89" i="9"/>
  <c r="AI81" i="9"/>
  <c r="AI80" i="9"/>
  <c r="AI79" i="9"/>
  <c r="AI77" i="9"/>
  <c r="AI76" i="9"/>
  <c r="AI69" i="9"/>
  <c r="AI60" i="9"/>
  <c r="AI47" i="9"/>
  <c r="AI42" i="9"/>
  <c r="AI41" i="9"/>
  <c r="AI39" i="9"/>
  <c r="AI37" i="9"/>
  <c r="AI36" i="9"/>
  <c r="AI34" i="9"/>
  <c r="AI33" i="9"/>
  <c r="AI31" i="9"/>
  <c r="AI30" i="9"/>
  <c r="AI28" i="9"/>
  <c r="AI27" i="9"/>
  <c r="AI25" i="9"/>
  <c r="AI24" i="9"/>
  <c r="AI22" i="9"/>
  <c r="AI21" i="9"/>
  <c r="AI20" i="9"/>
  <c r="AI19" i="9"/>
  <c r="AI17" i="9"/>
  <c r="AI16" i="9"/>
  <c r="AI15" i="9"/>
  <c r="AI14" i="9"/>
  <c r="AI13" i="9"/>
  <c r="AI12" i="9"/>
  <c r="AN166" i="9"/>
  <c r="AM166" i="9"/>
  <c r="AL166" i="9"/>
  <c r="AK166" i="9"/>
  <c r="AN165" i="9"/>
  <c r="AN164" i="9" s="1"/>
  <c r="AN163" i="9" s="1"/>
  <c r="AM165" i="9"/>
  <c r="AM164" i="9" s="1"/>
  <c r="AM163" i="9" s="1"/>
  <c r="AL165" i="9"/>
  <c r="AL164" i="9" s="1"/>
  <c r="AL163" i="9" s="1"/>
  <c r="AN161" i="9"/>
  <c r="AM161" i="9"/>
  <c r="AL161" i="9"/>
  <c r="AK161" i="9"/>
  <c r="AN160" i="9"/>
  <c r="AM160" i="9"/>
  <c r="AL160" i="9"/>
  <c r="AK160" i="9"/>
  <c r="AN159" i="9"/>
  <c r="AM159" i="9"/>
  <c r="AL159" i="9"/>
  <c r="AK159" i="9"/>
  <c r="AN155" i="9"/>
  <c r="AM155" i="9"/>
  <c r="AL155" i="9"/>
  <c r="AK155" i="9"/>
  <c r="AN154" i="9"/>
  <c r="AM154" i="9"/>
  <c r="AL154" i="9"/>
  <c r="AK154" i="9"/>
  <c r="AN153" i="9"/>
  <c r="AM153" i="9"/>
  <c r="AL153" i="9"/>
  <c r="AK153" i="9"/>
  <c r="AN152" i="9"/>
  <c r="AM152" i="9"/>
  <c r="AL152" i="9"/>
  <c r="AK152" i="9"/>
  <c r="AN151" i="9"/>
  <c r="AM151" i="9"/>
  <c r="AL151" i="9"/>
  <c r="AK151" i="9"/>
  <c r="AN150" i="9"/>
  <c r="AM150" i="9"/>
  <c r="AL150" i="9"/>
  <c r="AK150" i="9"/>
  <c r="AN149" i="9"/>
  <c r="AN147" i="9" s="1"/>
  <c r="AM149" i="9"/>
  <c r="AL149" i="9"/>
  <c r="AK149" i="9"/>
  <c r="AN148" i="9"/>
  <c r="AM148" i="9"/>
  <c r="AL148" i="9"/>
  <c r="AK148" i="9"/>
  <c r="AN146" i="9"/>
  <c r="AM146" i="9"/>
  <c r="AL146" i="9"/>
  <c r="AK146" i="9"/>
  <c r="AN145" i="9"/>
  <c r="AM145" i="9"/>
  <c r="AL145" i="9"/>
  <c r="AK145" i="9"/>
  <c r="AN144" i="9"/>
  <c r="AM144" i="9"/>
  <c r="AL144" i="9"/>
  <c r="AK144" i="9"/>
  <c r="AN143" i="9"/>
  <c r="AM143" i="9"/>
  <c r="AL143" i="9"/>
  <c r="AK143" i="9"/>
  <c r="AN139" i="9"/>
  <c r="AM139" i="9"/>
  <c r="AL139" i="9"/>
  <c r="AK139" i="9"/>
  <c r="AN138" i="9"/>
  <c r="AM138" i="9"/>
  <c r="AL138" i="9"/>
  <c r="AK138" i="9"/>
  <c r="AN137" i="9"/>
  <c r="AM137" i="9"/>
  <c r="AL137" i="9"/>
  <c r="AK137" i="9"/>
  <c r="AN135" i="9"/>
  <c r="AM135" i="9"/>
  <c r="AL135" i="9"/>
  <c r="AN134" i="9"/>
  <c r="AM134" i="9"/>
  <c r="AL134" i="9"/>
  <c r="AK134" i="9"/>
  <c r="AN133" i="9"/>
  <c r="AM133" i="9"/>
  <c r="AL133" i="9"/>
  <c r="AK133" i="9"/>
  <c r="AN132" i="9"/>
  <c r="AM132" i="9"/>
  <c r="AL132" i="9"/>
  <c r="AK132" i="9"/>
  <c r="AN131" i="9"/>
  <c r="AM131" i="9"/>
  <c r="AL131" i="9"/>
  <c r="AK131" i="9"/>
  <c r="AN130" i="9"/>
  <c r="AM130" i="9"/>
  <c r="AL130" i="9"/>
  <c r="AK130" i="9"/>
  <c r="AN129" i="9"/>
  <c r="AM129" i="9"/>
  <c r="AL129" i="9"/>
  <c r="AK129" i="9"/>
  <c r="AN128" i="9"/>
  <c r="AM128" i="9"/>
  <c r="AL128" i="9"/>
  <c r="AM122" i="9"/>
  <c r="AN124" i="9"/>
  <c r="AM124" i="9"/>
  <c r="AL124" i="9"/>
  <c r="AK124" i="9"/>
  <c r="AN123" i="9"/>
  <c r="AM123" i="9"/>
  <c r="AL123" i="9"/>
  <c r="AN122" i="9"/>
  <c r="AL122" i="9"/>
  <c r="AK122" i="9"/>
  <c r="AN120" i="9"/>
  <c r="AM120" i="9"/>
  <c r="AL120" i="9"/>
  <c r="AK120" i="9"/>
  <c r="AN119" i="9"/>
  <c r="AM119" i="9"/>
  <c r="AL119" i="9"/>
  <c r="AL118" i="9" s="1"/>
  <c r="AK119" i="9"/>
  <c r="AN115" i="9"/>
  <c r="AM115" i="9"/>
  <c r="AL115" i="9"/>
  <c r="AK115" i="9"/>
  <c r="AN114" i="9"/>
  <c r="AM114" i="9"/>
  <c r="AL114" i="9"/>
  <c r="AK114" i="9"/>
  <c r="AN113" i="9"/>
  <c r="AN112" i="9" s="1"/>
  <c r="AM113" i="9"/>
  <c r="AL113" i="9"/>
  <c r="AK113" i="9"/>
  <c r="AM107" i="9"/>
  <c r="AL107" i="9"/>
  <c r="AN105" i="9"/>
  <c r="AM105" i="9"/>
  <c r="AL105" i="9"/>
  <c r="AK105" i="9"/>
  <c r="AN104" i="9"/>
  <c r="AM104" i="9"/>
  <c r="AL104" i="9"/>
  <c r="AK104" i="9"/>
  <c r="AN103" i="9"/>
  <c r="AM103" i="9"/>
  <c r="AL103" i="9"/>
  <c r="AK103" i="9"/>
  <c r="AN102" i="9"/>
  <c r="AM102" i="9"/>
  <c r="AL102" i="9"/>
  <c r="AK102" i="9"/>
  <c r="AN101" i="9"/>
  <c r="AM101" i="9"/>
  <c r="AL101" i="9"/>
  <c r="AK101" i="9"/>
  <c r="AN97" i="9"/>
  <c r="AM97" i="9"/>
  <c r="AL97" i="9"/>
  <c r="AK97" i="9"/>
  <c r="AN94" i="9"/>
  <c r="AM94" i="9"/>
  <c r="AL94" i="9"/>
  <c r="AN93" i="9"/>
  <c r="AM93" i="9"/>
  <c r="AL93" i="9"/>
  <c r="AN91" i="9"/>
  <c r="AM91" i="9"/>
  <c r="AL91" i="9"/>
  <c r="AK91" i="9"/>
  <c r="AN89" i="9"/>
  <c r="AM89" i="9"/>
  <c r="AL89" i="9"/>
  <c r="AK89" i="9"/>
  <c r="AN81" i="9"/>
  <c r="AM81" i="9"/>
  <c r="AL81" i="9"/>
  <c r="AK81" i="9"/>
  <c r="AN80" i="9"/>
  <c r="AM80" i="9"/>
  <c r="AL80" i="9"/>
  <c r="AK80" i="9"/>
  <c r="AN79" i="9"/>
  <c r="AM79" i="9"/>
  <c r="AL79" i="9"/>
  <c r="AK79" i="9"/>
  <c r="AN77" i="9"/>
  <c r="AM77" i="9"/>
  <c r="AL77" i="9"/>
  <c r="AK77" i="9"/>
  <c r="AN76" i="9"/>
  <c r="AM76" i="9"/>
  <c r="AL76" i="9"/>
  <c r="AK76" i="9"/>
  <c r="AN69" i="9"/>
  <c r="AM69" i="9"/>
  <c r="AL69" i="9"/>
  <c r="AK69" i="9"/>
  <c r="AN60" i="9"/>
  <c r="AM60" i="9"/>
  <c r="AL60" i="9"/>
  <c r="AK60" i="9"/>
  <c r="AN47" i="9"/>
  <c r="AM47" i="9"/>
  <c r="AL47" i="9"/>
  <c r="AK47" i="9"/>
  <c r="AN42" i="9"/>
  <c r="AM42" i="9"/>
  <c r="AL42" i="9"/>
  <c r="AK42" i="9"/>
  <c r="AN41" i="9"/>
  <c r="AN40" i="9" s="1"/>
  <c r="AM41" i="9"/>
  <c r="AL41" i="9"/>
  <c r="AN39" i="9"/>
  <c r="AN38" i="9" s="1"/>
  <c r="AM39" i="9"/>
  <c r="AM38" i="9" s="1"/>
  <c r="AL39" i="9"/>
  <c r="AL38" i="9" s="1"/>
  <c r="AK39" i="9"/>
  <c r="AK38" i="9" s="1"/>
  <c r="AN37" i="9"/>
  <c r="AM37" i="9"/>
  <c r="AL37" i="9"/>
  <c r="AK37" i="9"/>
  <c r="AN36" i="9"/>
  <c r="AN35" i="9" s="1"/>
  <c r="AM36" i="9"/>
  <c r="AL36" i="9"/>
  <c r="AL35" i="9" s="1"/>
  <c r="AK36" i="9"/>
  <c r="AN34" i="9"/>
  <c r="AM34" i="9"/>
  <c r="AL34" i="9"/>
  <c r="AK34" i="9"/>
  <c r="AN33" i="9"/>
  <c r="AN32" i="9" s="1"/>
  <c r="AM33" i="9"/>
  <c r="AL33" i="9"/>
  <c r="BC33" i="9" s="1"/>
  <c r="AN31" i="9"/>
  <c r="AM31" i="9"/>
  <c r="AL31" i="9"/>
  <c r="AN30" i="9"/>
  <c r="AM30" i="9"/>
  <c r="AL30" i="9"/>
  <c r="AN28" i="9"/>
  <c r="AM28" i="9"/>
  <c r="AL28" i="9"/>
  <c r="AK28" i="9"/>
  <c r="AN27" i="9"/>
  <c r="AM27" i="9"/>
  <c r="AL27" i="9"/>
  <c r="AN25" i="9"/>
  <c r="AM25" i="9"/>
  <c r="AL25" i="9"/>
  <c r="BC25" i="9" s="1"/>
  <c r="AK25" i="9"/>
  <c r="AN24" i="9"/>
  <c r="AM24" i="9"/>
  <c r="AM23" i="9" s="1"/>
  <c r="AL24" i="9"/>
  <c r="BC24" i="9" s="1"/>
  <c r="AK24" i="9"/>
  <c r="AK19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K18" i="9" s="1"/>
  <c r="AN19" i="9"/>
  <c r="AN18" i="9" s="1"/>
  <c r="AM19" i="9"/>
  <c r="AL19" i="9"/>
  <c r="AN16" i="9"/>
  <c r="AM16" i="9"/>
  <c r="AN15" i="9"/>
  <c r="AM15" i="9"/>
  <c r="AN13" i="9"/>
  <c r="AM13" i="9"/>
  <c r="AL16" i="9"/>
  <c r="AL15" i="9"/>
  <c r="AL13" i="9"/>
  <c r="AK15" i="9"/>
  <c r="AK13" i="9"/>
  <c r="AW187" i="9"/>
  <c r="AW171" i="9"/>
  <c r="AW170" i="9"/>
  <c r="AW169" i="9"/>
  <c r="AW168" i="9"/>
  <c r="AO142" i="9"/>
  <c r="AO136" i="9"/>
  <c r="AN117" i="9"/>
  <c r="AM117" i="9"/>
  <c r="AQ38" i="9"/>
  <c r="Z171" i="9"/>
  <c r="AA171" i="9" s="1"/>
  <c r="Z170" i="9"/>
  <c r="AA170" i="9" s="1"/>
  <c r="Z169" i="9"/>
  <c r="AA169" i="9" s="1"/>
  <c r="Z168" i="9"/>
  <c r="AA168" i="9" s="1"/>
  <c r="Z165" i="9"/>
  <c r="Z161" i="9"/>
  <c r="AA161" i="9" s="1"/>
  <c r="Z160" i="9"/>
  <c r="AA160" i="9" s="1"/>
  <c r="Z159" i="9"/>
  <c r="AA159" i="9" s="1"/>
  <c r="Z158" i="9"/>
  <c r="AA158" i="9" s="1"/>
  <c r="Z157" i="9"/>
  <c r="AA157" i="9" s="1"/>
  <c r="Z154" i="9"/>
  <c r="Z153" i="9"/>
  <c r="Z152" i="9"/>
  <c r="Z151" i="9"/>
  <c r="Z150" i="9"/>
  <c r="Z149" i="9"/>
  <c r="Z148" i="9"/>
  <c r="Z146" i="9"/>
  <c r="Z145" i="9"/>
  <c r="Z144" i="9"/>
  <c r="Z143" i="9"/>
  <c r="Z142" i="9"/>
  <c r="Z139" i="9"/>
  <c r="Z138" i="9"/>
  <c r="Z137" i="9"/>
  <c r="Z136" i="9"/>
  <c r="Z135" i="9"/>
  <c r="Z134" i="9"/>
  <c r="Z133" i="9"/>
  <c r="Z132" i="9"/>
  <c r="Z131" i="9"/>
  <c r="Z130" i="9"/>
  <c r="Z129" i="9"/>
  <c r="Z128" i="9"/>
  <c r="Z127" i="9"/>
  <c r="Z124" i="9"/>
  <c r="Z122" i="9"/>
  <c r="Z120" i="9"/>
  <c r="Z119" i="9"/>
  <c r="Z115" i="9"/>
  <c r="Z114" i="9"/>
  <c r="Z113" i="9"/>
  <c r="Z107" i="9"/>
  <c r="Z106" i="9"/>
  <c r="Z105" i="9"/>
  <c r="Z104" i="9"/>
  <c r="Z103" i="9"/>
  <c r="Z102" i="9"/>
  <c r="Z101" i="9"/>
  <c r="Z94" i="9"/>
  <c r="Z97" i="9"/>
  <c r="Z91" i="9"/>
  <c r="Z89" i="9"/>
  <c r="Z81" i="9"/>
  <c r="Z80" i="9"/>
  <c r="Z79" i="9"/>
  <c r="Z77" i="9"/>
  <c r="Z76" i="9"/>
  <c r="Z69" i="9"/>
  <c r="Z60" i="9"/>
  <c r="Z42" i="9"/>
  <c r="Z41" i="9"/>
  <c r="Z39" i="9"/>
  <c r="Z37" i="9"/>
  <c r="Z36" i="9"/>
  <c r="Z34" i="9"/>
  <c r="Z33" i="9"/>
  <c r="Z31" i="9"/>
  <c r="Z30" i="9"/>
  <c r="Z28" i="9"/>
  <c r="Z27" i="9"/>
  <c r="Z25" i="9"/>
  <c r="Z24" i="9"/>
  <c r="Z22" i="9"/>
  <c r="Z21" i="9"/>
  <c r="Z20" i="9"/>
  <c r="Z16" i="9"/>
  <c r="Z15" i="9"/>
  <c r="Z14" i="9"/>
  <c r="Z13" i="9"/>
  <c r="Z12" i="9"/>
  <c r="AE54" i="9"/>
  <c r="AD54" i="9"/>
  <c r="AC54" i="9"/>
  <c r="AB54" i="9"/>
  <c r="AK17" i="9"/>
  <c r="AN23" i="9" l="1"/>
  <c r="AY65" i="22"/>
  <c r="AM32" i="9"/>
  <c r="AM35" i="9"/>
  <c r="AL100" i="9"/>
  <c r="AO65" i="22"/>
  <c r="BC65" i="22" s="1"/>
  <c r="AL112" i="9"/>
  <c r="AO147" i="9"/>
  <c r="AN126" i="9"/>
  <c r="R65" i="22"/>
  <c r="AC65" i="22" s="1"/>
  <c r="BN126" i="9"/>
  <c r="AQ32" i="9"/>
  <c r="BC99" i="9"/>
  <c r="U65" i="22"/>
  <c r="W65" i="22" s="1"/>
  <c r="X65" i="22" s="1"/>
  <c r="AM65" i="22"/>
  <c r="AW65" i="22"/>
  <c r="BA65" i="22" s="1"/>
  <c r="AM100" i="9"/>
  <c r="AK112" i="9"/>
  <c r="AL18" i="9"/>
  <c r="AL26" i="9"/>
  <c r="AL40" i="9"/>
  <c r="AN100" i="9"/>
  <c r="AM18" i="9"/>
  <c r="AM26" i="9"/>
  <c r="AM40" i="9"/>
  <c r="AM112" i="9"/>
  <c r="AN26" i="9"/>
  <c r="AK100" i="9"/>
  <c r="AI35" i="9"/>
  <c r="AV119" i="9"/>
  <c r="AL23" i="9"/>
  <c r="AO122" i="9"/>
  <c r="AU23" i="9"/>
  <c r="AU35" i="9"/>
  <c r="AQ100" i="9"/>
  <c r="AQ112" i="9"/>
  <c r="AI40" i="9"/>
  <c r="AV25" i="9"/>
  <c r="AV37" i="9"/>
  <c r="AV41" i="9"/>
  <c r="BD117" i="9"/>
  <c r="AN29" i="9"/>
  <c r="BE92" i="9"/>
  <c r="AL29" i="9"/>
  <c r="AO60" i="9"/>
  <c r="AO76" i="9"/>
  <c r="AO101" i="9"/>
  <c r="AO105" i="9"/>
  <c r="AO114" i="9"/>
  <c r="AL121" i="9"/>
  <c r="AL117" i="9" s="1"/>
  <c r="AO133" i="9"/>
  <c r="AQ40" i="9"/>
  <c r="AV128" i="9"/>
  <c r="AO13" i="9"/>
  <c r="AQ29" i="9"/>
  <c r="AO137" i="9"/>
  <c r="AO143" i="9"/>
  <c r="AO150" i="9"/>
  <c r="AO154" i="9"/>
  <c r="AU40" i="9"/>
  <c r="BC126" i="9"/>
  <c r="BM172" i="9"/>
  <c r="BL172" i="9"/>
  <c r="BN163" i="9"/>
  <c r="Z26" i="9"/>
  <c r="Z23" i="9"/>
  <c r="Z29" i="9"/>
  <c r="Z35" i="9"/>
  <c r="AO15" i="9"/>
  <c r="AM29" i="9"/>
  <c r="AI26" i="9"/>
  <c r="AI32" i="9"/>
  <c r="AU26" i="9"/>
  <c r="AV31" i="9"/>
  <c r="AU32" i="9"/>
  <c r="AV144" i="9"/>
  <c r="AV151" i="9"/>
  <c r="BB117" i="9"/>
  <c r="AA97" i="9"/>
  <c r="AV27" i="9"/>
  <c r="AV36" i="9"/>
  <c r="AV42" i="9"/>
  <c r="AV104" i="9"/>
  <c r="AV107" i="9"/>
  <c r="AV114" i="9"/>
  <c r="AV138" i="9"/>
  <c r="AV154" i="9"/>
  <c r="AV159" i="9"/>
  <c r="BC117" i="9"/>
  <c r="AO19" i="9"/>
  <c r="AO28" i="9"/>
  <c r="AO42" i="9"/>
  <c r="AO69" i="9"/>
  <c r="AV24" i="9"/>
  <c r="AV33" i="9"/>
  <c r="AV103" i="9"/>
  <c r="AV113" i="9"/>
  <c r="AV120" i="9"/>
  <c r="AV133" i="9"/>
  <c r="AV145" i="9"/>
  <c r="AV148" i="9"/>
  <c r="AV150" i="9"/>
  <c r="AV152" i="9"/>
  <c r="AV161" i="9"/>
  <c r="BE45" i="9"/>
  <c r="AQ26" i="9"/>
  <c r="AO36" i="9"/>
  <c r="AO37" i="9"/>
  <c r="AU29" i="9"/>
  <c r="BB126" i="9"/>
  <c r="Z32" i="9"/>
  <c r="AQ35" i="9"/>
  <c r="AO124" i="9"/>
  <c r="AO166" i="9"/>
  <c r="AV28" i="9"/>
  <c r="AU118" i="9"/>
  <c r="AV129" i="9"/>
  <c r="AV127" i="9" s="1"/>
  <c r="AV139" i="9"/>
  <c r="AV160" i="9"/>
  <c r="AV165" i="9"/>
  <c r="BK11" i="9"/>
  <c r="BK18" i="9"/>
  <c r="BK23" i="9"/>
  <c r="BI10" i="9"/>
  <c r="AK23" i="9"/>
  <c r="BB24" i="9"/>
  <c r="AO34" i="9"/>
  <c r="BB34" i="9"/>
  <c r="AI29" i="9"/>
  <c r="AO79" i="9"/>
  <c r="AO80" i="9"/>
  <c r="AO81" i="9"/>
  <c r="AI23" i="9"/>
  <c r="AI92" i="9"/>
  <c r="AO25" i="9"/>
  <c r="BB25" i="9"/>
  <c r="BC23" i="9"/>
  <c r="Z40" i="9"/>
  <c r="Z38" i="9" s="1"/>
  <c r="Z118" i="9"/>
  <c r="AQ23" i="9"/>
  <c r="AK35" i="9"/>
  <c r="AO20" i="9"/>
  <c r="AO21" i="9"/>
  <c r="AO22" i="9"/>
  <c r="AO47" i="9"/>
  <c r="AO77" i="9"/>
  <c r="AI11" i="9"/>
  <c r="AL32" i="9"/>
  <c r="BC34" i="9"/>
  <c r="BC32" i="9" s="1"/>
  <c r="AV34" i="9"/>
  <c r="AV134" i="9"/>
  <c r="BC44" i="9"/>
  <c r="AV30" i="9"/>
  <c r="AO89" i="9"/>
  <c r="AO91" i="9"/>
  <c r="AO103" i="9"/>
  <c r="AO104" i="9"/>
  <c r="AO115" i="9"/>
  <c r="AO119" i="9"/>
  <c r="AO120" i="9"/>
  <c r="AO129" i="9"/>
  <c r="AO130" i="9"/>
  <c r="AO131" i="9"/>
  <c r="AO132" i="9"/>
  <c r="AO134" i="9"/>
  <c r="AO138" i="9"/>
  <c r="AO139" i="9"/>
  <c r="AO144" i="9"/>
  <c r="AO145" i="9"/>
  <c r="AO146" i="9"/>
  <c r="AO148" i="9"/>
  <c r="AO149" i="9"/>
  <c r="AO151" i="9"/>
  <c r="AO152" i="9"/>
  <c r="AO153" i="9"/>
  <c r="AO155" i="9"/>
  <c r="AV89" i="9"/>
  <c r="AV91" i="9"/>
  <c r="AV101" i="9"/>
  <c r="AV131" i="9"/>
  <c r="AV137" i="9"/>
  <c r="AI118" i="9"/>
  <c r="AI117" i="9" s="1"/>
  <c r="AQ11" i="9"/>
  <c r="AV39" i="9"/>
  <c r="AV105" i="9"/>
  <c r="AV130" i="9"/>
  <c r="AV135" i="9"/>
  <c r="AV146" i="9"/>
  <c r="AV149" i="9"/>
  <c r="AV102" i="9"/>
  <c r="AV115" i="9"/>
  <c r="AV132" i="9"/>
  <c r="AV143" i="9"/>
  <c r="AV153" i="9"/>
  <c r="BB163" i="9"/>
  <c r="BD126" i="9"/>
  <c r="BD35" i="9"/>
  <c r="BD40" i="9"/>
  <c r="BD38" i="9" s="1"/>
  <c r="BE38" i="9" s="1"/>
  <c r="BD18" i="9"/>
  <c r="BC29" i="9"/>
  <c r="BE29" i="9" s="1"/>
  <c r="BB40" i="9"/>
  <c r="BB65" i="9"/>
  <c r="BE65" i="9" s="1"/>
  <c r="BB108" i="9"/>
  <c r="BB112" i="9"/>
  <c r="BB11" i="9"/>
  <c r="BB35" i="9"/>
  <c r="BD71" i="9"/>
  <c r="BB18" i="9"/>
  <c r="BB26" i="9"/>
  <c r="BE26" i="9" s="1"/>
  <c r="AU112" i="9"/>
  <c r="AU100" i="9"/>
  <c r="AQ18" i="9"/>
  <c r="AI18" i="9"/>
  <c r="AI38" i="9"/>
  <c r="AK118" i="9"/>
  <c r="AO118" i="9" s="1"/>
  <c r="AO113" i="9"/>
  <c r="AO102" i="9"/>
  <c r="AO24" i="9"/>
  <c r="AQ65" i="22" l="1"/>
  <c r="BE65" i="22" s="1"/>
  <c r="BN172" i="9"/>
  <c r="AO112" i="9"/>
  <c r="AU10" i="9"/>
  <c r="AO100" i="9"/>
  <c r="AV118" i="9"/>
  <c r="BB23" i="9"/>
  <c r="BE117" i="9"/>
  <c r="AO35" i="9"/>
  <c r="BC10" i="9"/>
  <c r="BC172" i="9" s="1"/>
  <c r="AO23" i="9"/>
  <c r="BE18" i="9"/>
  <c r="AO18" i="9"/>
  <c r="BE35" i="9"/>
  <c r="AQ10" i="9"/>
  <c r="BE71" i="9"/>
  <c r="BB44" i="9"/>
  <c r="BE11" i="9"/>
  <c r="BE40" i="9"/>
  <c r="BB99" i="9"/>
  <c r="AI10" i="9"/>
  <c r="BQ93" i="9" l="1"/>
  <c r="BE93" i="9"/>
  <c r="AB93" i="9"/>
  <c r="AF93" i="9" s="1"/>
  <c r="AJ93" i="9" s="1"/>
  <c r="S93" i="9"/>
  <c r="W93" i="9" s="1"/>
  <c r="R93" i="9"/>
  <c r="H93" i="9"/>
  <c r="C93" i="9"/>
  <c r="G93" i="9" s="1"/>
  <c r="AJ183" i="9"/>
  <c r="AF166" i="9"/>
  <c r="AJ166" i="9" s="1"/>
  <c r="AB165" i="9"/>
  <c r="AH164" i="9"/>
  <c r="AH163" i="9" s="1"/>
  <c r="AG164" i="9"/>
  <c r="AG163" i="9" s="1"/>
  <c r="AE164" i="9"/>
  <c r="AE163" i="9" s="1"/>
  <c r="AD164" i="9"/>
  <c r="AD163" i="9" s="1"/>
  <c r="AC164" i="9"/>
  <c r="AC163" i="9" s="1"/>
  <c r="AF155" i="9"/>
  <c r="AJ155" i="9" s="1"/>
  <c r="AF154" i="9"/>
  <c r="AJ154" i="9" s="1"/>
  <c r="AF153" i="9"/>
  <c r="AJ153" i="9" s="1"/>
  <c r="AF152" i="9"/>
  <c r="AJ152" i="9" s="1"/>
  <c r="AF151" i="9"/>
  <c r="AJ151" i="9" s="1"/>
  <c r="AF150" i="9"/>
  <c r="AJ150" i="9" s="1"/>
  <c r="AF149" i="9"/>
  <c r="AJ149" i="9" s="1"/>
  <c r="AF148" i="9"/>
  <c r="AJ148" i="9" s="1"/>
  <c r="AE147" i="9"/>
  <c r="AF147" i="9" s="1"/>
  <c r="AJ147" i="9" s="1"/>
  <c r="AF146" i="9"/>
  <c r="AJ146" i="9" s="1"/>
  <c r="AF145" i="9"/>
  <c r="AJ145" i="9" s="1"/>
  <c r="AF144" i="9"/>
  <c r="AJ144" i="9" s="1"/>
  <c r="AF143" i="9"/>
  <c r="AJ143" i="9" s="1"/>
  <c r="AF142" i="9"/>
  <c r="AJ142" i="9" s="1"/>
  <c r="AF139" i="9"/>
  <c r="AJ139" i="9" s="1"/>
  <c r="AF138" i="9"/>
  <c r="AJ138" i="9" s="1"/>
  <c r="AF137" i="9"/>
  <c r="AJ137" i="9" s="1"/>
  <c r="AF136" i="9"/>
  <c r="AJ136" i="9" s="1"/>
  <c r="AB135" i="9"/>
  <c r="AF134" i="9"/>
  <c r="AJ134" i="9" s="1"/>
  <c r="AF133" i="9"/>
  <c r="AJ133" i="9" s="1"/>
  <c r="AF132" i="9"/>
  <c r="AJ132" i="9" s="1"/>
  <c r="AF131" i="9"/>
  <c r="AJ131" i="9" s="1"/>
  <c r="AF130" i="9"/>
  <c r="AJ130" i="9" s="1"/>
  <c r="AF129" i="9"/>
  <c r="AJ129" i="9" s="1"/>
  <c r="AB128" i="9"/>
  <c r="AF128" i="9" s="1"/>
  <c r="AJ128" i="9" s="1"/>
  <c r="AF124" i="9"/>
  <c r="AJ124" i="9" s="1"/>
  <c r="AB123" i="9"/>
  <c r="AF123" i="9" s="1"/>
  <c r="AJ123" i="9" s="1"/>
  <c r="AF122" i="9"/>
  <c r="AJ122" i="9" s="1"/>
  <c r="AC121" i="9"/>
  <c r="AF120" i="9"/>
  <c r="AJ120" i="9" s="1"/>
  <c r="AF119" i="9"/>
  <c r="AJ119" i="9" s="1"/>
  <c r="AC118" i="9"/>
  <c r="AB118" i="9"/>
  <c r="AE117" i="9"/>
  <c r="AD117" i="9"/>
  <c r="AF115" i="9"/>
  <c r="AJ115" i="9" s="1"/>
  <c r="AF114" i="9"/>
  <c r="AJ114" i="9" s="1"/>
  <c r="AF113" i="9"/>
  <c r="AJ113" i="9" s="1"/>
  <c r="AH112" i="9"/>
  <c r="AG112" i="9"/>
  <c r="AE112" i="9"/>
  <c r="AD112" i="9"/>
  <c r="AC112" i="9"/>
  <c r="AB112" i="9"/>
  <c r="AH111" i="9"/>
  <c r="AG111" i="9"/>
  <c r="AE111" i="9"/>
  <c r="AD111" i="9"/>
  <c r="AC111" i="9"/>
  <c r="AB111" i="9"/>
  <c r="AH110" i="9"/>
  <c r="AG110" i="9"/>
  <c r="AE110" i="9"/>
  <c r="AD110" i="9"/>
  <c r="AC110" i="9"/>
  <c r="AB110" i="9"/>
  <c r="AH109" i="9"/>
  <c r="AG109" i="9"/>
  <c r="AE109" i="9"/>
  <c r="AD109" i="9"/>
  <c r="AC109" i="9"/>
  <c r="AB109" i="9"/>
  <c r="AE107" i="9"/>
  <c r="AE106" i="9" s="1"/>
  <c r="AB107" i="9"/>
  <c r="AB106" i="9" s="1"/>
  <c r="AF105" i="9"/>
  <c r="AJ105" i="9" s="1"/>
  <c r="AF104" i="9"/>
  <c r="AJ104" i="9" s="1"/>
  <c r="AF103" i="9"/>
  <c r="AJ103" i="9" s="1"/>
  <c r="AF102" i="9"/>
  <c r="AJ102" i="9" s="1"/>
  <c r="AF101" i="9"/>
  <c r="AJ101" i="9" s="1"/>
  <c r="AH100" i="9"/>
  <c r="AG100" i="9"/>
  <c r="AE100" i="9"/>
  <c r="AD100" i="9"/>
  <c r="AC100" i="9"/>
  <c r="AB100" i="9"/>
  <c r="AB94" i="9"/>
  <c r="AF91" i="9"/>
  <c r="AJ91" i="9" s="1"/>
  <c r="AH90" i="9"/>
  <c r="AG90" i="9"/>
  <c r="AE90" i="9"/>
  <c r="AD90" i="9"/>
  <c r="AC90" i="9"/>
  <c r="AB90" i="9"/>
  <c r="AF89" i="9"/>
  <c r="AJ89" i="9" s="1"/>
  <c r="AH88" i="9"/>
  <c r="AG88" i="9"/>
  <c r="AE88" i="9"/>
  <c r="AD88" i="9"/>
  <c r="AC88" i="9"/>
  <c r="AB88" i="9"/>
  <c r="AH86" i="9"/>
  <c r="AG86" i="9"/>
  <c r="AE86" i="9"/>
  <c r="AD86" i="9"/>
  <c r="AC86" i="9"/>
  <c r="AB86" i="9"/>
  <c r="AH85" i="9"/>
  <c r="AG85" i="9"/>
  <c r="AE85" i="9"/>
  <c r="AD85" i="9"/>
  <c r="AC85" i="9"/>
  <c r="AB85" i="9"/>
  <c r="AH84" i="9"/>
  <c r="AG84" i="9"/>
  <c r="AE84" i="9"/>
  <c r="AD84" i="9"/>
  <c r="AC84" i="9"/>
  <c r="AB84" i="9"/>
  <c r="AH83" i="9"/>
  <c r="AG83" i="9"/>
  <c r="AE83" i="9"/>
  <c r="AD83" i="9"/>
  <c r="AC83" i="9"/>
  <c r="AB83" i="9"/>
  <c r="AH82" i="9"/>
  <c r="AG82" i="9"/>
  <c r="AE82" i="9"/>
  <c r="AD82" i="9"/>
  <c r="AC82" i="9"/>
  <c r="AB82" i="9"/>
  <c r="AF81" i="9"/>
  <c r="AJ81" i="9" s="1"/>
  <c r="AF80" i="9"/>
  <c r="AJ80" i="9" s="1"/>
  <c r="AF79" i="9"/>
  <c r="AJ79" i="9" s="1"/>
  <c r="AH78" i="9"/>
  <c r="AG78" i="9"/>
  <c r="AE78" i="9"/>
  <c r="AD78" i="9"/>
  <c r="AC78" i="9"/>
  <c r="AB78" i="9"/>
  <c r="AF77" i="9"/>
  <c r="AJ77" i="9" s="1"/>
  <c r="AF76" i="9"/>
  <c r="AJ76" i="9" s="1"/>
  <c r="AH75" i="9"/>
  <c r="AG75" i="9"/>
  <c r="AE75" i="9"/>
  <c r="AD75" i="9"/>
  <c r="AC75" i="9"/>
  <c r="AB75" i="9"/>
  <c r="AH74" i="9"/>
  <c r="AG74" i="9"/>
  <c r="AE74" i="9"/>
  <c r="AD74" i="9"/>
  <c r="AC74" i="9"/>
  <c r="AB74" i="9"/>
  <c r="AH73" i="9"/>
  <c r="AG73" i="9"/>
  <c r="AE73" i="9"/>
  <c r="AD73" i="9"/>
  <c r="AC73" i="9"/>
  <c r="AB73" i="9"/>
  <c r="AH72" i="9"/>
  <c r="AG72" i="9"/>
  <c r="AE72" i="9"/>
  <c r="AD72" i="9"/>
  <c r="AC72" i="9"/>
  <c r="AB72" i="9"/>
  <c r="AH70" i="9"/>
  <c r="AG70" i="9"/>
  <c r="AE70" i="9"/>
  <c r="AD70" i="9"/>
  <c r="AC70" i="9"/>
  <c r="AB70" i="9"/>
  <c r="AF69" i="9"/>
  <c r="AJ69" i="9" s="1"/>
  <c r="AH68" i="9"/>
  <c r="AG68" i="9"/>
  <c r="AE68" i="9"/>
  <c r="AD68" i="9"/>
  <c r="AC68" i="9"/>
  <c r="AB68" i="9"/>
  <c r="AH67" i="9"/>
  <c r="AG67" i="9"/>
  <c r="AE67" i="9"/>
  <c r="AD67" i="9"/>
  <c r="AC67" i="9"/>
  <c r="AB67" i="9"/>
  <c r="AH66" i="9"/>
  <c r="AG66" i="9"/>
  <c r="AE66" i="9"/>
  <c r="AD66" i="9"/>
  <c r="AC66" i="9"/>
  <c r="AB66" i="9"/>
  <c r="AH64" i="9"/>
  <c r="AG64" i="9"/>
  <c r="AE64" i="9"/>
  <c r="AD64" i="9"/>
  <c r="AC64" i="9"/>
  <c r="AH63" i="9"/>
  <c r="AG63" i="9"/>
  <c r="AE63" i="9"/>
  <c r="AD63" i="9"/>
  <c r="AC63" i="9"/>
  <c r="AB63" i="9"/>
  <c r="AH62" i="9"/>
  <c r="AG62" i="9"/>
  <c r="AE62" i="9"/>
  <c r="AD62" i="9"/>
  <c r="AC62" i="9"/>
  <c r="AB62" i="9"/>
  <c r="AH61" i="9"/>
  <c r="AG61" i="9"/>
  <c r="AE61" i="9"/>
  <c r="AD61" i="9"/>
  <c r="AC61" i="9"/>
  <c r="AB61" i="9"/>
  <c r="AF60" i="9"/>
  <c r="AJ60" i="9" s="1"/>
  <c r="AH59" i="9"/>
  <c r="AG59" i="9"/>
  <c r="AE59" i="9"/>
  <c r="AD59" i="9"/>
  <c r="AC59" i="9"/>
  <c r="AB59" i="9"/>
  <c r="AH58" i="9"/>
  <c r="AG58" i="9"/>
  <c r="AE58" i="9"/>
  <c r="AD58" i="9"/>
  <c r="AC58" i="9"/>
  <c r="AB58" i="9"/>
  <c r="AH57" i="9"/>
  <c r="AG57" i="9"/>
  <c r="AE57" i="9"/>
  <c r="AD57" i="9"/>
  <c r="AC57" i="9"/>
  <c r="AB57" i="9"/>
  <c r="AH56" i="9"/>
  <c r="AG56" i="9"/>
  <c r="AE56" i="9"/>
  <c r="AD56" i="9"/>
  <c r="AC56" i="9"/>
  <c r="AB56" i="9"/>
  <c r="AH55" i="9"/>
  <c r="AG55" i="9"/>
  <c r="AE55" i="9"/>
  <c r="AD55" i="9"/>
  <c r="AC55" i="9"/>
  <c r="AB55" i="9"/>
  <c r="AH54" i="9"/>
  <c r="AG54" i="9"/>
  <c r="AH53" i="9"/>
  <c r="AG53" i="9"/>
  <c r="AE53" i="9"/>
  <c r="AD53" i="9"/>
  <c r="AC53" i="9"/>
  <c r="AB53" i="9"/>
  <c r="AH52" i="9"/>
  <c r="AG52" i="9"/>
  <c r="AE52" i="9"/>
  <c r="AD52" i="9"/>
  <c r="AC52" i="9"/>
  <c r="AB52" i="9"/>
  <c r="AH51" i="9"/>
  <c r="AG51" i="9"/>
  <c r="AE51" i="9"/>
  <c r="AD51" i="9"/>
  <c r="AC51" i="9"/>
  <c r="AB51" i="9"/>
  <c r="AH50" i="9"/>
  <c r="AG50" i="9"/>
  <c r="AE50" i="9"/>
  <c r="AD50" i="9"/>
  <c r="AC50" i="9"/>
  <c r="AB50" i="9"/>
  <c r="AH49" i="9"/>
  <c r="AG49" i="9"/>
  <c r="AE49" i="9"/>
  <c r="AD49" i="9"/>
  <c r="AC49" i="9"/>
  <c r="AB49" i="9"/>
  <c r="AH48" i="9"/>
  <c r="AG48" i="9"/>
  <c r="AE48" i="9"/>
  <c r="AD48" i="9"/>
  <c r="AC48" i="9"/>
  <c r="AB48" i="9"/>
  <c r="AF47" i="9"/>
  <c r="AJ47" i="9" s="1"/>
  <c r="AH46" i="9"/>
  <c r="AG46" i="9"/>
  <c r="AE46" i="9"/>
  <c r="AD46" i="9"/>
  <c r="AC46" i="9"/>
  <c r="AB46" i="9"/>
  <c r="AF42" i="9"/>
  <c r="AJ42" i="9" s="1"/>
  <c r="AB41" i="9"/>
  <c r="AH40" i="9"/>
  <c r="AG40" i="9"/>
  <c r="AE40" i="9"/>
  <c r="AD40" i="9"/>
  <c r="AC40" i="9"/>
  <c r="AH38" i="9"/>
  <c r="AG38" i="9"/>
  <c r="AE38" i="9"/>
  <c r="AD38" i="9"/>
  <c r="AC38" i="9"/>
  <c r="AB38" i="9"/>
  <c r="AF37" i="9"/>
  <c r="AF36" i="9"/>
  <c r="AJ36" i="9" s="1"/>
  <c r="AH35" i="9"/>
  <c r="AG35" i="9"/>
  <c r="AE35" i="9"/>
  <c r="AD35" i="9"/>
  <c r="AC35" i="9"/>
  <c r="AB35" i="9"/>
  <c r="AF34" i="9"/>
  <c r="AJ34" i="9" s="1"/>
  <c r="AB33" i="9"/>
  <c r="AH32" i="9"/>
  <c r="AG32" i="9"/>
  <c r="AE32" i="9"/>
  <c r="AD32" i="9"/>
  <c r="AC32" i="9"/>
  <c r="AB31" i="9"/>
  <c r="AF31" i="9" s="1"/>
  <c r="AJ31" i="9" s="1"/>
  <c r="AH29" i="9"/>
  <c r="AG29" i="9"/>
  <c r="AE29" i="9"/>
  <c r="AD29" i="9"/>
  <c r="AC29" i="9"/>
  <c r="AF28" i="9"/>
  <c r="AJ28" i="9" s="1"/>
  <c r="AH26" i="9"/>
  <c r="AG26" i="9"/>
  <c r="AE26" i="9"/>
  <c r="AD26" i="9"/>
  <c r="AC26" i="9"/>
  <c r="AF25" i="9"/>
  <c r="AJ25" i="9" s="1"/>
  <c r="AF24" i="9"/>
  <c r="AJ24" i="9" s="1"/>
  <c r="AH23" i="9"/>
  <c r="AG23" i="9"/>
  <c r="AE23" i="9"/>
  <c r="AD23" i="9"/>
  <c r="AC23" i="9"/>
  <c r="AB23" i="9"/>
  <c r="AF22" i="9"/>
  <c r="AJ22" i="9" s="1"/>
  <c r="AF21" i="9"/>
  <c r="AJ21" i="9" s="1"/>
  <c r="AF20" i="9"/>
  <c r="AJ20" i="9" s="1"/>
  <c r="AF19" i="9"/>
  <c r="AJ19" i="9" s="1"/>
  <c r="AH18" i="9"/>
  <c r="AG18" i="9"/>
  <c r="AE18" i="9"/>
  <c r="AD18" i="9"/>
  <c r="AC18" i="9"/>
  <c r="AB18" i="9"/>
  <c r="AF15" i="9"/>
  <c r="AJ15" i="9" s="1"/>
  <c r="AF13" i="9"/>
  <c r="AJ13" i="9" s="1"/>
  <c r="AH11" i="9"/>
  <c r="AG11" i="9"/>
  <c r="V72" i="9"/>
  <c r="U72" i="9"/>
  <c r="T72" i="9"/>
  <c r="S72" i="9"/>
  <c r="V70" i="9"/>
  <c r="U70" i="9"/>
  <c r="T70" i="9"/>
  <c r="S70" i="9"/>
  <c r="V66" i="9"/>
  <c r="U66" i="9"/>
  <c r="T66" i="9"/>
  <c r="S66" i="9"/>
  <c r="V58" i="9"/>
  <c r="U58" i="9"/>
  <c r="T58" i="9"/>
  <c r="V57" i="9"/>
  <c r="U57" i="9"/>
  <c r="T57" i="9"/>
  <c r="S58" i="9"/>
  <c r="S57" i="9"/>
  <c r="U54" i="9"/>
  <c r="AM54" i="9" s="1"/>
  <c r="T54" i="9"/>
  <c r="AL54" i="9" s="1"/>
  <c r="W166" i="9"/>
  <c r="W155" i="9"/>
  <c r="W154" i="9"/>
  <c r="AA154" i="9" s="1"/>
  <c r="W153" i="9"/>
  <c r="AA153" i="9" s="1"/>
  <c r="W152" i="9"/>
  <c r="AA152" i="9" s="1"/>
  <c r="W151" i="9"/>
  <c r="AA151" i="9" s="1"/>
  <c r="W150" i="9"/>
  <c r="AA150" i="9" s="1"/>
  <c r="W149" i="9"/>
  <c r="AA149" i="9" s="1"/>
  <c r="W148" i="9"/>
  <c r="AA148" i="9" s="1"/>
  <c r="W146" i="9"/>
  <c r="AA146" i="9" s="1"/>
  <c r="W145" i="9"/>
  <c r="AA145" i="9" s="1"/>
  <c r="W144" i="9"/>
  <c r="AA144" i="9" s="1"/>
  <c r="W143" i="9"/>
  <c r="AA143" i="9" s="1"/>
  <c r="W142" i="9"/>
  <c r="AA142" i="9" s="1"/>
  <c r="W139" i="9"/>
  <c r="AA139" i="9" s="1"/>
  <c r="W138" i="9"/>
  <c r="AA138" i="9" s="1"/>
  <c r="W137" i="9"/>
  <c r="AA137" i="9" s="1"/>
  <c r="W136" i="9"/>
  <c r="AA136" i="9" s="1"/>
  <c r="W134" i="9"/>
  <c r="AA134" i="9" s="1"/>
  <c r="W133" i="9"/>
  <c r="AA133" i="9" s="1"/>
  <c r="W132" i="9"/>
  <c r="AA132" i="9" s="1"/>
  <c r="W131" i="9"/>
  <c r="AA131" i="9" s="1"/>
  <c r="W130" i="9"/>
  <c r="AA130" i="9" s="1"/>
  <c r="W129" i="9"/>
  <c r="AA129" i="9" s="1"/>
  <c r="W124" i="9"/>
  <c r="AA124" i="9" s="1"/>
  <c r="W122" i="9"/>
  <c r="AA122" i="9" s="1"/>
  <c r="W120" i="9"/>
  <c r="AA120" i="9" s="1"/>
  <c r="W119" i="9"/>
  <c r="AA119" i="9" s="1"/>
  <c r="W115" i="9"/>
  <c r="AA115" i="9" s="1"/>
  <c r="W114" i="9"/>
  <c r="AA114" i="9" s="1"/>
  <c r="W113" i="9"/>
  <c r="AA113" i="9" s="1"/>
  <c r="W105" i="9"/>
  <c r="AA105" i="9" s="1"/>
  <c r="W104" i="9"/>
  <c r="AA104" i="9" s="1"/>
  <c r="W103" i="9"/>
  <c r="AA103" i="9" s="1"/>
  <c r="W102" i="9"/>
  <c r="AA102" i="9" s="1"/>
  <c r="W101" i="9"/>
  <c r="AA101" i="9" s="1"/>
  <c r="W91" i="9"/>
  <c r="AA91" i="9" s="1"/>
  <c r="W89" i="9"/>
  <c r="AA89" i="9" s="1"/>
  <c r="W81" i="9"/>
  <c r="AA81" i="9" s="1"/>
  <c r="W80" i="9"/>
  <c r="AA80" i="9" s="1"/>
  <c r="W79" i="9"/>
  <c r="AA79" i="9" s="1"/>
  <c r="W77" i="9"/>
  <c r="AA77" i="9" s="1"/>
  <c r="W76" i="9"/>
  <c r="AA76" i="9" s="1"/>
  <c r="W69" i="9"/>
  <c r="AA69" i="9" s="1"/>
  <c r="W60" i="9"/>
  <c r="AA60" i="9" s="1"/>
  <c r="W47" i="9"/>
  <c r="W42" i="9"/>
  <c r="AA42" i="9" s="1"/>
  <c r="W37" i="9"/>
  <c r="AA37" i="9" s="1"/>
  <c r="W36" i="9"/>
  <c r="AA36" i="9" s="1"/>
  <c r="W34" i="9"/>
  <c r="AA34" i="9" s="1"/>
  <c r="W28" i="9"/>
  <c r="AA28" i="9" s="1"/>
  <c r="W25" i="9"/>
  <c r="AA25" i="9" s="1"/>
  <c r="W24" i="9"/>
  <c r="AA24" i="9" s="1"/>
  <c r="W22" i="9"/>
  <c r="AA22" i="9" s="1"/>
  <c r="W21" i="9"/>
  <c r="AA21" i="9" s="1"/>
  <c r="W20" i="9"/>
  <c r="AA20" i="9" s="1"/>
  <c r="W19" i="9"/>
  <c r="AA15" i="9"/>
  <c r="AA14" i="9"/>
  <c r="V49" i="9"/>
  <c r="U49" i="9"/>
  <c r="T49" i="9"/>
  <c r="Y112" i="9"/>
  <c r="Y111" i="9"/>
  <c r="Y110" i="9"/>
  <c r="Y109" i="9"/>
  <c r="Y100" i="9"/>
  <c r="Y90" i="9"/>
  <c r="Y88" i="9"/>
  <c r="Y86" i="9"/>
  <c r="Y85" i="9"/>
  <c r="Y84" i="9"/>
  <c r="Y83" i="9"/>
  <c r="Y82" i="9"/>
  <c r="Y78" i="9"/>
  <c r="Y75" i="9"/>
  <c r="Y74" i="9"/>
  <c r="Y73" i="9"/>
  <c r="Y72" i="9"/>
  <c r="Y40" i="9"/>
  <c r="Y38" i="9"/>
  <c r="Y35" i="9"/>
  <c r="Y32" i="9"/>
  <c r="Y29" i="9"/>
  <c r="Y26" i="9"/>
  <c r="Y23" i="9"/>
  <c r="X164" i="9"/>
  <c r="X163" i="9" s="1"/>
  <c r="X112" i="9"/>
  <c r="X111" i="9"/>
  <c r="X110" i="9"/>
  <c r="X109" i="9"/>
  <c r="X100" i="9"/>
  <c r="X90" i="9"/>
  <c r="X88" i="9"/>
  <c r="X86" i="9"/>
  <c r="X85" i="9"/>
  <c r="X84" i="9"/>
  <c r="X83" i="9"/>
  <c r="X82" i="9"/>
  <c r="X78" i="9"/>
  <c r="X75" i="9"/>
  <c r="X74" i="9"/>
  <c r="X73" i="9"/>
  <c r="X72" i="9"/>
  <c r="X40" i="9"/>
  <c r="X38" i="9"/>
  <c r="X35" i="9"/>
  <c r="X32" i="9"/>
  <c r="X29" i="9"/>
  <c r="X26" i="9"/>
  <c r="X23" i="9"/>
  <c r="X18" i="9"/>
  <c r="X11" i="9"/>
  <c r="AA183" i="9"/>
  <c r="V164" i="9"/>
  <c r="V163" i="9" s="1"/>
  <c r="U164" i="9"/>
  <c r="U163" i="9" s="1"/>
  <c r="T164" i="9"/>
  <c r="T163" i="9" s="1"/>
  <c r="V147" i="9"/>
  <c r="V126" i="9" s="1"/>
  <c r="S135" i="9"/>
  <c r="S128" i="9"/>
  <c r="S123" i="9"/>
  <c r="T121" i="9"/>
  <c r="T118" i="9"/>
  <c r="S118" i="9"/>
  <c r="V117" i="9"/>
  <c r="U117" i="9"/>
  <c r="V112" i="9"/>
  <c r="U112" i="9"/>
  <c r="T112" i="9"/>
  <c r="S112" i="9"/>
  <c r="V111" i="9"/>
  <c r="U111" i="9"/>
  <c r="T111" i="9"/>
  <c r="S111" i="9"/>
  <c r="V110" i="9"/>
  <c r="U110" i="9"/>
  <c r="T110" i="9"/>
  <c r="S110" i="9"/>
  <c r="V109" i="9"/>
  <c r="U109" i="9"/>
  <c r="T109" i="9"/>
  <c r="S109" i="9"/>
  <c r="V107" i="9"/>
  <c r="S107" i="9"/>
  <c r="V100" i="9"/>
  <c r="U100" i="9"/>
  <c r="T100" i="9"/>
  <c r="S100" i="9"/>
  <c r="S94" i="9"/>
  <c r="V90" i="9"/>
  <c r="U90" i="9"/>
  <c r="T90" i="9"/>
  <c r="S90" i="9"/>
  <c r="V88" i="9"/>
  <c r="U88" i="9"/>
  <c r="T88" i="9"/>
  <c r="S88" i="9"/>
  <c r="V86" i="9"/>
  <c r="U86" i="9"/>
  <c r="T86" i="9"/>
  <c r="S86" i="9"/>
  <c r="V85" i="9"/>
  <c r="U85" i="9"/>
  <c r="T85" i="9"/>
  <c r="S85" i="9"/>
  <c r="V84" i="9"/>
  <c r="U84" i="9"/>
  <c r="T84" i="9"/>
  <c r="S84" i="9"/>
  <c r="V83" i="9"/>
  <c r="U83" i="9"/>
  <c r="T83" i="9"/>
  <c r="S83" i="9"/>
  <c r="V82" i="9"/>
  <c r="U82" i="9"/>
  <c r="T82" i="9"/>
  <c r="S82" i="9"/>
  <c r="V78" i="9"/>
  <c r="U78" i="9"/>
  <c r="T78" i="9"/>
  <c r="S78" i="9"/>
  <c r="V75" i="9"/>
  <c r="U75" i="9"/>
  <c r="T75" i="9"/>
  <c r="S75" i="9"/>
  <c r="V74" i="9"/>
  <c r="U74" i="9"/>
  <c r="T74" i="9"/>
  <c r="S74" i="9"/>
  <c r="V73" i="9"/>
  <c r="U73" i="9"/>
  <c r="T73" i="9"/>
  <c r="S73" i="9"/>
  <c r="V68" i="9"/>
  <c r="U68" i="9"/>
  <c r="T68" i="9"/>
  <c r="S68" i="9"/>
  <c r="V67" i="9"/>
  <c r="U67" i="9"/>
  <c r="T67" i="9"/>
  <c r="S67" i="9"/>
  <c r="V64" i="9"/>
  <c r="U64" i="9"/>
  <c r="T64" i="9"/>
  <c r="S64" i="9"/>
  <c r="V63" i="9"/>
  <c r="U63" i="9"/>
  <c r="T63" i="9"/>
  <c r="S63" i="9"/>
  <c r="V62" i="9"/>
  <c r="U62" i="9"/>
  <c r="T62" i="9"/>
  <c r="S62" i="9"/>
  <c r="V61" i="9"/>
  <c r="U61" i="9"/>
  <c r="T61" i="9"/>
  <c r="S61" i="9"/>
  <c r="V59" i="9"/>
  <c r="U59" i="9"/>
  <c r="T59" i="9"/>
  <c r="S59" i="9"/>
  <c r="V56" i="9"/>
  <c r="U56" i="9"/>
  <c r="T56" i="9"/>
  <c r="S56" i="9"/>
  <c r="V55" i="9"/>
  <c r="U55" i="9"/>
  <c r="T55" i="9"/>
  <c r="S55" i="9"/>
  <c r="V53" i="9"/>
  <c r="U53" i="9"/>
  <c r="T53" i="9"/>
  <c r="S53" i="9"/>
  <c r="V52" i="9"/>
  <c r="U52" i="9"/>
  <c r="T52" i="9"/>
  <c r="S52" i="9"/>
  <c r="V51" i="9"/>
  <c r="U51" i="9"/>
  <c r="T51" i="9"/>
  <c r="S51" i="9"/>
  <c r="V50" i="9"/>
  <c r="U50" i="9"/>
  <c r="T50" i="9"/>
  <c r="S50" i="9"/>
  <c r="V48" i="9"/>
  <c r="U48" i="9"/>
  <c r="T48" i="9"/>
  <c r="S48" i="9"/>
  <c r="V46" i="9"/>
  <c r="U46" i="9"/>
  <c r="T46" i="9"/>
  <c r="S46" i="9"/>
  <c r="V40" i="9"/>
  <c r="U40" i="9"/>
  <c r="T40" i="9"/>
  <c r="V38" i="9"/>
  <c r="U38" i="9"/>
  <c r="T38" i="9"/>
  <c r="S38" i="9"/>
  <c r="V35" i="9"/>
  <c r="U35" i="9"/>
  <c r="T35" i="9"/>
  <c r="S35" i="9"/>
  <c r="S33" i="9"/>
  <c r="V32" i="9"/>
  <c r="U32" i="9"/>
  <c r="T32" i="9"/>
  <c r="S31" i="9"/>
  <c r="V29" i="9"/>
  <c r="U29" i="9"/>
  <c r="T29" i="9"/>
  <c r="V26" i="9"/>
  <c r="U26" i="9"/>
  <c r="T26" i="9"/>
  <c r="V23" i="9"/>
  <c r="U23" i="9"/>
  <c r="T23" i="9"/>
  <c r="S23" i="9"/>
  <c r="V18" i="9"/>
  <c r="U18" i="9"/>
  <c r="T18" i="9"/>
  <c r="S18" i="9"/>
  <c r="AM17" i="9"/>
  <c r="F412" i="4"/>
  <c r="E412" i="4"/>
  <c r="D412" i="4"/>
  <c r="D410" i="4" s="1"/>
  <c r="C412" i="4"/>
  <c r="C410" i="4" s="1"/>
  <c r="G410" i="4" s="1"/>
  <c r="F402" i="4"/>
  <c r="E402" i="4"/>
  <c r="D402" i="4"/>
  <c r="C402" i="4"/>
  <c r="F401" i="4"/>
  <c r="E401" i="4"/>
  <c r="D401" i="4"/>
  <c r="C401" i="4"/>
  <c r="F400" i="4"/>
  <c r="F399" i="4" s="1"/>
  <c r="E400" i="4"/>
  <c r="E399" i="4" s="1"/>
  <c r="D400" i="4"/>
  <c r="C400" i="4"/>
  <c r="F398" i="4"/>
  <c r="E398" i="4"/>
  <c r="E397" i="4" s="1"/>
  <c r="D398" i="4"/>
  <c r="D397" i="4" s="1"/>
  <c r="C398" i="4"/>
  <c r="C397" i="4" s="1"/>
  <c r="F382" i="4"/>
  <c r="E382" i="4"/>
  <c r="D382" i="4"/>
  <c r="C382" i="4"/>
  <c r="F381" i="4"/>
  <c r="E381" i="4"/>
  <c r="D381" i="4"/>
  <c r="C381" i="4"/>
  <c r="F380" i="4"/>
  <c r="E380" i="4"/>
  <c r="D380" i="4"/>
  <c r="C380" i="4"/>
  <c r="F379" i="4"/>
  <c r="E379" i="4"/>
  <c r="D379" i="4"/>
  <c r="C379" i="4"/>
  <c r="F377" i="4"/>
  <c r="E377" i="4"/>
  <c r="D377" i="4"/>
  <c r="C377" i="4"/>
  <c r="F376" i="4"/>
  <c r="E376" i="4"/>
  <c r="D376" i="4"/>
  <c r="C376" i="4"/>
  <c r="F375" i="4"/>
  <c r="E375" i="4"/>
  <c r="D375" i="4"/>
  <c r="C375" i="4"/>
  <c r="F374" i="4"/>
  <c r="E374" i="4"/>
  <c r="D374" i="4"/>
  <c r="C374" i="4"/>
  <c r="F373" i="4"/>
  <c r="E373" i="4"/>
  <c r="D373" i="4"/>
  <c r="C373" i="4"/>
  <c r="F372" i="4"/>
  <c r="E372" i="4"/>
  <c r="D372" i="4"/>
  <c r="C372" i="4"/>
  <c r="F371" i="4"/>
  <c r="E371" i="4"/>
  <c r="D371" i="4"/>
  <c r="C371" i="4"/>
  <c r="F370" i="4"/>
  <c r="E370" i="4"/>
  <c r="D370" i="4"/>
  <c r="C370" i="4"/>
  <c r="F369" i="4"/>
  <c r="E369" i="4"/>
  <c r="D369" i="4"/>
  <c r="C369" i="4"/>
  <c r="F368" i="4"/>
  <c r="E368" i="4"/>
  <c r="D368" i="4"/>
  <c r="C368" i="4"/>
  <c r="F367" i="4"/>
  <c r="E367" i="4"/>
  <c r="D367" i="4"/>
  <c r="C367" i="4"/>
  <c r="F366" i="4"/>
  <c r="E366" i="4"/>
  <c r="D366" i="4"/>
  <c r="C366" i="4"/>
  <c r="F365" i="4"/>
  <c r="E365" i="4"/>
  <c r="D365" i="4"/>
  <c r="C365" i="4"/>
  <c r="F364" i="4"/>
  <c r="E364" i="4"/>
  <c r="D364" i="4"/>
  <c r="C364" i="4"/>
  <c r="F363" i="4"/>
  <c r="F362" i="4" s="1"/>
  <c r="E363" i="4"/>
  <c r="D363" i="4"/>
  <c r="C363" i="4"/>
  <c r="F361" i="4"/>
  <c r="E361" i="4"/>
  <c r="D361" i="4"/>
  <c r="F360" i="4"/>
  <c r="E360" i="4"/>
  <c r="D360" i="4"/>
  <c r="F359" i="4"/>
  <c r="E359" i="4"/>
  <c r="D359" i="4"/>
  <c r="F358" i="4"/>
  <c r="E358" i="4"/>
  <c r="D358" i="4"/>
  <c r="F357" i="4"/>
  <c r="E357" i="4"/>
  <c r="D357" i="4"/>
  <c r="C361" i="4"/>
  <c r="C360" i="4"/>
  <c r="C359" i="4"/>
  <c r="C358" i="4"/>
  <c r="C357" i="4"/>
  <c r="F355" i="4"/>
  <c r="E355" i="4"/>
  <c r="D355" i="4"/>
  <c r="F354" i="4"/>
  <c r="E354" i="4"/>
  <c r="D354" i="4"/>
  <c r="F353" i="4"/>
  <c r="E353" i="4"/>
  <c r="D353" i="4"/>
  <c r="F352" i="4"/>
  <c r="E352" i="4"/>
  <c r="D352" i="4"/>
  <c r="F351" i="4"/>
  <c r="E351" i="4"/>
  <c r="D351" i="4"/>
  <c r="F350" i="4"/>
  <c r="E350" i="4"/>
  <c r="D350" i="4"/>
  <c r="F349" i="4"/>
  <c r="E349" i="4"/>
  <c r="D349" i="4"/>
  <c r="F348" i="4"/>
  <c r="E348" i="4"/>
  <c r="D348" i="4"/>
  <c r="F347" i="4"/>
  <c r="E347" i="4"/>
  <c r="D347" i="4"/>
  <c r="F346" i="4"/>
  <c r="E346" i="4"/>
  <c r="D346" i="4"/>
  <c r="E345" i="4"/>
  <c r="D345" i="4"/>
  <c r="F344" i="4"/>
  <c r="E344" i="4"/>
  <c r="D344" i="4"/>
  <c r="F343" i="4"/>
  <c r="E343" i="4"/>
  <c r="D343" i="4"/>
  <c r="F342" i="4"/>
  <c r="E342" i="4"/>
  <c r="D342" i="4"/>
  <c r="F341" i="4"/>
  <c r="E341" i="4"/>
  <c r="D341" i="4"/>
  <c r="F340" i="4"/>
  <c r="E340" i="4"/>
  <c r="D340" i="4"/>
  <c r="F339" i="4"/>
  <c r="E339" i="4"/>
  <c r="D339" i="4"/>
  <c r="F338" i="4"/>
  <c r="E338" i="4"/>
  <c r="D338" i="4"/>
  <c r="F337" i="4"/>
  <c r="E337" i="4"/>
  <c r="D337" i="4"/>
  <c r="C353" i="4"/>
  <c r="C352" i="4"/>
  <c r="C351" i="4"/>
  <c r="C350" i="4"/>
  <c r="C349" i="4"/>
  <c r="C347" i="4"/>
  <c r="C346" i="4"/>
  <c r="C344" i="4"/>
  <c r="C343" i="4"/>
  <c r="C342" i="4"/>
  <c r="C341" i="4"/>
  <c r="C339" i="4"/>
  <c r="C338" i="4"/>
  <c r="C337" i="4"/>
  <c r="G426" i="4"/>
  <c r="G425" i="4" s="1"/>
  <c r="G424" i="4" s="1"/>
  <c r="F425" i="4"/>
  <c r="F424" i="4" s="1"/>
  <c r="E425" i="4"/>
  <c r="E424" i="4" s="1"/>
  <c r="D425" i="4"/>
  <c r="D424" i="4" s="1"/>
  <c r="C425" i="4"/>
  <c r="C424" i="4" s="1"/>
  <c r="G415" i="4"/>
  <c r="G414" i="4"/>
  <c r="F413" i="4"/>
  <c r="F409" i="4" s="1"/>
  <c r="E413" i="4"/>
  <c r="D413" i="4"/>
  <c r="C413" i="4"/>
  <c r="G411" i="4"/>
  <c r="D403" i="4"/>
  <c r="G403" i="4" s="1"/>
  <c r="G396" i="4"/>
  <c r="G395" i="4"/>
  <c r="G394" i="4"/>
  <c r="G393" i="4"/>
  <c r="G390" i="4"/>
  <c r="G389" i="4"/>
  <c r="G388" i="4"/>
  <c r="G387" i="4"/>
  <c r="G386" i="4"/>
  <c r="G385" i="4"/>
  <c r="G383" i="4" s="1"/>
  <c r="G384" i="4"/>
  <c r="C383" i="4"/>
  <c r="N146" i="9"/>
  <c r="P155" i="9"/>
  <c r="P147" i="9" s="1"/>
  <c r="P126" i="9" s="1"/>
  <c r="P172" i="9" s="1"/>
  <c r="N155" i="9"/>
  <c r="L131" i="9"/>
  <c r="K89" i="9"/>
  <c r="J89" i="9"/>
  <c r="I89" i="9"/>
  <c r="H89" i="9"/>
  <c r="K74" i="9"/>
  <c r="J74" i="9"/>
  <c r="I74" i="9"/>
  <c r="H74" i="9"/>
  <c r="K63" i="9"/>
  <c r="J63" i="9"/>
  <c r="I63" i="9"/>
  <c r="H63" i="9"/>
  <c r="L42" i="9"/>
  <c r="G42" i="9"/>
  <c r="L37" i="9"/>
  <c r="L34" i="9"/>
  <c r="G34" i="9"/>
  <c r="L31" i="9"/>
  <c r="L28" i="9"/>
  <c r="L25" i="9"/>
  <c r="AN51" i="9" l="1"/>
  <c r="AN53" i="9"/>
  <c r="AN55" i="9"/>
  <c r="AN59" i="9"/>
  <c r="AM51" i="9"/>
  <c r="AM53" i="9"/>
  <c r="AM55" i="9"/>
  <c r="AM59" i="9"/>
  <c r="E362" i="4"/>
  <c r="R155" i="9"/>
  <c r="E378" i="4"/>
  <c r="N142" i="9"/>
  <c r="R146" i="9"/>
  <c r="AW146" i="9" s="1"/>
  <c r="G398" i="4"/>
  <c r="G397" i="4" s="1"/>
  <c r="AM90" i="9"/>
  <c r="E336" i="4"/>
  <c r="G366" i="4"/>
  <c r="D409" i="4"/>
  <c r="AN74" i="9"/>
  <c r="AN90" i="9"/>
  <c r="AK110" i="9"/>
  <c r="AM74" i="9"/>
  <c r="AN110" i="9"/>
  <c r="AN62" i="9"/>
  <c r="AN67" i="9"/>
  <c r="AN85" i="9"/>
  <c r="AK90" i="9"/>
  <c r="AN64" i="9"/>
  <c r="AN83" i="9"/>
  <c r="AN88" i="9"/>
  <c r="D362" i="4"/>
  <c r="D399" i="4"/>
  <c r="D392" i="4" s="1"/>
  <c r="D378" i="4"/>
  <c r="G347" i="4"/>
  <c r="G349" i="4"/>
  <c r="G351" i="4"/>
  <c r="G355" i="4"/>
  <c r="F66" i="5" s="1"/>
  <c r="G361" i="4"/>
  <c r="G370" i="4"/>
  <c r="AK70" i="9"/>
  <c r="G339" i="4"/>
  <c r="G357" i="4"/>
  <c r="G358" i="4"/>
  <c r="AL62" i="9"/>
  <c r="AL64" i="9"/>
  <c r="AL67" i="9"/>
  <c r="AL83" i="9"/>
  <c r="AL85" i="9"/>
  <c r="AK58" i="9"/>
  <c r="G374" i="4"/>
  <c r="G343" i="4"/>
  <c r="F378" i="4"/>
  <c r="G341" i="4"/>
  <c r="G379" i="4"/>
  <c r="G402" i="4"/>
  <c r="F397" i="4"/>
  <c r="F392" i="4" s="1"/>
  <c r="AM48" i="9"/>
  <c r="AM50" i="9"/>
  <c r="AM52" i="9"/>
  <c r="AM56" i="9"/>
  <c r="AM73" i="9"/>
  <c r="AM75" i="9"/>
  <c r="AM78" i="9"/>
  <c r="AN111" i="9"/>
  <c r="G337" i="4"/>
  <c r="D336" i="4"/>
  <c r="G353" i="4"/>
  <c r="G359" i="4"/>
  <c r="G363" i="4"/>
  <c r="G365" i="4"/>
  <c r="G368" i="4"/>
  <c r="G372" i="4"/>
  <c r="G376" i="4"/>
  <c r="G377" i="4"/>
  <c r="G381" i="4"/>
  <c r="G401" i="4"/>
  <c r="C356" i="4"/>
  <c r="E356" i="4"/>
  <c r="F356" i="4"/>
  <c r="G360" i="4"/>
  <c r="G364" i="4"/>
  <c r="G367" i="4"/>
  <c r="G369" i="4"/>
  <c r="G371" i="4"/>
  <c r="G373" i="4"/>
  <c r="G375" i="4"/>
  <c r="G380" i="4"/>
  <c r="G400" i="4"/>
  <c r="C378" i="4"/>
  <c r="AL48" i="9"/>
  <c r="AL50" i="9"/>
  <c r="AL52" i="9"/>
  <c r="AL56" i="9"/>
  <c r="AL73" i="9"/>
  <c r="AL75" i="9"/>
  <c r="AL78" i="9"/>
  <c r="AM109" i="9"/>
  <c r="AM111" i="9"/>
  <c r="AK57" i="9"/>
  <c r="AN57" i="9"/>
  <c r="AK66" i="9"/>
  <c r="AK72" i="9"/>
  <c r="AI109" i="9"/>
  <c r="AI111" i="9"/>
  <c r="AM62" i="9"/>
  <c r="AM64" i="9"/>
  <c r="AM67" i="9"/>
  <c r="AM83" i="9"/>
  <c r="AM85" i="9"/>
  <c r="AM88" i="9"/>
  <c r="AK135" i="9"/>
  <c r="AO135" i="9" s="1"/>
  <c r="Z100" i="9"/>
  <c r="Z112" i="9"/>
  <c r="AL58" i="9"/>
  <c r="AL70" i="9"/>
  <c r="AI48" i="9"/>
  <c r="AI50" i="9"/>
  <c r="AI52" i="9"/>
  <c r="AI54" i="9"/>
  <c r="AI56" i="9"/>
  <c r="AI58" i="9"/>
  <c r="AI70" i="9"/>
  <c r="AI73" i="9"/>
  <c r="AI75" i="9"/>
  <c r="AI78" i="9"/>
  <c r="AM49" i="9"/>
  <c r="AM72" i="9"/>
  <c r="AK46" i="9"/>
  <c r="AK48" i="9"/>
  <c r="AK50" i="9"/>
  <c r="AK52" i="9"/>
  <c r="AK56" i="9"/>
  <c r="AK61" i="9"/>
  <c r="AK63" i="9"/>
  <c r="AK73" i="9"/>
  <c r="AK75" i="9"/>
  <c r="AK78" i="9"/>
  <c r="AK82" i="9"/>
  <c r="AK84" i="9"/>
  <c r="AL111" i="9"/>
  <c r="AN49" i="9"/>
  <c r="AM57" i="9"/>
  <c r="AN66" i="9"/>
  <c r="AN72" i="9"/>
  <c r="AH65" i="9"/>
  <c r="AE87" i="9"/>
  <c r="AM46" i="9"/>
  <c r="AM61" i="9"/>
  <c r="AM63" i="9"/>
  <c r="AM68" i="9"/>
  <c r="AM82" i="9"/>
  <c r="AM84" i="9"/>
  <c r="AM86" i="9"/>
  <c r="AL49" i="9"/>
  <c r="AL72" i="9"/>
  <c r="AN46" i="9"/>
  <c r="AN61" i="9"/>
  <c r="AN63" i="9"/>
  <c r="AN68" i="9"/>
  <c r="AN82" i="9"/>
  <c r="AN84" i="9"/>
  <c r="AN86" i="9"/>
  <c r="AK111" i="9"/>
  <c r="AC117" i="9"/>
  <c r="AN48" i="9"/>
  <c r="AN50" i="9"/>
  <c r="AN52" i="9"/>
  <c r="AN56" i="9"/>
  <c r="AN73" i="9"/>
  <c r="AN75" i="9"/>
  <c r="AN78" i="9"/>
  <c r="AV136" i="9"/>
  <c r="AV142" i="9"/>
  <c r="AL57" i="9"/>
  <c r="AM66" i="9"/>
  <c r="AH87" i="9"/>
  <c r="AB108" i="9"/>
  <c r="AD108" i="9"/>
  <c r="AD99" i="9" s="1"/>
  <c r="AK31" i="9"/>
  <c r="AO31" i="9" s="1"/>
  <c r="AK62" i="9"/>
  <c r="AK64" i="9"/>
  <c r="AK67" i="9"/>
  <c r="AK83" i="9"/>
  <c r="AK85" i="9"/>
  <c r="AK88" i="9"/>
  <c r="AL110" i="9"/>
  <c r="AK123" i="9"/>
  <c r="AO123" i="9" s="1"/>
  <c r="AN58" i="9"/>
  <c r="AN70" i="9"/>
  <c r="AC108" i="9"/>
  <c r="AC99" i="9" s="1"/>
  <c r="AI163" i="9"/>
  <c r="AI164" i="9"/>
  <c r="AL51" i="9"/>
  <c r="AL53" i="9"/>
  <c r="AL55" i="9"/>
  <c r="AL59" i="9"/>
  <c r="AL74" i="9"/>
  <c r="AL90" i="9"/>
  <c r="AI49" i="9"/>
  <c r="AI51" i="9"/>
  <c r="AI53" i="9"/>
  <c r="AI55" i="9"/>
  <c r="AI57" i="9"/>
  <c r="AI59" i="9"/>
  <c r="AI72" i="9"/>
  <c r="AI74" i="9"/>
  <c r="AI90" i="9"/>
  <c r="AI110" i="9"/>
  <c r="AI112" i="9"/>
  <c r="V106" i="9"/>
  <c r="AN107" i="9"/>
  <c r="AN106" i="9" s="1"/>
  <c r="V108" i="9"/>
  <c r="AN109" i="9"/>
  <c r="Z46" i="9"/>
  <c r="Z55" i="9"/>
  <c r="Z59" i="9"/>
  <c r="Z70" i="9"/>
  <c r="Z75" i="9"/>
  <c r="Z84" i="9"/>
  <c r="Z52" i="9"/>
  <c r="Z56" i="9"/>
  <c r="Z66" i="9"/>
  <c r="Z85" i="9"/>
  <c r="AK33" i="9"/>
  <c r="BB33" i="9" s="1"/>
  <c r="AK51" i="9"/>
  <c r="AK53" i="9"/>
  <c r="AK55" i="9"/>
  <c r="AK59" i="9"/>
  <c r="W68" i="9"/>
  <c r="AK68" i="9"/>
  <c r="AK74" i="9"/>
  <c r="W86" i="9"/>
  <c r="AK86" i="9"/>
  <c r="S92" i="9"/>
  <c r="W92" i="9" s="1"/>
  <c r="AK94" i="9"/>
  <c r="T108" i="9"/>
  <c r="T99" i="9" s="1"/>
  <c r="AL109" i="9"/>
  <c r="Z49" i="9"/>
  <c r="Z53" i="9"/>
  <c r="Z57" i="9"/>
  <c r="Z62" i="9"/>
  <c r="Z67" i="9"/>
  <c r="Z73" i="9"/>
  <c r="Z82" i="9"/>
  <c r="Z86" i="9"/>
  <c r="Z109" i="9"/>
  <c r="AA118" i="9"/>
  <c r="AL66" i="9"/>
  <c r="AF35" i="9"/>
  <c r="AJ35" i="9" s="1"/>
  <c r="AJ37" i="9"/>
  <c r="AB40" i="9"/>
  <c r="AD45" i="9"/>
  <c r="AI62" i="9"/>
  <c r="AI64" i="9"/>
  <c r="AI67" i="9"/>
  <c r="AC71" i="9"/>
  <c r="AI83" i="9"/>
  <c r="AI85" i="9"/>
  <c r="Z90" i="9"/>
  <c r="Z111" i="9"/>
  <c r="S108" i="9"/>
  <c r="AK109" i="9"/>
  <c r="Z72" i="9"/>
  <c r="Z78" i="9"/>
  <c r="AF33" i="9"/>
  <c r="AJ33" i="9" s="1"/>
  <c r="Z47" i="9"/>
  <c r="AA47" i="9" s="1"/>
  <c r="AL46" i="9"/>
  <c r="AL61" i="9"/>
  <c r="AL63" i="9"/>
  <c r="AL68" i="9"/>
  <c r="AL82" i="9"/>
  <c r="AL84" i="9"/>
  <c r="AL86" i="9"/>
  <c r="AL88" i="9"/>
  <c r="W107" i="9"/>
  <c r="AA107" i="9" s="1"/>
  <c r="AK107" i="9"/>
  <c r="AM110" i="9"/>
  <c r="W118" i="9"/>
  <c r="W128" i="9"/>
  <c r="AA128" i="9" s="1"/>
  <c r="AK128" i="9"/>
  <c r="Z50" i="9"/>
  <c r="Z58" i="9"/>
  <c r="Z63" i="9"/>
  <c r="Z68" i="9"/>
  <c r="Z74" i="9"/>
  <c r="Z83" i="9"/>
  <c r="Z110" i="9"/>
  <c r="AM58" i="9"/>
  <c r="AM70" i="9"/>
  <c r="AG10" i="9"/>
  <c r="AI100" i="9"/>
  <c r="AL17" i="9"/>
  <c r="AI46" i="9"/>
  <c r="AI61" i="9"/>
  <c r="AI63" i="9"/>
  <c r="AI66" i="9"/>
  <c r="AI68" i="9"/>
  <c r="AI82" i="9"/>
  <c r="AI84" i="9"/>
  <c r="AI86" i="9"/>
  <c r="AI88" i="9"/>
  <c r="AG108" i="9"/>
  <c r="AG99" i="9" s="1"/>
  <c r="AJ118" i="9"/>
  <c r="AK93" i="9"/>
  <c r="AO93" i="9" s="1"/>
  <c r="AW93" i="9" s="1"/>
  <c r="BS93" i="9" s="1"/>
  <c r="AA13" i="9"/>
  <c r="AF23" i="9"/>
  <c r="AJ23" i="9" s="1"/>
  <c r="Z54" i="9"/>
  <c r="X87" i="9"/>
  <c r="Z88" i="9"/>
  <c r="Z51" i="9"/>
  <c r="AE45" i="9"/>
  <c r="AF82" i="9"/>
  <c r="AF84" i="9"/>
  <c r="AF86" i="9"/>
  <c r="AE108" i="9"/>
  <c r="AE99" i="9" s="1"/>
  <c r="AV26" i="9"/>
  <c r="W110" i="9"/>
  <c r="Z48" i="9"/>
  <c r="Z61" i="9"/>
  <c r="AH45" i="9"/>
  <c r="AE65" i="9"/>
  <c r="AG71" i="9"/>
  <c r="AB121" i="9"/>
  <c r="AF121" i="9" s="1"/>
  <c r="AJ121" i="9" s="1"/>
  <c r="T65" i="9"/>
  <c r="W74" i="9"/>
  <c r="W82" i="9"/>
  <c r="W90" i="9"/>
  <c r="X10" i="9"/>
  <c r="AC87" i="9"/>
  <c r="AF109" i="9"/>
  <c r="AF111" i="9"/>
  <c r="AC65" i="9"/>
  <c r="W75" i="9"/>
  <c r="W112" i="9"/>
  <c r="W31" i="9"/>
  <c r="AA31" i="9" s="1"/>
  <c r="AF63" i="9"/>
  <c r="AB71" i="9"/>
  <c r="W83" i="9"/>
  <c r="AF18" i="9"/>
  <c r="AJ18" i="9" s="1"/>
  <c r="AB32" i="9"/>
  <c r="AF106" i="9"/>
  <c r="AJ106" i="9" s="1"/>
  <c r="AF107" i="9"/>
  <c r="AH108" i="9"/>
  <c r="AH99" i="9" s="1"/>
  <c r="AE126" i="9"/>
  <c r="AG87" i="9"/>
  <c r="W73" i="9"/>
  <c r="W78" i="9"/>
  <c r="W100" i="9"/>
  <c r="W111" i="9"/>
  <c r="W18" i="9"/>
  <c r="W46" i="9"/>
  <c r="W48" i="9"/>
  <c r="W50" i="9"/>
  <c r="W51" i="9"/>
  <c r="W52" i="9"/>
  <c r="W53" i="9"/>
  <c r="W55" i="9"/>
  <c r="W56" i="9"/>
  <c r="W59" i="9"/>
  <c r="W61" i="9"/>
  <c r="W62" i="9"/>
  <c r="W23" i="9"/>
  <c r="AA23" i="9" s="1"/>
  <c r="W135" i="9"/>
  <c r="AA135" i="9" s="1"/>
  <c r="AH10" i="9"/>
  <c r="AF66" i="9"/>
  <c r="AF68" i="9"/>
  <c r="AG65" i="9"/>
  <c r="AE71" i="9"/>
  <c r="AB164" i="9"/>
  <c r="AF164" i="9" s="1"/>
  <c r="AF41" i="9"/>
  <c r="AJ41" i="9" s="1"/>
  <c r="AB45" i="9"/>
  <c r="AF48" i="9"/>
  <c r="AF52" i="9"/>
  <c r="AF56" i="9"/>
  <c r="AF72" i="9"/>
  <c r="AF78" i="9"/>
  <c r="W63" i="9"/>
  <c r="W64" i="9"/>
  <c r="AC45" i="9"/>
  <c r="AG45" i="9"/>
  <c r="AF51" i="9"/>
  <c r="AF55" i="9"/>
  <c r="AF59" i="9"/>
  <c r="AF62" i="9"/>
  <c r="AB65" i="9"/>
  <c r="AF70" i="9"/>
  <c r="AF75" i="9"/>
  <c r="AF100" i="9"/>
  <c r="AF118" i="9"/>
  <c r="W66" i="9"/>
  <c r="AF50" i="9"/>
  <c r="AF54" i="9"/>
  <c r="AF58" i="9"/>
  <c r="AF61" i="9"/>
  <c r="AD65" i="9"/>
  <c r="AF74" i="9"/>
  <c r="AH71" i="9"/>
  <c r="AF88" i="9"/>
  <c r="AB87" i="9"/>
  <c r="AF90" i="9"/>
  <c r="AF110" i="9"/>
  <c r="AF112" i="9"/>
  <c r="W84" i="9"/>
  <c r="W85" i="9"/>
  <c r="W88" i="9"/>
  <c r="W35" i="9"/>
  <c r="AA35" i="9" s="1"/>
  <c r="W67" i="9"/>
  <c r="AF46" i="9"/>
  <c r="AF49" i="9"/>
  <c r="AF53" i="9"/>
  <c r="AF57" i="9"/>
  <c r="AF64" i="9"/>
  <c r="AF67" i="9"/>
  <c r="AF73" i="9"/>
  <c r="AD71" i="9"/>
  <c r="AF83" i="9"/>
  <c r="AF85" i="9"/>
  <c r="AD87" i="9"/>
  <c r="W33" i="9"/>
  <c r="W109" i="9"/>
  <c r="W147" i="9"/>
  <c r="W58" i="9"/>
  <c r="W70" i="9"/>
  <c r="AB92" i="9"/>
  <c r="AF94" i="9"/>
  <c r="AJ94" i="9" s="1"/>
  <c r="AF135" i="9"/>
  <c r="AJ135" i="9" s="1"/>
  <c r="AF165" i="9"/>
  <c r="W94" i="9"/>
  <c r="AA94" i="9" s="1"/>
  <c r="W123" i="9"/>
  <c r="W57" i="9"/>
  <c r="W72" i="9"/>
  <c r="AB127" i="9"/>
  <c r="AB126" i="9" s="1"/>
  <c r="AF126" i="9" s="1"/>
  <c r="V71" i="9"/>
  <c r="V87" i="9"/>
  <c r="Y71" i="9"/>
  <c r="Y108" i="9"/>
  <c r="Y99" i="9" s="1"/>
  <c r="X45" i="9"/>
  <c r="X108" i="9"/>
  <c r="Y87" i="9"/>
  <c r="U71" i="9"/>
  <c r="T117" i="9"/>
  <c r="S127" i="9"/>
  <c r="X71" i="9"/>
  <c r="S32" i="9"/>
  <c r="T45" i="9"/>
  <c r="U65" i="9"/>
  <c r="V65" i="9"/>
  <c r="U108" i="9"/>
  <c r="S121" i="9"/>
  <c r="U45" i="9"/>
  <c r="S65" i="9"/>
  <c r="T71" i="9"/>
  <c r="U87" i="9"/>
  <c r="T87" i="9"/>
  <c r="S71" i="9"/>
  <c r="S87" i="9"/>
  <c r="S106" i="9"/>
  <c r="G412" i="4"/>
  <c r="C399" i="4"/>
  <c r="C362" i="4"/>
  <c r="D356" i="4"/>
  <c r="G338" i="4"/>
  <c r="G342" i="4"/>
  <c r="G346" i="4"/>
  <c r="G350" i="4"/>
  <c r="G354" i="4"/>
  <c r="G344" i="4"/>
  <c r="G348" i="4"/>
  <c r="G352" i="4"/>
  <c r="E392" i="4"/>
  <c r="G413" i="4"/>
  <c r="C409" i="4"/>
  <c r="G409" i="4" s="1"/>
  <c r="C135" i="9"/>
  <c r="G135" i="9" s="1"/>
  <c r="G155" i="9"/>
  <c r="G154" i="9"/>
  <c r="G153" i="9"/>
  <c r="G152" i="9"/>
  <c r="G151" i="9"/>
  <c r="G150" i="9"/>
  <c r="G149" i="9"/>
  <c r="G148" i="9"/>
  <c r="G146" i="9"/>
  <c r="G145" i="9"/>
  <c r="G144" i="9"/>
  <c r="G143" i="9"/>
  <c r="G142" i="9"/>
  <c r="G139" i="9"/>
  <c r="G138" i="9"/>
  <c r="G137" i="9"/>
  <c r="G136" i="9"/>
  <c r="G134" i="9"/>
  <c r="G133" i="9"/>
  <c r="G132" i="9"/>
  <c r="G131" i="9"/>
  <c r="G130" i="9"/>
  <c r="G129" i="9"/>
  <c r="G124" i="9"/>
  <c r="G122" i="9"/>
  <c r="G120" i="9"/>
  <c r="G119" i="9"/>
  <c r="G115" i="9"/>
  <c r="G114" i="9"/>
  <c r="G113" i="9"/>
  <c r="G105" i="9"/>
  <c r="G104" i="9"/>
  <c r="G103" i="9"/>
  <c r="G102" i="9"/>
  <c r="G101" i="9"/>
  <c r="C128" i="9"/>
  <c r="F111" i="9"/>
  <c r="E111" i="9"/>
  <c r="D111" i="9"/>
  <c r="C111" i="9"/>
  <c r="F110" i="9"/>
  <c r="E110" i="9"/>
  <c r="D110" i="9"/>
  <c r="C110" i="9"/>
  <c r="D109" i="9"/>
  <c r="E109" i="9"/>
  <c r="F109" i="9"/>
  <c r="C109" i="9"/>
  <c r="E112" i="9"/>
  <c r="F112" i="9"/>
  <c r="F90" i="9"/>
  <c r="E90" i="9"/>
  <c r="D90" i="9"/>
  <c r="C90" i="9"/>
  <c r="F88" i="9"/>
  <c r="E88" i="9"/>
  <c r="D88" i="9"/>
  <c r="C88" i="9"/>
  <c r="F86" i="9"/>
  <c r="E86" i="9"/>
  <c r="D86" i="9"/>
  <c r="E85" i="9"/>
  <c r="D85" i="9"/>
  <c r="F84" i="9"/>
  <c r="E84" i="9"/>
  <c r="D84" i="9"/>
  <c r="F83" i="9"/>
  <c r="E83" i="9"/>
  <c r="D83" i="9"/>
  <c r="F82" i="9"/>
  <c r="E82" i="9"/>
  <c r="D82" i="9"/>
  <c r="C86" i="9"/>
  <c r="C85" i="9"/>
  <c r="C82" i="9"/>
  <c r="F78" i="9"/>
  <c r="E78" i="9"/>
  <c r="D78" i="9"/>
  <c r="C78" i="9"/>
  <c r="F75" i="9"/>
  <c r="E75" i="9"/>
  <c r="D75" i="9"/>
  <c r="F74" i="9"/>
  <c r="E74" i="9"/>
  <c r="D74" i="9"/>
  <c r="F73" i="9"/>
  <c r="E73" i="9"/>
  <c r="D73" i="9"/>
  <c r="F72" i="9"/>
  <c r="E72" i="9"/>
  <c r="D72" i="9"/>
  <c r="C75" i="9"/>
  <c r="C74" i="9"/>
  <c r="C73" i="9"/>
  <c r="C72" i="9"/>
  <c r="F70" i="9"/>
  <c r="E70" i="9"/>
  <c r="D70" i="9"/>
  <c r="F68" i="9"/>
  <c r="E68" i="9"/>
  <c r="D68" i="9"/>
  <c r="F67" i="9"/>
  <c r="E67" i="9"/>
  <c r="D67" i="9"/>
  <c r="F66" i="9"/>
  <c r="E66" i="9"/>
  <c r="D66" i="9"/>
  <c r="C70" i="9"/>
  <c r="C67" i="9"/>
  <c r="C66" i="9"/>
  <c r="F51" i="9"/>
  <c r="E51" i="9"/>
  <c r="D51" i="9"/>
  <c r="G451" i="4"/>
  <c r="G452" i="4"/>
  <c r="G453" i="4"/>
  <c r="G454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F64" i="9"/>
  <c r="E64" i="9"/>
  <c r="D64" i="9"/>
  <c r="F63" i="9"/>
  <c r="E63" i="9"/>
  <c r="D63" i="9"/>
  <c r="F62" i="9"/>
  <c r="E62" i="9"/>
  <c r="D62" i="9"/>
  <c r="F61" i="9"/>
  <c r="E61" i="9"/>
  <c r="D61" i="9"/>
  <c r="C63" i="9"/>
  <c r="C62" i="9"/>
  <c r="C61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C59" i="9"/>
  <c r="C58" i="9"/>
  <c r="C57" i="9"/>
  <c r="C56" i="9"/>
  <c r="C55" i="9"/>
  <c r="C54" i="9"/>
  <c r="C53" i="9"/>
  <c r="C52" i="9"/>
  <c r="F50" i="9"/>
  <c r="E50" i="9"/>
  <c r="D50" i="9"/>
  <c r="C50" i="9"/>
  <c r="F49" i="9"/>
  <c r="E49" i="9"/>
  <c r="D49" i="9"/>
  <c r="C49" i="9"/>
  <c r="F48" i="9"/>
  <c r="E48" i="9"/>
  <c r="D48" i="9"/>
  <c r="C48" i="9"/>
  <c r="F46" i="9"/>
  <c r="E46" i="9"/>
  <c r="D46" i="9"/>
  <c r="G37" i="9"/>
  <c r="C31" i="9"/>
  <c r="G31" i="9" s="1"/>
  <c r="G28" i="9"/>
  <c r="G25" i="9"/>
  <c r="G20" i="9"/>
  <c r="G21" i="9"/>
  <c r="G22" i="9"/>
  <c r="K46" i="22"/>
  <c r="K47" i="22" s="1"/>
  <c r="E17" i="9" s="1"/>
  <c r="AJ50" i="9" l="1"/>
  <c r="AN87" i="9"/>
  <c r="E335" i="4"/>
  <c r="C87" i="9"/>
  <c r="AJ59" i="9"/>
  <c r="AJ111" i="9"/>
  <c r="AM87" i="9"/>
  <c r="R140" i="9"/>
  <c r="AW140" i="9" s="1"/>
  <c r="R142" i="9"/>
  <c r="AW142" i="9" s="1"/>
  <c r="AJ78" i="9"/>
  <c r="AV111" i="9"/>
  <c r="AV88" i="9"/>
  <c r="AN108" i="9"/>
  <c r="AN99" i="9" s="1"/>
  <c r="AA84" i="9"/>
  <c r="G399" i="4"/>
  <c r="AU108" i="9"/>
  <c r="AU99" i="9" s="1"/>
  <c r="AO90" i="9"/>
  <c r="AK87" i="9"/>
  <c r="AO111" i="9"/>
  <c r="AO48" i="9"/>
  <c r="AA53" i="9"/>
  <c r="AA90" i="9"/>
  <c r="AJ109" i="9"/>
  <c r="AU87" i="9"/>
  <c r="AO73" i="9"/>
  <c r="AO67" i="9"/>
  <c r="AJ56" i="9"/>
  <c r="AJ75" i="9"/>
  <c r="AJ48" i="9"/>
  <c r="AU65" i="9"/>
  <c r="AL87" i="9"/>
  <c r="AO53" i="9"/>
  <c r="G378" i="4"/>
  <c r="G362" i="4"/>
  <c r="AO55" i="9"/>
  <c r="G356" i="4"/>
  <c r="D335" i="4"/>
  <c r="D427" i="4" s="1"/>
  <c r="C392" i="4"/>
  <c r="G392" i="4" s="1"/>
  <c r="AO72" i="9"/>
  <c r="AA112" i="9"/>
  <c r="AA52" i="9"/>
  <c r="Z65" i="9"/>
  <c r="AJ61" i="9"/>
  <c r="AA83" i="9"/>
  <c r="AM65" i="9"/>
  <c r="AA58" i="9"/>
  <c r="AV90" i="9"/>
  <c r="AO52" i="9"/>
  <c r="AJ54" i="9"/>
  <c r="AN65" i="9"/>
  <c r="AO64" i="9"/>
  <c r="AF108" i="9"/>
  <c r="AO50" i="9"/>
  <c r="AO83" i="9"/>
  <c r="AJ52" i="9"/>
  <c r="AO82" i="9"/>
  <c r="AO85" i="9"/>
  <c r="AO62" i="9"/>
  <c r="AA48" i="9"/>
  <c r="AO75" i="9"/>
  <c r="AJ112" i="9"/>
  <c r="AV112" i="9" s="1"/>
  <c r="AJ70" i="9"/>
  <c r="AE44" i="9"/>
  <c r="AA111" i="9"/>
  <c r="AM71" i="9"/>
  <c r="AA70" i="9"/>
  <c r="AJ110" i="9"/>
  <c r="AJ58" i="9"/>
  <c r="AJ51" i="9"/>
  <c r="AJ72" i="9"/>
  <c r="AA100" i="9"/>
  <c r="AV110" i="9"/>
  <c r="AJ53" i="9"/>
  <c r="V99" i="9"/>
  <c r="AM45" i="9"/>
  <c r="AO63" i="9"/>
  <c r="AB117" i="9"/>
  <c r="AF117" i="9" s="1"/>
  <c r="AJ90" i="9"/>
  <c r="AJ74" i="9"/>
  <c r="AA78" i="9"/>
  <c r="AB99" i="9"/>
  <c r="AF99" i="9" s="1"/>
  <c r="AO84" i="9"/>
  <c r="AO61" i="9"/>
  <c r="AO59" i="9"/>
  <c r="AO56" i="9"/>
  <c r="AJ57" i="9"/>
  <c r="AJ85" i="9"/>
  <c r="AJ67" i="9"/>
  <c r="AJ49" i="9"/>
  <c r="AA63" i="9"/>
  <c r="AJ164" i="9"/>
  <c r="AA62" i="9"/>
  <c r="AA50" i="9"/>
  <c r="AA73" i="9"/>
  <c r="AJ84" i="9"/>
  <c r="AU71" i="9"/>
  <c r="AO74" i="9"/>
  <c r="AK65" i="9"/>
  <c r="AO57" i="9"/>
  <c r="AN71" i="9"/>
  <c r="AA59" i="9"/>
  <c r="AA46" i="9"/>
  <c r="AA75" i="9"/>
  <c r="AO110" i="9"/>
  <c r="AK121" i="9"/>
  <c r="AO121" i="9" s="1"/>
  <c r="AO51" i="9"/>
  <c r="AF32" i="9"/>
  <c r="AJ32" i="9" s="1"/>
  <c r="AA56" i="9"/>
  <c r="AJ63" i="9"/>
  <c r="AJ88" i="9"/>
  <c r="AJ68" i="9"/>
  <c r="AI45" i="9"/>
  <c r="AK71" i="9"/>
  <c r="AI71" i="9"/>
  <c r="AJ62" i="9"/>
  <c r="AA86" i="9"/>
  <c r="AO78" i="9"/>
  <c r="AO68" i="9"/>
  <c r="W106" i="9"/>
  <c r="AA106" i="9" s="1"/>
  <c r="AA85" i="9"/>
  <c r="AJ55" i="9"/>
  <c r="AJ86" i="9"/>
  <c r="AL71" i="9"/>
  <c r="AO70" i="9"/>
  <c r="Z71" i="9"/>
  <c r="AL108" i="9"/>
  <c r="AL99" i="9" s="1"/>
  <c r="AK106" i="9"/>
  <c r="AV106" i="9" s="1"/>
  <c r="AO107" i="9"/>
  <c r="AQ71" i="9"/>
  <c r="AO58" i="9"/>
  <c r="AQ87" i="9"/>
  <c r="AJ83" i="9"/>
  <c r="AJ46" i="9"/>
  <c r="AG44" i="9"/>
  <c r="AG172" i="9" s="1"/>
  <c r="AI65" i="9"/>
  <c r="AL45" i="9"/>
  <c r="AO46" i="9"/>
  <c r="AA72" i="9"/>
  <c r="AA109" i="9"/>
  <c r="AA88" i="9"/>
  <c r="AC44" i="9"/>
  <c r="AA51" i="9"/>
  <c r="AA82" i="9"/>
  <c r="AJ117" i="9"/>
  <c r="AI99" i="9"/>
  <c r="AO94" i="9"/>
  <c r="AK92" i="9"/>
  <c r="AO92" i="9" s="1"/>
  <c r="AO88" i="9"/>
  <c r="AA68" i="9"/>
  <c r="AO33" i="9"/>
  <c r="AO32" i="9" s="1"/>
  <c r="AK32" i="9"/>
  <c r="AQ45" i="9"/>
  <c r="AH44" i="9"/>
  <c r="AH172" i="9" s="1"/>
  <c r="AK108" i="9"/>
  <c r="AO109" i="9"/>
  <c r="AQ65" i="9"/>
  <c r="AJ100" i="9"/>
  <c r="AV100" i="9" s="1"/>
  <c r="BB32" i="9"/>
  <c r="AA57" i="9"/>
  <c r="AJ165" i="9"/>
  <c r="AJ73" i="9"/>
  <c r="AA67" i="9"/>
  <c r="AA66" i="9"/>
  <c r="AJ66" i="9"/>
  <c r="AA55" i="9"/>
  <c r="AJ107" i="9"/>
  <c r="AA74" i="9"/>
  <c r="AA110" i="9"/>
  <c r="AI108" i="9"/>
  <c r="AJ82" i="9"/>
  <c r="AO128" i="9"/>
  <c r="AK127" i="9"/>
  <c r="AM108" i="9"/>
  <c r="AM99" i="9" s="1"/>
  <c r="AJ64" i="9"/>
  <c r="AL65" i="9"/>
  <c r="AV109" i="9"/>
  <c r="AQ108" i="9"/>
  <c r="AQ99" i="9" s="1"/>
  <c r="AO86" i="9"/>
  <c r="AO66" i="9"/>
  <c r="AF40" i="9"/>
  <c r="AJ40" i="9" s="1"/>
  <c r="X99" i="9"/>
  <c r="Z99" i="9" s="1"/>
  <c r="Z108" i="9"/>
  <c r="AA61" i="9"/>
  <c r="AV23" i="9"/>
  <c r="W32" i="9"/>
  <c r="AA32" i="9" s="1"/>
  <c r="AA33" i="9"/>
  <c r="AV35" i="9"/>
  <c r="AF65" i="9"/>
  <c r="W71" i="9"/>
  <c r="AB163" i="9"/>
  <c r="W87" i="9"/>
  <c r="W65" i="9"/>
  <c r="AD44" i="9"/>
  <c r="AF127" i="9"/>
  <c r="AJ127" i="9" s="1"/>
  <c r="AF87" i="9"/>
  <c r="W121" i="9"/>
  <c r="S126" i="9"/>
  <c r="W127" i="9"/>
  <c r="AA127" i="9" s="1"/>
  <c r="U99" i="9"/>
  <c r="W108" i="9"/>
  <c r="AF71" i="9"/>
  <c r="AF92" i="9"/>
  <c r="AJ92" i="9" s="1"/>
  <c r="AF45" i="9"/>
  <c r="AB44" i="9"/>
  <c r="X44" i="9"/>
  <c r="T44" i="9"/>
  <c r="U44" i="9"/>
  <c r="S117" i="9"/>
  <c r="S99" i="9"/>
  <c r="C127" i="9"/>
  <c r="G127" i="9" s="1"/>
  <c r="E427" i="4"/>
  <c r="G109" i="9"/>
  <c r="G111" i="9"/>
  <c r="G90" i="9"/>
  <c r="G110" i="9"/>
  <c r="G128" i="9"/>
  <c r="AO87" i="9" l="1"/>
  <c r="AA65" i="9"/>
  <c r="AM44" i="9"/>
  <c r="AO71" i="9"/>
  <c r="AJ108" i="9"/>
  <c r="AA71" i="9"/>
  <c r="AJ99" i="9"/>
  <c r="AJ45" i="9"/>
  <c r="AO65" i="9"/>
  <c r="AA108" i="9"/>
  <c r="AK117" i="9"/>
  <c r="AO117" i="9" s="1"/>
  <c r="AI172" i="9"/>
  <c r="AJ71" i="9"/>
  <c r="AL44" i="9"/>
  <c r="AQ44" i="9"/>
  <c r="AJ65" i="9"/>
  <c r="AO108" i="9"/>
  <c r="AO127" i="9"/>
  <c r="BB10" i="9"/>
  <c r="AK99" i="9"/>
  <c r="AO99" i="9" s="1"/>
  <c r="AO106" i="9"/>
  <c r="AF39" i="9"/>
  <c r="AJ39" i="9" s="1"/>
  <c r="X172" i="9"/>
  <c r="AV65" i="9"/>
  <c r="AV71" i="9"/>
  <c r="AF163" i="9"/>
  <c r="W99" i="9"/>
  <c r="W126" i="9"/>
  <c r="AF44" i="9"/>
  <c r="AJ126" i="9"/>
  <c r="AK126" i="9" s="1"/>
  <c r="AO126" i="9" s="1"/>
  <c r="W117" i="9"/>
  <c r="C126" i="9"/>
  <c r="AQ172" i="9" l="1"/>
  <c r="D24" i="14" s="1"/>
  <c r="AV108" i="9"/>
  <c r="AJ163" i="9"/>
  <c r="BD163" i="9"/>
  <c r="BB172" i="9"/>
  <c r="AA99" i="9"/>
  <c r="AV99" i="9" s="1"/>
  <c r="AV40" i="9"/>
  <c r="AF38" i="9"/>
  <c r="AJ38" i="9" s="1"/>
  <c r="AV32" i="9"/>
  <c r="W38" i="9"/>
  <c r="AA38" i="9" s="1"/>
  <c r="AA39" i="9"/>
  <c r="AV29" i="9"/>
  <c r="AV10" i="9" l="1"/>
  <c r="AV38" i="9"/>
  <c r="Y155" i="9" l="1"/>
  <c r="Y147" i="9" l="1"/>
  <c r="Z155" i="9"/>
  <c r="AA155" i="9" s="1"/>
  <c r="V54" i="9"/>
  <c r="F345" i="4"/>
  <c r="F336" i="4" s="1"/>
  <c r="F335" i="4" s="1"/>
  <c r="F427" i="4" s="1"/>
  <c r="S54" i="9"/>
  <c r="C345" i="4"/>
  <c r="C165" i="9"/>
  <c r="C83" i="9"/>
  <c r="Z147" i="9" l="1"/>
  <c r="AA147" i="9" s="1"/>
  <c r="Y126" i="9"/>
  <c r="Z126" i="9" s="1"/>
  <c r="AA126" i="9" s="1"/>
  <c r="AU147" i="9"/>
  <c r="AV155" i="9"/>
  <c r="AW155" i="9" s="1"/>
  <c r="G345" i="4"/>
  <c r="AK54" i="9"/>
  <c r="W54" i="9"/>
  <c r="AA54" i="9" s="1"/>
  <c r="AN54" i="9"/>
  <c r="AN45" i="9" s="1"/>
  <c r="AN44" i="9" s="1"/>
  <c r="V45" i="9"/>
  <c r="V44" i="9" s="1"/>
  <c r="C64" i="9"/>
  <c r="G468" i="4"/>
  <c r="G21" i="5"/>
  <c r="AU126" i="9" l="1"/>
  <c r="AV147" i="9"/>
  <c r="AO54" i="9"/>
  <c r="AV126" i="9" l="1"/>
  <c r="Y166" i="9" l="1"/>
  <c r="Y164" i="9" l="1"/>
  <c r="Z166" i="9"/>
  <c r="AA166" i="9" s="1"/>
  <c r="Y163" i="9" l="1"/>
  <c r="Z163" i="9" s="1"/>
  <c r="Z164" i="9"/>
  <c r="AU164" i="9"/>
  <c r="AV164" i="9" s="1"/>
  <c r="AV166" i="9"/>
  <c r="AU163" i="9" l="1"/>
  <c r="AV163" i="9" s="1"/>
  <c r="S49" i="9" l="1"/>
  <c r="AK49" i="9" l="1"/>
  <c r="W49" i="9"/>
  <c r="S45" i="9"/>
  <c r="S44" i="9" s="1"/>
  <c r="S165" i="9"/>
  <c r="C336" i="4"/>
  <c r="G340" i="4"/>
  <c r="G336" i="4" l="1"/>
  <c r="G335" i="4" s="1"/>
  <c r="C335" i="4"/>
  <c r="W45" i="9"/>
  <c r="AA49" i="9"/>
  <c r="S164" i="9"/>
  <c r="W165" i="9"/>
  <c r="AA165" i="9" s="1"/>
  <c r="AK165" i="9"/>
  <c r="AK45" i="9"/>
  <c r="AK44" i="9" s="1"/>
  <c r="AO49" i="9"/>
  <c r="G124" i="4"/>
  <c r="D51" i="5" s="1"/>
  <c r="C68" i="9"/>
  <c r="AO45" i="9" l="1"/>
  <c r="W164" i="9"/>
  <c r="AA164" i="9" s="1"/>
  <c r="S163" i="9"/>
  <c r="W163" i="9" s="1"/>
  <c r="AA163" i="9" s="1"/>
  <c r="AK164" i="9"/>
  <c r="AO165" i="9"/>
  <c r="W44" i="9"/>
  <c r="C123" i="9"/>
  <c r="G123" i="9" s="1"/>
  <c r="G76" i="5"/>
  <c r="F531" i="4"/>
  <c r="F530" i="4" s="1"/>
  <c r="E531" i="4"/>
  <c r="E530" i="4" s="1"/>
  <c r="D531" i="4"/>
  <c r="D530" i="4" s="1"/>
  <c r="C531" i="4"/>
  <c r="C530" i="4" s="1"/>
  <c r="G533" i="4"/>
  <c r="G137" i="5" s="1"/>
  <c r="G532" i="4"/>
  <c r="F489" i="4"/>
  <c r="F85" i="9" s="1"/>
  <c r="C84" i="9"/>
  <c r="G530" i="4" l="1"/>
  <c r="G531" i="4"/>
  <c r="AO44" i="9"/>
  <c r="AK163" i="9"/>
  <c r="AO163" i="9" s="1"/>
  <c r="AO164" i="9"/>
  <c r="G450" i="4"/>
  <c r="C46" i="9"/>
  <c r="G130" i="5"/>
  <c r="G129" i="5" s="1"/>
  <c r="C51" i="9"/>
  <c r="G455" i="4"/>
  <c r="E66" i="6" l="1"/>
  <c r="BA95" i="22"/>
  <c r="M63" i="6" l="1"/>
  <c r="G314" i="4" l="1"/>
  <c r="G313" i="4" s="1"/>
  <c r="G312" i="4" s="1"/>
  <c r="F313" i="4"/>
  <c r="F312" i="4" s="1"/>
  <c r="E313" i="4"/>
  <c r="E312" i="4" s="1"/>
  <c r="D313" i="4"/>
  <c r="D312" i="4" s="1"/>
  <c r="C313" i="4"/>
  <c r="C312" i="4" s="1"/>
  <c r="G311" i="4"/>
  <c r="G310" i="4" s="1"/>
  <c r="G309" i="4" s="1"/>
  <c r="F310" i="4"/>
  <c r="F309" i="4" s="1"/>
  <c r="E310" i="4"/>
  <c r="E309" i="4" s="1"/>
  <c r="D310" i="4"/>
  <c r="D309" i="4" s="1"/>
  <c r="C310" i="4"/>
  <c r="C309" i="4" s="1"/>
  <c r="G307" i="4"/>
  <c r="G306" i="4"/>
  <c r="F305" i="4"/>
  <c r="F301" i="4" s="1"/>
  <c r="E305" i="4"/>
  <c r="D305" i="4"/>
  <c r="C305" i="4"/>
  <c r="G304" i="4"/>
  <c r="G303" i="4"/>
  <c r="D302" i="4"/>
  <c r="C302" i="4"/>
  <c r="G302" i="4" s="1"/>
  <c r="D295" i="4"/>
  <c r="G295" i="4" s="1"/>
  <c r="G294" i="4"/>
  <c r="G293" i="4"/>
  <c r="G292" i="4"/>
  <c r="F291" i="4"/>
  <c r="E291" i="4"/>
  <c r="D291" i="4"/>
  <c r="C291" i="4"/>
  <c r="G290" i="4"/>
  <c r="G289" i="4" s="1"/>
  <c r="F289" i="4"/>
  <c r="E289" i="4"/>
  <c r="D289" i="4"/>
  <c r="C289" i="4"/>
  <c r="G288" i="4"/>
  <c r="G287" i="4"/>
  <c r="G286" i="4"/>
  <c r="G285" i="4"/>
  <c r="G282" i="4"/>
  <c r="G281" i="4"/>
  <c r="G280" i="4"/>
  <c r="G279" i="4"/>
  <c r="G278" i="4"/>
  <c r="G277" i="4"/>
  <c r="G275" i="4" s="1"/>
  <c r="G276" i="4"/>
  <c r="C275" i="4"/>
  <c r="G273" i="4"/>
  <c r="G272" i="4"/>
  <c r="G271" i="4"/>
  <c r="F270" i="4"/>
  <c r="E270" i="4"/>
  <c r="D270" i="4"/>
  <c r="C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F254" i="4"/>
  <c r="E254" i="4"/>
  <c r="D254" i="4"/>
  <c r="C254" i="4"/>
  <c r="G253" i="4"/>
  <c r="G252" i="4"/>
  <c r="G251" i="4"/>
  <c r="G250" i="4"/>
  <c r="G249" i="4"/>
  <c r="F248" i="4"/>
  <c r="E248" i="4"/>
  <c r="D248" i="4"/>
  <c r="C248" i="4"/>
  <c r="G247" i="4"/>
  <c r="G246" i="4"/>
  <c r="G245" i="4"/>
  <c r="G244" i="4"/>
  <c r="G243" i="4"/>
  <c r="G242" i="4"/>
  <c r="G241" i="4"/>
  <c r="G240" i="4"/>
  <c r="G239" i="4"/>
  <c r="G238" i="4"/>
  <c r="G237" i="4"/>
  <c r="E56" i="5" s="1"/>
  <c r="G236" i="4"/>
  <c r="G235" i="4"/>
  <c r="G234" i="4"/>
  <c r="G233" i="4"/>
  <c r="G232" i="4"/>
  <c r="E51" i="5" s="1"/>
  <c r="G231" i="4"/>
  <c r="G230" i="4"/>
  <c r="G229" i="4"/>
  <c r="F228" i="4"/>
  <c r="E228" i="4"/>
  <c r="D228" i="4"/>
  <c r="C228" i="4"/>
  <c r="G206" i="4"/>
  <c r="G205" i="4" s="1"/>
  <c r="G204" i="4" s="1"/>
  <c r="F205" i="4"/>
  <c r="F204" i="4" s="1"/>
  <c r="E205" i="4"/>
  <c r="E204" i="4" s="1"/>
  <c r="D205" i="4"/>
  <c r="D204" i="4" s="1"/>
  <c r="C205" i="4"/>
  <c r="C204" i="4" s="1"/>
  <c r="G203" i="4"/>
  <c r="F202" i="4"/>
  <c r="E202" i="4"/>
  <c r="D202" i="4"/>
  <c r="C202" i="4"/>
  <c r="G199" i="4"/>
  <c r="G198" i="4"/>
  <c r="F197" i="4"/>
  <c r="F193" i="4" s="1"/>
  <c r="E197" i="4"/>
  <c r="D197" i="4"/>
  <c r="C197" i="4"/>
  <c r="G196" i="4"/>
  <c r="G195" i="4"/>
  <c r="D194" i="4"/>
  <c r="C194" i="4"/>
  <c r="G194" i="4" s="1"/>
  <c r="D187" i="4"/>
  <c r="G187" i="4" s="1"/>
  <c r="G186" i="4"/>
  <c r="G185" i="4"/>
  <c r="G184" i="4"/>
  <c r="F183" i="4"/>
  <c r="E183" i="4"/>
  <c r="D183" i="4"/>
  <c r="C183" i="4"/>
  <c r="G182" i="4"/>
  <c r="G181" i="4" s="1"/>
  <c r="F181" i="4"/>
  <c r="E181" i="4"/>
  <c r="D181" i="4"/>
  <c r="C181" i="4"/>
  <c r="G180" i="4"/>
  <c r="G179" i="4"/>
  <c r="G178" i="4"/>
  <c r="G177" i="4"/>
  <c r="G174" i="4"/>
  <c r="G173" i="4"/>
  <c r="G172" i="4"/>
  <c r="G171" i="4"/>
  <c r="G170" i="4"/>
  <c r="G169" i="4"/>
  <c r="G167" i="4" s="1"/>
  <c r="G168" i="4"/>
  <c r="C167" i="4"/>
  <c r="G165" i="4"/>
  <c r="G164" i="4"/>
  <c r="G163" i="4"/>
  <c r="F162" i="4"/>
  <c r="E162" i="4"/>
  <c r="D162" i="4"/>
  <c r="C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D74" i="5" s="1"/>
  <c r="F146" i="4"/>
  <c r="E146" i="4"/>
  <c r="D146" i="4"/>
  <c r="C146" i="4"/>
  <c r="G145" i="4"/>
  <c r="D72" i="5" s="1"/>
  <c r="G144" i="4"/>
  <c r="G143" i="4"/>
  <c r="G142" i="4"/>
  <c r="G141" i="4"/>
  <c r="D68" i="5" s="1"/>
  <c r="F140" i="4"/>
  <c r="E140" i="4"/>
  <c r="D140" i="4"/>
  <c r="C140" i="4"/>
  <c r="G139" i="4"/>
  <c r="G138" i="4"/>
  <c r="G137" i="4"/>
  <c r="G136" i="4"/>
  <c r="G135" i="4"/>
  <c r="G134" i="4"/>
  <c r="G133" i="4"/>
  <c r="D60" i="5" s="1"/>
  <c r="G132" i="4"/>
  <c r="D59" i="5" s="1"/>
  <c r="G131" i="4"/>
  <c r="G130" i="4"/>
  <c r="G129" i="4"/>
  <c r="D56" i="5" s="1"/>
  <c r="G128" i="4"/>
  <c r="G127" i="4"/>
  <c r="G126" i="4"/>
  <c r="G125" i="4"/>
  <c r="G123" i="4"/>
  <c r="G122" i="4"/>
  <c r="G121" i="4"/>
  <c r="F120" i="4"/>
  <c r="E120" i="4"/>
  <c r="D120" i="4"/>
  <c r="C120" i="4"/>
  <c r="AV20" i="22"/>
  <c r="AV24" i="22" s="1"/>
  <c r="AV43" i="22"/>
  <c r="AV36" i="22"/>
  <c r="AV27" i="22"/>
  <c r="F28" i="5"/>
  <c r="AV13" i="22"/>
  <c r="AV11" i="22"/>
  <c r="F284" i="4" l="1"/>
  <c r="F201" i="4"/>
  <c r="F418" i="4"/>
  <c r="F417" i="4" s="1"/>
  <c r="D227" i="4"/>
  <c r="G305" i="4"/>
  <c r="C201" i="4"/>
  <c r="C418" i="4"/>
  <c r="D201" i="4"/>
  <c r="D418" i="4"/>
  <c r="D417" i="4" s="1"/>
  <c r="E201" i="4"/>
  <c r="E418" i="4"/>
  <c r="E417" i="4" s="1"/>
  <c r="D193" i="4"/>
  <c r="D301" i="4"/>
  <c r="G270" i="4"/>
  <c r="AV37" i="22"/>
  <c r="C176" i="4"/>
  <c r="F119" i="4"/>
  <c r="G197" i="4"/>
  <c r="D284" i="4"/>
  <c r="G291" i="4"/>
  <c r="F176" i="4"/>
  <c r="F227" i="4"/>
  <c r="D119" i="4"/>
  <c r="G146" i="4"/>
  <c r="G248" i="4"/>
  <c r="C301" i="4"/>
  <c r="G301" i="4" s="1"/>
  <c r="C227" i="4"/>
  <c r="C284" i="4"/>
  <c r="E284" i="4"/>
  <c r="E227" i="4"/>
  <c r="G254" i="4"/>
  <c r="C119" i="4"/>
  <c r="G202" i="4"/>
  <c r="G201" i="4" s="1"/>
  <c r="D147" i="5"/>
  <c r="D176" i="4"/>
  <c r="G228" i="4"/>
  <c r="E119" i="4"/>
  <c r="G183" i="4"/>
  <c r="G140" i="4"/>
  <c r="C193" i="4"/>
  <c r="G193" i="4" s="1"/>
  <c r="G162" i="4"/>
  <c r="E176" i="4"/>
  <c r="G120" i="4"/>
  <c r="AV46" i="22"/>
  <c r="AV47" i="22" s="1"/>
  <c r="AV25" i="22"/>
  <c r="F315" i="4" l="1"/>
  <c r="D315" i="4"/>
  <c r="G418" i="4"/>
  <c r="C417" i="4"/>
  <c r="AV38" i="22"/>
  <c r="F207" i="4"/>
  <c r="G284" i="4"/>
  <c r="E207" i="4"/>
  <c r="G227" i="4"/>
  <c r="E315" i="4"/>
  <c r="G176" i="4"/>
  <c r="C315" i="4"/>
  <c r="D207" i="4"/>
  <c r="G119" i="4"/>
  <c r="C207" i="4"/>
  <c r="AN68" i="22"/>
  <c r="AN66" i="22"/>
  <c r="AN64" i="22"/>
  <c r="AN62" i="22"/>
  <c r="AN61" i="22"/>
  <c r="AN60" i="22"/>
  <c r="AN58" i="22"/>
  <c r="AO57" i="22"/>
  <c r="AN57" i="22"/>
  <c r="AM57" i="22"/>
  <c r="AN56" i="22"/>
  <c r="AN53" i="22"/>
  <c r="AO52" i="22"/>
  <c r="AN52" i="22"/>
  <c r="AN51" i="22"/>
  <c r="AN50" i="22"/>
  <c r="AN49" i="22"/>
  <c r="AN48" i="22"/>
  <c r="AN45" i="22"/>
  <c r="AO44" i="22"/>
  <c r="AN44" i="22"/>
  <c r="AN43" i="22"/>
  <c r="AN42" i="22"/>
  <c r="AO41" i="22"/>
  <c r="AN40" i="22"/>
  <c r="AN39" i="22"/>
  <c r="AN34" i="22"/>
  <c r="AN33" i="22"/>
  <c r="AN32" i="22"/>
  <c r="AN31" i="22"/>
  <c r="AN30" i="22"/>
  <c r="AN29" i="22"/>
  <c r="AN28" i="22"/>
  <c r="AN26" i="22"/>
  <c r="AN23" i="22"/>
  <c r="AN22" i="22"/>
  <c r="AN21" i="22"/>
  <c r="AN20" i="22"/>
  <c r="AN19" i="22"/>
  <c r="AN18" i="22"/>
  <c r="AN17" i="22"/>
  <c r="AN15" i="22"/>
  <c r="AN14" i="22"/>
  <c r="AN12" i="22"/>
  <c r="AN10" i="22"/>
  <c r="AN9" i="22"/>
  <c r="G417" i="4" l="1"/>
  <c r="G427" i="4" s="1"/>
  <c r="C427" i="4"/>
  <c r="G315" i="4"/>
  <c r="G317" i="4" s="1"/>
  <c r="G207" i="4"/>
  <c r="G209" i="4" s="1"/>
  <c r="AL69" i="22"/>
  <c r="AK69" i="22"/>
  <c r="AL46" i="22"/>
  <c r="AL47" i="22" s="1"/>
  <c r="AK46" i="22"/>
  <c r="AK47" i="22" s="1"/>
  <c r="AL63" i="22"/>
  <c r="AK63" i="22"/>
  <c r="AL59" i="22"/>
  <c r="AK59" i="22"/>
  <c r="AL54" i="22"/>
  <c r="AK54" i="22"/>
  <c r="AL36" i="22"/>
  <c r="AK36" i="22"/>
  <c r="AL27" i="22"/>
  <c r="AK27" i="22"/>
  <c r="AL24" i="22"/>
  <c r="AK24" i="22"/>
  <c r="AL13" i="22"/>
  <c r="AK13" i="22"/>
  <c r="AL11" i="22"/>
  <c r="AK11" i="22"/>
  <c r="AL37" i="22" l="1"/>
  <c r="AL25" i="22"/>
  <c r="AL70" i="22"/>
  <c r="AL71" i="22" s="1"/>
  <c r="Y11" i="9"/>
  <c r="Z17" i="9"/>
  <c r="AK25" i="22"/>
  <c r="AK37" i="22"/>
  <c r="AK70" i="22"/>
  <c r="AK71" i="22" s="1"/>
  <c r="F16" i="5"/>
  <c r="K16" i="5" s="1"/>
  <c r="F18" i="5"/>
  <c r="F21" i="5"/>
  <c r="K21" i="5" s="1"/>
  <c r="F22" i="5"/>
  <c r="K22" i="5" s="1"/>
  <c r="F23" i="5"/>
  <c r="K23" i="5" s="1"/>
  <c r="F24" i="5"/>
  <c r="K24" i="5" s="1"/>
  <c r="F25" i="5"/>
  <c r="K25" i="5" s="1"/>
  <c r="F27" i="5"/>
  <c r="K27" i="5" s="1"/>
  <c r="F37" i="5"/>
  <c r="K37" i="5" s="1"/>
  <c r="F45" i="5"/>
  <c r="F46" i="5"/>
  <c r="F51" i="5"/>
  <c r="F54" i="5"/>
  <c r="F59" i="5"/>
  <c r="F60" i="5"/>
  <c r="F62" i="5"/>
  <c r="K62" i="5" s="1"/>
  <c r="F65" i="5"/>
  <c r="F71" i="5"/>
  <c r="F102" i="5"/>
  <c r="K105" i="5"/>
  <c r="K107" i="5"/>
  <c r="F115" i="5"/>
  <c r="K115" i="5" s="1"/>
  <c r="F116" i="5"/>
  <c r="K116" i="5" s="1"/>
  <c r="F117" i="5"/>
  <c r="K117" i="5" s="1"/>
  <c r="F122" i="5"/>
  <c r="F125" i="5"/>
  <c r="F144" i="5"/>
  <c r="F129" i="5"/>
  <c r="K129" i="5" s="1"/>
  <c r="F130" i="5"/>
  <c r="F131" i="5"/>
  <c r="K131" i="5" s="1"/>
  <c r="F132" i="5"/>
  <c r="K132" i="5" s="1"/>
  <c r="F133" i="5"/>
  <c r="K133" i="5" s="1"/>
  <c r="F134" i="5"/>
  <c r="F135" i="5"/>
  <c r="K135" i="5" s="1"/>
  <c r="F136" i="5"/>
  <c r="K136" i="5" s="1"/>
  <c r="F137" i="5"/>
  <c r="K137" i="5" s="1"/>
  <c r="F148" i="5"/>
  <c r="F149" i="5"/>
  <c r="K149" i="5" s="1"/>
  <c r="F150" i="5"/>
  <c r="K150" i="5" s="1"/>
  <c r="F151" i="5"/>
  <c r="K151" i="5" s="1"/>
  <c r="E143" i="5"/>
  <c r="E126" i="5"/>
  <c r="E124" i="5" s="1"/>
  <c r="E123" i="5"/>
  <c r="E121" i="5" s="1"/>
  <c r="E114" i="5"/>
  <c r="E113" i="5"/>
  <c r="E112" i="5"/>
  <c r="E111" i="5"/>
  <c r="E109" i="5"/>
  <c r="E108" i="5" s="1"/>
  <c r="E104" i="5"/>
  <c r="E94" i="5"/>
  <c r="E73" i="5"/>
  <c r="E72" i="5"/>
  <c r="F72" i="5" s="1"/>
  <c r="E70" i="5"/>
  <c r="E69" i="5"/>
  <c r="E68" i="5"/>
  <c r="E64" i="5"/>
  <c r="E61" i="5"/>
  <c r="E58" i="5"/>
  <c r="E57" i="5"/>
  <c r="E55" i="5"/>
  <c r="E52" i="5"/>
  <c r="E49" i="5"/>
  <c r="E43" i="5"/>
  <c r="E41" i="5"/>
  <c r="E38" i="5"/>
  <c r="E35" i="5"/>
  <c r="D143" i="5"/>
  <c r="D126" i="5"/>
  <c r="D124" i="5" s="1"/>
  <c r="D123" i="5"/>
  <c r="D121" i="5" s="1"/>
  <c r="D114" i="5"/>
  <c r="D112" i="5"/>
  <c r="D109" i="5"/>
  <c r="D104" i="5"/>
  <c r="D94" i="5"/>
  <c r="D69" i="5"/>
  <c r="D64" i="5"/>
  <c r="F63" i="5"/>
  <c r="F61" i="5"/>
  <c r="D58" i="5"/>
  <c r="D57" i="5"/>
  <c r="D55" i="5"/>
  <c r="D52" i="5"/>
  <c r="D50" i="5"/>
  <c r="D49" i="5"/>
  <c r="D41" i="5"/>
  <c r="D38" i="5"/>
  <c r="D35" i="5"/>
  <c r="K134" i="5"/>
  <c r="K130" i="5"/>
  <c r="K122" i="5"/>
  <c r="G114" i="5"/>
  <c r="C114" i="5"/>
  <c r="K106" i="5"/>
  <c r="G104" i="5"/>
  <c r="C104" i="5"/>
  <c r="K101" i="5"/>
  <c r="K100" i="5"/>
  <c r="K99" i="5"/>
  <c r="K98" i="5"/>
  <c r="K97" i="5"/>
  <c r="K95" i="5"/>
  <c r="C94" i="5"/>
  <c r="K79" i="5"/>
  <c r="K71" i="5"/>
  <c r="K54" i="5"/>
  <c r="K42" i="5"/>
  <c r="G41" i="5"/>
  <c r="C41" i="5"/>
  <c r="K40" i="5"/>
  <c r="K39" i="5"/>
  <c r="G38" i="5"/>
  <c r="C38" i="5"/>
  <c r="C35" i="5"/>
  <c r="K34" i="5"/>
  <c r="C32" i="5"/>
  <c r="K31" i="5"/>
  <c r="C29" i="5"/>
  <c r="K28" i="5"/>
  <c r="G26" i="5"/>
  <c r="C26" i="5"/>
  <c r="K18" i="5"/>
  <c r="C143" i="5"/>
  <c r="C142" i="5" s="1"/>
  <c r="C128" i="5" s="1"/>
  <c r="C126" i="5"/>
  <c r="C124" i="5" s="1"/>
  <c r="C123" i="5"/>
  <c r="C121" i="5" s="1"/>
  <c r="C112" i="5"/>
  <c r="C111" i="5"/>
  <c r="C109" i="5"/>
  <c r="C108" i="5" s="1"/>
  <c r="C72" i="5"/>
  <c r="C70" i="5"/>
  <c r="C69" i="5"/>
  <c r="C68" i="5"/>
  <c r="C66" i="5"/>
  <c r="C65" i="5"/>
  <c r="C64" i="5"/>
  <c r="C63" i="5"/>
  <c r="C61" i="5"/>
  <c r="C60" i="5"/>
  <c r="C59" i="5"/>
  <c r="C58" i="5"/>
  <c r="C57" i="5"/>
  <c r="C56" i="5"/>
  <c r="C55" i="5"/>
  <c r="C53" i="5"/>
  <c r="C51" i="5"/>
  <c r="C50" i="5"/>
  <c r="C49" i="5"/>
  <c r="C15" i="5"/>
  <c r="D142" i="5" l="1"/>
  <c r="D128" i="5" s="1"/>
  <c r="E142" i="5"/>
  <c r="E138" i="5" s="1"/>
  <c r="F41" i="5"/>
  <c r="K45" i="5"/>
  <c r="F43" i="5"/>
  <c r="AL38" i="22"/>
  <c r="AL73" i="22" s="1"/>
  <c r="F26" i="5"/>
  <c r="K26" i="5" s="1"/>
  <c r="F104" i="5"/>
  <c r="K104" i="5" s="1"/>
  <c r="F114" i="5"/>
  <c r="K114" i="5" s="1"/>
  <c r="F113" i="5"/>
  <c r="Z11" i="9"/>
  <c r="AA17" i="9"/>
  <c r="F38" i="5"/>
  <c r="K38" i="5" s="1"/>
  <c r="F124" i="5"/>
  <c r="F109" i="5"/>
  <c r="D110" i="5"/>
  <c r="F64" i="5"/>
  <c r="F52" i="5"/>
  <c r="F58" i="5"/>
  <c r="F69" i="5"/>
  <c r="D67" i="5"/>
  <c r="F112" i="5"/>
  <c r="F53" i="5"/>
  <c r="F49" i="5"/>
  <c r="F57" i="5"/>
  <c r="C73" i="5"/>
  <c r="C110" i="5"/>
  <c r="C103" i="5" s="1"/>
  <c r="E48" i="5"/>
  <c r="F55" i="5"/>
  <c r="D89" i="5"/>
  <c r="F121" i="5"/>
  <c r="C67" i="5"/>
  <c r="C89" i="5"/>
  <c r="D48" i="5"/>
  <c r="F56" i="5"/>
  <c r="F70" i="5"/>
  <c r="D108" i="5"/>
  <c r="F108" i="5" s="1"/>
  <c r="E110" i="5"/>
  <c r="E103" i="5" s="1"/>
  <c r="F94" i="5"/>
  <c r="F50" i="5"/>
  <c r="D120" i="5"/>
  <c r="F123" i="5"/>
  <c r="F111" i="5"/>
  <c r="D73" i="5"/>
  <c r="F73" i="5" s="1"/>
  <c r="E67" i="5"/>
  <c r="E89" i="5"/>
  <c r="E120" i="5"/>
  <c r="F126" i="5"/>
  <c r="F68" i="5"/>
  <c r="C48" i="5"/>
  <c r="F143" i="5"/>
  <c r="AK38" i="22"/>
  <c r="AK73" i="22" s="1"/>
  <c r="F35" i="5"/>
  <c r="F36" i="5"/>
  <c r="K41" i="5"/>
  <c r="C120" i="5"/>
  <c r="E128" i="5" l="1"/>
  <c r="F128" i="5" s="1"/>
  <c r="F142" i="5"/>
  <c r="D138" i="5"/>
  <c r="F48" i="5"/>
  <c r="F120" i="5"/>
  <c r="C47" i="5"/>
  <c r="F110" i="5"/>
  <c r="E47" i="5"/>
  <c r="D47" i="5"/>
  <c r="D103" i="5"/>
  <c r="F103" i="5" s="1"/>
  <c r="F89" i="5"/>
  <c r="F67" i="5"/>
  <c r="F47" i="5" l="1"/>
  <c r="H123" i="9"/>
  <c r="R52" i="18" l="1"/>
  <c r="O50" i="18"/>
  <c r="U50" i="18" s="1"/>
  <c r="J14" i="7"/>
  <c r="F14" i="7"/>
  <c r="G14" i="7"/>
  <c r="H14" i="7"/>
  <c r="E14" i="7"/>
  <c r="M66" i="6" l="1"/>
  <c r="M69" i="6" s="1"/>
  <c r="AU92" i="9" l="1"/>
  <c r="Z93" i="9"/>
  <c r="Y92" i="9"/>
  <c r="F63" i="6"/>
  <c r="F69" i="6" s="1"/>
  <c r="E57" i="6"/>
  <c r="E63" i="6"/>
  <c r="T66" i="6"/>
  <c r="T69" i="6" s="1"/>
  <c r="T63" i="6"/>
  <c r="S63" i="6"/>
  <c r="S69" i="6" s="1"/>
  <c r="BO166" i="9"/>
  <c r="U63" i="6"/>
  <c r="L63" i="8"/>
  <c r="N52" i="8"/>
  <c r="N53" i="8"/>
  <c r="N54" i="8"/>
  <c r="N55" i="8"/>
  <c r="N56" i="8"/>
  <c r="N57" i="8"/>
  <c r="N58" i="8"/>
  <c r="N59" i="8"/>
  <c r="N60" i="8"/>
  <c r="N61" i="8"/>
  <c r="N62" i="8"/>
  <c r="N51" i="8"/>
  <c r="BQ150" i="9" l="1"/>
  <c r="BO147" i="9"/>
  <c r="BQ147" i="9" s="1"/>
  <c r="Z92" i="9"/>
  <c r="AA93" i="9"/>
  <c r="BO164" i="9"/>
  <c r="BQ166" i="9"/>
  <c r="Y121" i="9"/>
  <c r="Z123" i="9"/>
  <c r="AA123" i="9" s="1"/>
  <c r="Z64" i="9"/>
  <c r="Y45" i="9"/>
  <c r="Y44" i="9" s="1"/>
  <c r="E69" i="6"/>
  <c r="Y117" i="9" l="1"/>
  <c r="Z121" i="9"/>
  <c r="AV92" i="9"/>
  <c r="AA64" i="9"/>
  <c r="Z45" i="9"/>
  <c r="AA45" i="9" s="1"/>
  <c r="AU121" i="9"/>
  <c r="BQ164" i="9"/>
  <c r="BO163" i="9"/>
  <c r="BQ163" i="9" s="1"/>
  <c r="AU45" i="9"/>
  <c r="AU44" i="9" s="1"/>
  <c r="Y18" i="9"/>
  <c r="Y10" i="9" s="1"/>
  <c r="Z19" i="9"/>
  <c r="Y172" i="9" l="1"/>
  <c r="Z172" i="9" s="1"/>
  <c r="AA19" i="9"/>
  <c r="Z18" i="9"/>
  <c r="AU117" i="9"/>
  <c r="AU172" i="9" s="1"/>
  <c r="D28" i="14" s="1"/>
  <c r="AV121" i="9"/>
  <c r="Z117" i="9"/>
  <c r="AA121" i="9"/>
  <c r="AA117" i="9" s="1"/>
  <c r="O42" i="18"/>
  <c r="U42" i="18" s="1"/>
  <c r="O36" i="18"/>
  <c r="U36" i="18" s="1"/>
  <c r="O32" i="18"/>
  <c r="U32" i="18" s="1"/>
  <c r="D23" i="14" l="1"/>
  <c r="I23" i="14" s="1"/>
  <c r="I28" i="14"/>
  <c r="AV117" i="9"/>
  <c r="AA18" i="9"/>
  <c r="Z10" i="9"/>
  <c r="H72" i="18"/>
  <c r="H66" i="18"/>
  <c r="H65" i="18" s="1"/>
  <c r="H63" i="18"/>
  <c r="H62" i="18" s="1"/>
  <c r="H50" i="18"/>
  <c r="H42" i="18"/>
  <c r="H40" i="18"/>
  <c r="H39" i="18" s="1"/>
  <c r="H35" i="18"/>
  <c r="H32" i="18"/>
  <c r="H19" i="18"/>
  <c r="H9" i="18"/>
  <c r="H8" i="18" s="1"/>
  <c r="G72" i="18"/>
  <c r="F54" i="18"/>
  <c r="I69" i="18" l="1"/>
  <c r="I68" i="18" s="1"/>
  <c r="G54" i="18"/>
  <c r="H69" i="18"/>
  <c r="H68" i="18" s="1"/>
  <c r="H18" i="18"/>
  <c r="I74" i="18" l="1"/>
  <c r="I75" i="18" s="1"/>
  <c r="H54" i="18"/>
  <c r="H53" i="18" s="1"/>
  <c r="G69" i="18"/>
  <c r="G66" i="18"/>
  <c r="G65" i="18" s="1"/>
  <c r="G63" i="18"/>
  <c r="G62" i="18" s="1"/>
  <c r="G53" i="18"/>
  <c r="G50" i="18"/>
  <c r="G42" i="18"/>
  <c r="G40" i="18"/>
  <c r="G39" i="18" s="1"/>
  <c r="G35" i="18"/>
  <c r="G32" i="18"/>
  <c r="G19" i="18"/>
  <c r="G9" i="18"/>
  <c r="G8" i="18" s="1"/>
  <c r="F72" i="18"/>
  <c r="F69" i="18"/>
  <c r="F66" i="18"/>
  <c r="F65" i="18" s="1"/>
  <c r="F63" i="18"/>
  <c r="F62" i="18" s="1"/>
  <c r="F53" i="18"/>
  <c r="F48" i="18" s="1"/>
  <c r="F50" i="18"/>
  <c r="F42" i="18"/>
  <c r="F40" i="18"/>
  <c r="F39" i="18" s="1"/>
  <c r="F35" i="18"/>
  <c r="F32" i="18"/>
  <c r="F19" i="18"/>
  <c r="F9" i="18"/>
  <c r="F8" i="18" s="1"/>
  <c r="AV174" i="9" l="1"/>
  <c r="M73" i="6"/>
  <c r="H74" i="18"/>
  <c r="H75" i="18" s="1"/>
  <c r="AW183" i="9" s="1"/>
  <c r="G18" i="18"/>
  <c r="F68" i="18"/>
  <c r="F18" i="18"/>
  <c r="G68" i="18"/>
  <c r="F154" i="5" l="1"/>
  <c r="AF175" i="9"/>
  <c r="AO174" i="9"/>
  <c r="G74" i="18"/>
  <c r="G75" i="18" s="1"/>
  <c r="F74" i="18"/>
  <c r="F75" i="18" s="1"/>
  <c r="F81" i="18" s="1"/>
  <c r="E154" i="5" l="1"/>
  <c r="D154" i="5"/>
  <c r="L72" i="18" l="1"/>
  <c r="L69" i="18"/>
  <c r="L68" i="18" s="1"/>
  <c r="L66" i="18"/>
  <c r="L65" i="18" s="1"/>
  <c r="L63" i="18"/>
  <c r="L62" i="18" s="1"/>
  <c r="L54" i="18"/>
  <c r="L53" i="18" s="1"/>
  <c r="L48" i="18" s="1"/>
  <c r="L50" i="18"/>
  <c r="L42" i="18"/>
  <c r="L40" i="18"/>
  <c r="L39" i="18" s="1"/>
  <c r="L35" i="18"/>
  <c r="L32" i="18"/>
  <c r="L19" i="18"/>
  <c r="L9" i="18"/>
  <c r="L8" i="18" s="1"/>
  <c r="O9" i="18" l="1"/>
  <c r="O8" i="18" s="1"/>
  <c r="L18" i="18"/>
  <c r="L74" i="18" s="1"/>
  <c r="L75" i="18" s="1"/>
  <c r="BN174" i="9" s="1"/>
  <c r="BN176" i="9" s="1"/>
  <c r="P9" i="21"/>
  <c r="F9" i="21"/>
  <c r="F10" i="21"/>
  <c r="J10" i="21" s="1"/>
  <c r="N10" i="21" s="1"/>
  <c r="F11" i="21"/>
  <c r="J11" i="21" s="1"/>
  <c r="N11" i="21" s="1"/>
  <c r="F12" i="21"/>
  <c r="J12" i="21" s="1"/>
  <c r="N12" i="21" s="1"/>
  <c r="F13" i="21"/>
  <c r="F14" i="21"/>
  <c r="J14" i="21" s="1"/>
  <c r="N14" i="21" s="1"/>
  <c r="F15" i="21"/>
  <c r="J15" i="21" s="1"/>
  <c r="N15" i="21" s="1"/>
  <c r="F16" i="21"/>
  <c r="J16" i="21" s="1"/>
  <c r="N16" i="21" s="1"/>
  <c r="F17" i="21"/>
  <c r="J17" i="21" s="1"/>
  <c r="N17" i="21" s="1"/>
  <c r="F18" i="21"/>
  <c r="I18" i="21" s="1"/>
  <c r="M18" i="21" s="1"/>
  <c r="I14" i="21" l="1"/>
  <c r="M14" i="21" s="1"/>
  <c r="I11" i="21"/>
  <c r="M11" i="21" s="1"/>
  <c r="K13" i="21"/>
  <c r="O13" i="21" s="1"/>
  <c r="I13" i="21"/>
  <c r="M13" i="21" s="1"/>
  <c r="J13" i="21"/>
  <c r="N13" i="21" s="1"/>
  <c r="K10" i="21"/>
  <c r="O10" i="21" s="1"/>
  <c r="K18" i="21"/>
  <c r="O18" i="21" s="1"/>
  <c r="K15" i="21"/>
  <c r="O15" i="21" s="1"/>
  <c r="K14" i="21"/>
  <c r="O14" i="21" s="1"/>
  <c r="J18" i="21"/>
  <c r="N18" i="21" s="1"/>
  <c r="K11" i="21"/>
  <c r="O11" i="21" s="1"/>
  <c r="I10" i="21"/>
  <c r="M10" i="21" s="1"/>
  <c r="P10" i="21" s="1"/>
  <c r="BN183" i="9"/>
  <c r="BN184" i="9" s="1"/>
  <c r="T71" i="6"/>
  <c r="T73" i="6" s="1"/>
  <c r="I15" i="21"/>
  <c r="M15" i="21" s="1"/>
  <c r="K16" i="21"/>
  <c r="O16" i="21" s="1"/>
  <c r="K12" i="21"/>
  <c r="O12" i="21" s="1"/>
  <c r="I17" i="21"/>
  <c r="I12" i="21"/>
  <c r="M12" i="21" s="1"/>
  <c r="I16" i="21"/>
  <c r="M16" i="21" s="1"/>
  <c r="K17" i="21"/>
  <c r="O17" i="21" s="1"/>
  <c r="G17" i="21"/>
  <c r="P13" i="21" l="1"/>
  <c r="N19" i="21"/>
  <c r="P12" i="21"/>
  <c r="P14" i="21"/>
  <c r="P16" i="21"/>
  <c r="M17" i="21"/>
  <c r="P17" i="21" s="1"/>
  <c r="Q17" i="21" s="1"/>
  <c r="L17" i="21"/>
  <c r="AC72" i="22"/>
  <c r="O69" i="22"/>
  <c r="E69" i="22"/>
  <c r="AS68" i="22"/>
  <c r="AX68" i="22" s="1"/>
  <c r="T68" i="22"/>
  <c r="AU68" i="22"/>
  <c r="I68" i="22"/>
  <c r="AS66" i="22"/>
  <c r="AX66" i="22" s="1"/>
  <c r="T66" i="22"/>
  <c r="I66" i="22"/>
  <c r="AS64" i="22"/>
  <c r="AX64" i="22" s="1"/>
  <c r="T64" i="22"/>
  <c r="AU64" i="22"/>
  <c r="I64" i="22"/>
  <c r="O63" i="22"/>
  <c r="E63" i="22"/>
  <c r="AU58" i="22"/>
  <c r="AU57" i="22"/>
  <c r="E59" i="22"/>
  <c r="AS58" i="22"/>
  <c r="AX58" i="22" s="1"/>
  <c r="T58" i="22"/>
  <c r="AV58" i="22"/>
  <c r="I58" i="22"/>
  <c r="AS57" i="22"/>
  <c r="T57" i="22"/>
  <c r="AV57" i="22"/>
  <c r="I57" i="22"/>
  <c r="AP57" i="22" s="1"/>
  <c r="L50" i="22"/>
  <c r="AU52" i="22"/>
  <c r="AS52" i="22"/>
  <c r="T52" i="22"/>
  <c r="AV52" i="22"/>
  <c r="I52" i="22"/>
  <c r="AP52" i="22" s="1"/>
  <c r="E54" i="22"/>
  <c r="O54" i="22"/>
  <c r="E36" i="22"/>
  <c r="AS32" i="22"/>
  <c r="AX32" i="22" s="1"/>
  <c r="T32" i="22"/>
  <c r="AU32" i="22"/>
  <c r="I32" i="22"/>
  <c r="O27" i="22"/>
  <c r="L27" i="22"/>
  <c r="K27" i="22"/>
  <c r="E27" i="22"/>
  <c r="O24" i="22"/>
  <c r="L24" i="22"/>
  <c r="K24" i="22"/>
  <c r="E24" i="22"/>
  <c r="AU22" i="22"/>
  <c r="AS22" i="22"/>
  <c r="AX22" i="22" s="1"/>
  <c r="T22" i="22"/>
  <c r="I22" i="22"/>
  <c r="AU17" i="22"/>
  <c r="AS17" i="22"/>
  <c r="AX17" i="22" s="1"/>
  <c r="T17" i="22"/>
  <c r="I17" i="22"/>
  <c r="AU18" i="22"/>
  <c r="AS18" i="22"/>
  <c r="AX18" i="22" s="1"/>
  <c r="T18" i="22"/>
  <c r="I18" i="22"/>
  <c r="AU15" i="22"/>
  <c r="AS15" i="22"/>
  <c r="AX15" i="22" s="1"/>
  <c r="T15" i="22"/>
  <c r="I15" i="22"/>
  <c r="AP15" i="22" s="1"/>
  <c r="A14" i="22"/>
  <c r="A15" i="22" s="1"/>
  <c r="A16" i="22" s="1"/>
  <c r="A17" i="22" s="1"/>
  <c r="A18" i="22" s="1"/>
  <c r="O13" i="22"/>
  <c r="L13" i="22"/>
  <c r="K13" i="22"/>
  <c r="T53" i="22"/>
  <c r="T51" i="22"/>
  <c r="T50" i="22"/>
  <c r="T49" i="22"/>
  <c r="T48" i="22"/>
  <c r="T61" i="22"/>
  <c r="T60" i="22"/>
  <c r="T62" i="22"/>
  <c r="T56" i="22"/>
  <c r="T45" i="22"/>
  <c r="T44" i="22"/>
  <c r="T43" i="22"/>
  <c r="T42" i="22"/>
  <c r="T40" i="22"/>
  <c r="T39" i="22"/>
  <c r="T26" i="22"/>
  <c r="T27" i="22" s="1"/>
  <c r="T34" i="22"/>
  <c r="T33" i="22"/>
  <c r="T31" i="22"/>
  <c r="T30" i="22"/>
  <c r="T29" i="22"/>
  <c r="T28" i="22"/>
  <c r="T23" i="22"/>
  <c r="T21" i="22"/>
  <c r="T20" i="22"/>
  <c r="T19" i="22"/>
  <c r="T14" i="22"/>
  <c r="T12" i="22"/>
  <c r="T13" i="22" s="1"/>
  <c r="T10" i="22"/>
  <c r="T9" i="22"/>
  <c r="E13" i="22"/>
  <c r="AU12" i="22"/>
  <c r="AU13" i="22" s="1"/>
  <c r="AS12" i="22"/>
  <c r="AN13" i="22"/>
  <c r="I12" i="22"/>
  <c r="AJ12" i="22" s="1"/>
  <c r="I9" i="22"/>
  <c r="O11" i="22"/>
  <c r="L11" i="22"/>
  <c r="E11" i="22"/>
  <c r="I69" i="22" l="1"/>
  <c r="AP9" i="22"/>
  <c r="N9" i="22"/>
  <c r="AJ13" i="22"/>
  <c r="N58" i="22"/>
  <c r="AY58" i="22" s="1"/>
  <c r="AP58" i="22"/>
  <c r="P68" i="22"/>
  <c r="U68" i="22" s="1"/>
  <c r="AP68" i="22"/>
  <c r="N64" i="22"/>
  <c r="AY64" i="22" s="1"/>
  <c r="AP64" i="22"/>
  <c r="P66" i="22"/>
  <c r="U66" i="22" s="1"/>
  <c r="AP66" i="22"/>
  <c r="P18" i="22"/>
  <c r="U18" i="22" s="1"/>
  <c r="AP18" i="22"/>
  <c r="AJ17" i="22"/>
  <c r="AP17" i="22"/>
  <c r="P22" i="22"/>
  <c r="U22" i="22" s="1"/>
  <c r="AP22" i="22"/>
  <c r="P32" i="22"/>
  <c r="AP32" i="22"/>
  <c r="A19" i="22"/>
  <c r="A20" i="22" s="1"/>
  <c r="A21" i="22" s="1"/>
  <c r="A22" i="22" s="1"/>
  <c r="A23" i="22" s="1"/>
  <c r="A26" i="22" s="1"/>
  <c r="A28" i="22" s="1"/>
  <c r="AY52" i="22"/>
  <c r="AX52" i="22"/>
  <c r="AO64" i="22"/>
  <c r="AX12" i="22"/>
  <c r="AX13" i="22" s="1"/>
  <c r="AY57" i="22"/>
  <c r="AW57" i="22"/>
  <c r="AX57" i="22"/>
  <c r="P9" i="22"/>
  <c r="AN69" i="22"/>
  <c r="T63" i="22"/>
  <c r="E70" i="22"/>
  <c r="M19" i="21"/>
  <c r="M20" i="21" s="1"/>
  <c r="Q12" i="22"/>
  <c r="Q13" i="22" s="1"/>
  <c r="N12" i="22"/>
  <c r="N13" i="22" s="1"/>
  <c r="P12" i="22"/>
  <c r="AJ64" i="22"/>
  <c r="Q68" i="22"/>
  <c r="AM68" i="22" s="1"/>
  <c r="AT66" i="22"/>
  <c r="K63" i="22"/>
  <c r="AT52" i="22"/>
  <c r="M64" i="22"/>
  <c r="Q64" i="22"/>
  <c r="V64" i="22" s="1"/>
  <c r="AT64" i="22"/>
  <c r="J64" i="22"/>
  <c r="T69" i="22"/>
  <c r="AX69" i="22"/>
  <c r="Q66" i="22"/>
  <c r="AM66" i="22" s="1"/>
  <c r="M66" i="22"/>
  <c r="AJ66" i="22"/>
  <c r="P64" i="22"/>
  <c r="AJ68" i="22"/>
  <c r="AT68" i="22"/>
  <c r="AU66" i="22"/>
  <c r="AU69" i="22" s="1"/>
  <c r="K69" i="22"/>
  <c r="AV68" i="22"/>
  <c r="AV69" i="22" s="1"/>
  <c r="L69" i="22"/>
  <c r="M68" i="22"/>
  <c r="N66" i="22"/>
  <c r="J68" i="22"/>
  <c r="N68" i="22"/>
  <c r="J66" i="22"/>
  <c r="P58" i="22"/>
  <c r="E37" i="22"/>
  <c r="Q58" i="22"/>
  <c r="AJ57" i="22"/>
  <c r="AT57" i="22"/>
  <c r="AJ58" i="22"/>
  <c r="U57" i="22"/>
  <c r="M57" i="22"/>
  <c r="V57" i="22"/>
  <c r="AT58" i="22"/>
  <c r="J57" i="22"/>
  <c r="M58" i="22"/>
  <c r="J58" i="22"/>
  <c r="P52" i="22"/>
  <c r="M52" i="22"/>
  <c r="J52" i="22"/>
  <c r="Q52" i="22"/>
  <c r="AJ52" i="22"/>
  <c r="T54" i="22"/>
  <c r="K11" i="22"/>
  <c r="K25" i="22" s="1"/>
  <c r="E25" i="22"/>
  <c r="L25" i="22"/>
  <c r="Q9" i="22"/>
  <c r="V9" i="22" s="1"/>
  <c r="O25" i="22"/>
  <c r="U32" i="22"/>
  <c r="Q32" i="22"/>
  <c r="AJ32" i="22"/>
  <c r="AT32" i="22"/>
  <c r="M32" i="22"/>
  <c r="N32" i="22"/>
  <c r="J32" i="22"/>
  <c r="I13" i="22"/>
  <c r="T24" i="22"/>
  <c r="AT15" i="22"/>
  <c r="Q22" i="22"/>
  <c r="AM22" i="22" s="1"/>
  <c r="AT22" i="22"/>
  <c r="J22" i="22"/>
  <c r="AJ22" i="22"/>
  <c r="N22" i="22"/>
  <c r="AJ15" i="22"/>
  <c r="M22" i="22"/>
  <c r="J15" i="22"/>
  <c r="P17" i="22"/>
  <c r="Q17" i="22"/>
  <c r="J17" i="22"/>
  <c r="P15" i="22"/>
  <c r="N15" i="22"/>
  <c r="AY15" i="22" s="1"/>
  <c r="M15" i="22"/>
  <c r="N18" i="22"/>
  <c r="N17" i="22"/>
  <c r="AT17" i="22"/>
  <c r="AT18" i="22"/>
  <c r="Q15" i="22"/>
  <c r="J18" i="22"/>
  <c r="AJ18" i="22"/>
  <c r="M17" i="22"/>
  <c r="Q18" i="22"/>
  <c r="AM18" i="22" s="1"/>
  <c r="A29" i="22"/>
  <c r="A30" i="22" s="1"/>
  <c r="A31" i="22" s="1"/>
  <c r="T36" i="22"/>
  <c r="T37" i="22" s="1"/>
  <c r="M18" i="22"/>
  <c r="T11" i="22"/>
  <c r="M12" i="22"/>
  <c r="AZ12" i="22" s="1"/>
  <c r="AZ13" i="22" s="1"/>
  <c r="AT12" i="22"/>
  <c r="J12" i="22"/>
  <c r="J69" i="22" l="1"/>
  <c r="S58" i="22"/>
  <c r="AM32" i="22"/>
  <c r="S64" i="22"/>
  <c r="AO58" i="22"/>
  <c r="BC58" i="22" s="1"/>
  <c r="AT13" i="22"/>
  <c r="AW68" i="22"/>
  <c r="AW32" i="22"/>
  <c r="AO18" i="22"/>
  <c r="AQ18" i="22" s="1"/>
  <c r="AY18" i="22"/>
  <c r="AM52" i="22"/>
  <c r="AW52" i="22"/>
  <c r="AW18" i="22"/>
  <c r="AZ69" i="22"/>
  <c r="AT69" i="22"/>
  <c r="AM12" i="22"/>
  <c r="AW12" i="22"/>
  <c r="AW13" i="22" s="1"/>
  <c r="AW17" i="22"/>
  <c r="AO32" i="22"/>
  <c r="AY32" i="22"/>
  <c r="AW58" i="22"/>
  <c r="AM64" i="22"/>
  <c r="AM69" i="22" s="1"/>
  <c r="AW64" i="22"/>
  <c r="AO12" i="22"/>
  <c r="AY12" i="22"/>
  <c r="AM9" i="22"/>
  <c r="AO68" i="22"/>
  <c r="AY68" i="22"/>
  <c r="AO17" i="22"/>
  <c r="AY17" i="22"/>
  <c r="AW15" i="22"/>
  <c r="AO22" i="22"/>
  <c r="AQ22" i="22" s="1"/>
  <c r="AY22" i="22"/>
  <c r="AO66" i="22"/>
  <c r="AY66" i="22"/>
  <c r="AW22" i="22"/>
  <c r="AW66" i="22"/>
  <c r="AW69" i="22" s="1"/>
  <c r="AO15" i="22"/>
  <c r="BC15" i="22" s="1"/>
  <c r="AM17" i="22"/>
  <c r="AM58" i="22"/>
  <c r="AM15" i="22"/>
  <c r="U9" i="22"/>
  <c r="S9" i="22"/>
  <c r="AO9" i="22"/>
  <c r="AJ69" i="22"/>
  <c r="V12" i="22"/>
  <c r="V13" i="22" s="1"/>
  <c r="U52" i="22"/>
  <c r="U12" i="22"/>
  <c r="U13" i="22" s="1"/>
  <c r="U64" i="22"/>
  <c r="U69" i="22" s="1"/>
  <c r="AP69" i="22"/>
  <c r="R12" i="22"/>
  <c r="AC12" i="22" s="1"/>
  <c r="R64" i="22"/>
  <c r="AC64" i="22" s="1"/>
  <c r="P69" i="22"/>
  <c r="E38" i="22"/>
  <c r="V66" i="22"/>
  <c r="Q69" i="22"/>
  <c r="V68" i="22"/>
  <c r="S68" i="22"/>
  <c r="R68" i="22"/>
  <c r="AC68" i="22" s="1"/>
  <c r="BC64" i="22"/>
  <c r="S66" i="22"/>
  <c r="R66" i="22"/>
  <c r="AC66" i="22" s="1"/>
  <c r="M69" i="22"/>
  <c r="N69" i="22"/>
  <c r="V58" i="22"/>
  <c r="U58" i="22"/>
  <c r="R58" i="22"/>
  <c r="AC58" i="22" s="1"/>
  <c r="S57" i="22"/>
  <c r="BA57" i="22"/>
  <c r="R57" i="22"/>
  <c r="AC57" i="22" s="1"/>
  <c r="V52" i="22"/>
  <c r="S52" i="22"/>
  <c r="R52" i="22"/>
  <c r="AC52" i="22" s="1"/>
  <c r="S12" i="22"/>
  <c r="S13" i="22" s="1"/>
  <c r="T25" i="22"/>
  <c r="T38" i="22" s="1"/>
  <c r="R17" i="22"/>
  <c r="AC17" i="22" s="1"/>
  <c r="P13" i="22"/>
  <c r="V32" i="22"/>
  <c r="A32" i="22"/>
  <c r="A33" i="22" s="1"/>
  <c r="A34" i="22" s="1"/>
  <c r="S32" i="22"/>
  <c r="R32" i="22"/>
  <c r="AC32" i="22" s="1"/>
  <c r="V22" i="22"/>
  <c r="R18" i="22"/>
  <c r="AC18" i="22" s="1"/>
  <c r="U17" i="22"/>
  <c r="R22" i="22"/>
  <c r="AC22" i="22" s="1"/>
  <c r="R9" i="22"/>
  <c r="AC9" i="22" s="1"/>
  <c r="S18" i="22"/>
  <c r="S15" i="22"/>
  <c r="S22" i="22"/>
  <c r="V18" i="22"/>
  <c r="U15" i="22"/>
  <c r="R15" i="22"/>
  <c r="AC15" i="22" s="1"/>
  <c r="V15" i="22"/>
  <c r="S17" i="22"/>
  <c r="AP13" i="22"/>
  <c r="M13" i="22"/>
  <c r="V17" i="22"/>
  <c r="J13" i="22"/>
  <c r="I21" i="14"/>
  <c r="BC68" i="22" l="1"/>
  <c r="AQ58" i="22"/>
  <c r="A35" i="22"/>
  <c r="A39" i="22" s="1"/>
  <c r="A40" i="22" s="1"/>
  <c r="A41" i="22" s="1"/>
  <c r="A42" i="22" s="1"/>
  <c r="BA12" i="22"/>
  <c r="AM13" i="22"/>
  <c r="AQ12" i="22"/>
  <c r="W9" i="22"/>
  <c r="BC18" i="22"/>
  <c r="AO69" i="22"/>
  <c r="BC17" i="22"/>
  <c r="AQ17" i="22"/>
  <c r="W22" i="22"/>
  <c r="X22" i="22" s="1"/>
  <c r="AY69" i="22"/>
  <c r="W66" i="22"/>
  <c r="X66" i="22" s="1"/>
  <c r="V69" i="22"/>
  <c r="W64" i="22"/>
  <c r="X64" i="22" s="1"/>
  <c r="AQ64" i="22"/>
  <c r="BA58" i="22"/>
  <c r="BA66" i="22"/>
  <c r="BA64" i="22"/>
  <c r="BA68" i="22"/>
  <c r="W68" i="22"/>
  <c r="S69" i="22"/>
  <c r="BC66" i="22"/>
  <c r="AQ66" i="22"/>
  <c r="R69" i="22"/>
  <c r="AC69" i="22" s="1"/>
  <c r="AQ68" i="22"/>
  <c r="W58" i="22"/>
  <c r="X58" i="22" s="1"/>
  <c r="W57" i="22"/>
  <c r="X57" i="22" s="1"/>
  <c r="BC57" i="22"/>
  <c r="AQ57" i="22"/>
  <c r="BA52" i="22"/>
  <c r="BC52" i="22"/>
  <c r="W52" i="22"/>
  <c r="X52" i="22" s="1"/>
  <c r="AQ52" i="22"/>
  <c r="BA32" i="22"/>
  <c r="BA18" i="22"/>
  <c r="BC22" i="22"/>
  <c r="W32" i="22"/>
  <c r="X32" i="22" s="1"/>
  <c r="AQ32" i="22"/>
  <c r="AQ15" i="22"/>
  <c r="W17" i="22"/>
  <c r="X17" i="22" s="1"/>
  <c r="BC32" i="22"/>
  <c r="W18" i="22"/>
  <c r="X18" i="22" s="1"/>
  <c r="BA15" i="22"/>
  <c r="BA22" i="22"/>
  <c r="W15" i="22"/>
  <c r="X15" i="22" s="1"/>
  <c r="BA17" i="22"/>
  <c r="AO13" i="22"/>
  <c r="R148" i="9"/>
  <c r="AW148" i="9" s="1"/>
  <c r="BK148" i="9"/>
  <c r="BK149" i="9"/>
  <c r="BK150" i="9"/>
  <c r="BK151" i="9"/>
  <c r="BK152" i="9"/>
  <c r="BK153" i="9"/>
  <c r="BK154" i="9"/>
  <c r="BE22" i="22" l="1"/>
  <c r="BE58" i="22"/>
  <c r="A43" i="22"/>
  <c r="A44" i="22" s="1"/>
  <c r="A45" i="22" s="1"/>
  <c r="A48" i="22" s="1"/>
  <c r="A49" i="22" s="1"/>
  <c r="A50" i="22" s="1"/>
  <c r="A51" i="22" s="1"/>
  <c r="A52" i="22" s="1"/>
  <c r="A53" i="22" s="1"/>
  <c r="A55" i="22" s="1"/>
  <c r="A56" i="22" s="1"/>
  <c r="A57" i="22" s="1"/>
  <c r="A58" i="22" s="1"/>
  <c r="A60" i="22" s="1"/>
  <c r="A61" i="22" s="1"/>
  <c r="A62" i="22" s="1"/>
  <c r="A64" i="22" s="1"/>
  <c r="BE18" i="22"/>
  <c r="BE57" i="22"/>
  <c r="BE52" i="22"/>
  <c r="BE15" i="22"/>
  <c r="BE17" i="22"/>
  <c r="BE32" i="22"/>
  <c r="BE64" i="22"/>
  <c r="BE66" i="22"/>
  <c r="BA13" i="22"/>
  <c r="AY13" i="22"/>
  <c r="BA69" i="22"/>
  <c r="AQ69" i="22"/>
  <c r="W69" i="22"/>
  <c r="X68" i="22"/>
  <c r="X69" i="22" s="1"/>
  <c r="AG69" i="22" s="1"/>
  <c r="R13" i="22"/>
  <c r="AC13" i="22" s="1"/>
  <c r="BC12" i="22"/>
  <c r="W12" i="22"/>
  <c r="X12" i="22" s="1"/>
  <c r="X13" i="22" s="1"/>
  <c r="AQ13" i="22"/>
  <c r="BE13" i="22" l="1"/>
  <c r="BE12" i="22"/>
  <c r="BE68" i="22"/>
  <c r="A65" i="22"/>
  <c r="W13" i="22"/>
  <c r="AG13" i="22"/>
  <c r="A66" i="22" l="1"/>
  <c r="A67" i="22" s="1"/>
  <c r="A68" i="22" s="1"/>
  <c r="O147" i="9" l="1"/>
  <c r="M71" i="9"/>
  <c r="O18" i="9" l="1"/>
  <c r="S66" i="6" l="1"/>
  <c r="BI165" i="9" s="1"/>
  <c r="U66" i="6"/>
  <c r="U69" i="6" s="1"/>
  <c r="BI126" i="9" l="1"/>
  <c r="BI164" i="9"/>
  <c r="BI163" i="9" s="1"/>
  <c r="BI172" i="9" l="1"/>
  <c r="K72" i="18" l="1"/>
  <c r="V65" i="6"/>
  <c r="V64" i="6"/>
  <c r="V63" i="6" s="1"/>
  <c r="N60" i="6" l="1"/>
  <c r="N69" i="6" s="1"/>
  <c r="BE155" i="9" l="1"/>
  <c r="R73" i="6"/>
  <c r="V61" i="6"/>
  <c r="V60" i="6"/>
  <c r="I24" i="14" l="1"/>
  <c r="BE165" i="9"/>
  <c r="Q69" i="18" l="1"/>
  <c r="V29" i="6" l="1"/>
  <c r="BO132" i="9"/>
  <c r="BQ132" i="9" s="1"/>
  <c r="V28" i="6"/>
  <c r="BQ10" i="9"/>
  <c r="BQ11" i="9"/>
  <c r="BQ12" i="9"/>
  <c r="BQ13" i="9"/>
  <c r="BQ14" i="9"/>
  <c r="BQ15" i="9"/>
  <c r="BQ16" i="9"/>
  <c r="BQ17" i="9"/>
  <c r="BQ18" i="9"/>
  <c r="BQ19" i="9"/>
  <c r="BQ20" i="9"/>
  <c r="BQ21" i="9"/>
  <c r="BQ22" i="9"/>
  <c r="BQ23" i="9"/>
  <c r="BQ24" i="9"/>
  <c r="BQ25" i="9"/>
  <c r="BQ26" i="9"/>
  <c r="BQ27" i="9"/>
  <c r="BQ28" i="9"/>
  <c r="BQ29" i="9"/>
  <c r="BQ30" i="9"/>
  <c r="BQ31" i="9"/>
  <c r="BQ32" i="9"/>
  <c r="BQ33" i="9"/>
  <c r="BQ34" i="9"/>
  <c r="BQ35" i="9"/>
  <c r="BQ36" i="9"/>
  <c r="BQ37" i="9"/>
  <c r="BQ38" i="9"/>
  <c r="BQ39" i="9"/>
  <c r="BQ40" i="9"/>
  <c r="BQ41" i="9"/>
  <c r="BQ42" i="9"/>
  <c r="BQ44" i="9"/>
  <c r="BQ45" i="9"/>
  <c r="BQ46" i="9"/>
  <c r="BQ47" i="9"/>
  <c r="BQ48" i="9"/>
  <c r="BQ49" i="9"/>
  <c r="BQ50" i="9"/>
  <c r="BQ51" i="9"/>
  <c r="BQ52" i="9"/>
  <c r="BQ53" i="9"/>
  <c r="BQ54" i="9"/>
  <c r="BQ55" i="9"/>
  <c r="BQ56" i="9"/>
  <c r="BQ57" i="9"/>
  <c r="BQ58" i="9"/>
  <c r="BQ59" i="9"/>
  <c r="BQ60" i="9"/>
  <c r="BQ61" i="9"/>
  <c r="BQ62" i="9"/>
  <c r="BQ63" i="9"/>
  <c r="BQ64" i="9"/>
  <c r="BQ65" i="9"/>
  <c r="BQ66" i="9"/>
  <c r="BQ67" i="9"/>
  <c r="BQ68" i="9"/>
  <c r="BQ69" i="9"/>
  <c r="BQ70" i="9"/>
  <c r="BQ71" i="9"/>
  <c r="BQ72" i="9"/>
  <c r="BQ73" i="9"/>
  <c r="BQ74" i="9"/>
  <c r="BQ75" i="9"/>
  <c r="BQ76" i="9"/>
  <c r="BQ77" i="9"/>
  <c r="BQ78" i="9"/>
  <c r="BQ79" i="9"/>
  <c r="BQ80" i="9"/>
  <c r="BQ81" i="9"/>
  <c r="BQ82" i="9"/>
  <c r="BQ83" i="9"/>
  <c r="BQ84" i="9"/>
  <c r="BQ85" i="9"/>
  <c r="BQ86" i="9"/>
  <c r="BQ87" i="9"/>
  <c r="BQ88" i="9"/>
  <c r="BQ89" i="9"/>
  <c r="BQ90" i="9"/>
  <c r="BQ91" i="9"/>
  <c r="BQ92" i="9"/>
  <c r="BQ94" i="9"/>
  <c r="BQ99" i="9"/>
  <c r="BQ100" i="9"/>
  <c r="BQ102" i="9"/>
  <c r="BQ108" i="9"/>
  <c r="BQ109" i="9"/>
  <c r="BQ110" i="9"/>
  <c r="BQ111" i="9"/>
  <c r="BQ112" i="9"/>
  <c r="BQ113" i="9"/>
  <c r="BQ114" i="9"/>
  <c r="BQ115" i="9"/>
  <c r="BQ117" i="9"/>
  <c r="BQ118" i="9"/>
  <c r="BQ119" i="9"/>
  <c r="BQ120" i="9"/>
  <c r="BQ121" i="9"/>
  <c r="BQ122" i="9"/>
  <c r="BQ123" i="9"/>
  <c r="BQ124" i="9"/>
  <c r="BQ133" i="9"/>
  <c r="BQ134" i="9"/>
  <c r="BQ135" i="9"/>
  <c r="BQ136" i="9"/>
  <c r="BQ137" i="9"/>
  <c r="BQ138" i="9"/>
  <c r="BQ139" i="9"/>
  <c r="BQ143" i="9"/>
  <c r="BQ144" i="9"/>
  <c r="BQ145" i="9"/>
  <c r="BQ146" i="9"/>
  <c r="BQ157" i="9"/>
  <c r="BQ158" i="9"/>
  <c r="BQ159" i="9"/>
  <c r="BQ160" i="9"/>
  <c r="C20" i="8"/>
  <c r="C17" i="8" s="1"/>
  <c r="K63" i="8"/>
  <c r="G9" i="20"/>
  <c r="E72" i="18"/>
  <c r="K69" i="18"/>
  <c r="K68" i="18" s="1"/>
  <c r="L65" i="8" l="1"/>
  <c r="C27" i="8"/>
  <c r="C25" i="8" s="1"/>
  <c r="N73" i="18"/>
  <c r="N72" i="18" s="1"/>
  <c r="BO127" i="9"/>
  <c r="C72" i="18"/>
  <c r="R73" i="18" l="1"/>
  <c r="BO126" i="9"/>
  <c r="BQ127" i="9"/>
  <c r="BE168" i="9"/>
  <c r="BE166" i="9"/>
  <c r="BE164" i="9" s="1"/>
  <c r="BE163" i="9" s="1"/>
  <c r="BE161" i="9"/>
  <c r="BE160" i="9"/>
  <c r="BE159" i="9"/>
  <c r="BE154" i="9"/>
  <c r="BE153" i="9"/>
  <c r="BE152" i="9"/>
  <c r="BE151" i="9"/>
  <c r="BE150" i="9"/>
  <c r="BE148" i="9"/>
  <c r="BS148" i="9" s="1"/>
  <c r="BE146" i="9"/>
  <c r="BS146" i="9" s="1"/>
  <c r="BE145" i="9"/>
  <c r="BE144" i="9"/>
  <c r="BE143" i="9"/>
  <c r="BE139" i="9"/>
  <c r="BE138" i="9"/>
  <c r="BE137" i="9"/>
  <c r="BE135" i="9"/>
  <c r="BE134" i="9"/>
  <c r="BE133" i="9"/>
  <c r="BE132" i="9"/>
  <c r="BE131" i="9"/>
  <c r="BE130" i="9"/>
  <c r="BE129" i="9"/>
  <c r="BE128" i="9"/>
  <c r="BE124" i="9"/>
  <c r="BE123" i="9"/>
  <c r="BE122" i="9"/>
  <c r="BE120" i="9"/>
  <c r="BE119" i="9"/>
  <c r="BE115" i="9"/>
  <c r="BE114" i="9"/>
  <c r="BE113" i="9"/>
  <c r="BE112" i="9"/>
  <c r="BE111" i="9"/>
  <c r="BE110" i="9"/>
  <c r="BE109" i="9"/>
  <c r="BE107" i="9"/>
  <c r="BE105" i="9"/>
  <c r="BE104" i="9"/>
  <c r="BE103" i="9"/>
  <c r="BE102" i="9"/>
  <c r="BE101" i="9"/>
  <c r="BE97" i="9"/>
  <c r="BE94" i="9"/>
  <c r="BE91" i="9"/>
  <c r="BE90" i="9"/>
  <c r="BE89" i="9"/>
  <c r="BE88" i="9"/>
  <c r="BE86" i="9"/>
  <c r="BE85" i="9"/>
  <c r="BE84" i="9"/>
  <c r="BE83" i="9"/>
  <c r="BE82" i="9"/>
  <c r="BE81" i="9"/>
  <c r="BE80" i="9"/>
  <c r="BE79" i="9"/>
  <c r="BE78" i="9"/>
  <c r="BE77" i="9"/>
  <c r="BE76" i="9"/>
  <c r="BE75" i="9"/>
  <c r="BE74" i="9"/>
  <c r="BE73" i="9"/>
  <c r="BE72" i="9"/>
  <c r="BE70" i="9"/>
  <c r="BE69" i="9"/>
  <c r="BE68" i="9"/>
  <c r="BE67" i="9"/>
  <c r="BE66" i="9"/>
  <c r="BE64" i="9"/>
  <c r="BE63" i="9"/>
  <c r="BE62" i="9"/>
  <c r="BE61" i="9"/>
  <c r="BE60" i="9"/>
  <c r="BE59" i="9"/>
  <c r="BE58" i="9"/>
  <c r="BE57" i="9"/>
  <c r="BE56" i="9"/>
  <c r="BE55" i="9"/>
  <c r="BE54" i="9"/>
  <c r="BE53" i="9"/>
  <c r="BE52" i="9"/>
  <c r="BE51" i="9"/>
  <c r="BE50" i="9"/>
  <c r="BE49" i="9"/>
  <c r="BE48" i="9"/>
  <c r="BE47" i="9"/>
  <c r="BE46" i="9"/>
  <c r="BE42" i="9"/>
  <c r="BE41" i="9"/>
  <c r="BE39" i="9"/>
  <c r="BE37" i="9"/>
  <c r="BE36" i="9"/>
  <c r="BE34" i="9"/>
  <c r="BE33" i="9"/>
  <c r="BE31" i="9"/>
  <c r="BE30" i="9"/>
  <c r="BE28" i="9"/>
  <c r="BE27" i="9"/>
  <c r="BE25" i="9"/>
  <c r="BE24" i="9"/>
  <c r="BE22" i="9"/>
  <c r="BE21" i="9"/>
  <c r="BE20" i="9"/>
  <c r="BE19" i="9"/>
  <c r="BE17" i="9"/>
  <c r="BE16" i="9"/>
  <c r="BE15" i="9"/>
  <c r="BE14" i="9"/>
  <c r="BE13" i="9"/>
  <c r="BE12" i="9"/>
  <c r="BO172" i="9" l="1"/>
  <c r="G19" i="14" s="1"/>
  <c r="G17" i="14" s="1"/>
  <c r="BE118" i="9"/>
  <c r="BE158" i="9"/>
  <c r="BE157" i="9" s="1"/>
  <c r="BE100" i="9"/>
  <c r="BE136" i="9"/>
  <c r="BE127" i="9"/>
  <c r="BE121" i="9"/>
  <c r="BE142" i="9"/>
  <c r="BE149" i="9"/>
  <c r="BE147" i="9" s="1"/>
  <c r="AS61" i="22"/>
  <c r="AX61" i="22" s="1"/>
  <c r="AU61" i="22"/>
  <c r="I61" i="22"/>
  <c r="AP61" i="22" s="1"/>
  <c r="BE140" i="9" l="1"/>
  <c r="BS140" i="9" s="1"/>
  <c r="BS142" i="9"/>
  <c r="BE126" i="9"/>
  <c r="N61" i="22"/>
  <c r="AY61" i="22" s="1"/>
  <c r="P61" i="22"/>
  <c r="Q61" i="22"/>
  <c r="V61" i="22" s="1"/>
  <c r="AT61" i="22"/>
  <c r="M61" i="22"/>
  <c r="J61" i="22"/>
  <c r="AJ61" i="22"/>
  <c r="AW61" i="22" l="1"/>
  <c r="AM61" i="22"/>
  <c r="S61" i="22"/>
  <c r="AO61" i="22"/>
  <c r="U61" i="22"/>
  <c r="F21" i="12"/>
  <c r="D20" i="14"/>
  <c r="I20" i="14" s="1"/>
  <c r="W61" i="22" l="1"/>
  <c r="X61" i="22" s="1"/>
  <c r="R61" i="22"/>
  <c r="AC61" i="22" s="1"/>
  <c r="BC61" i="22" l="1"/>
  <c r="BA61" i="22"/>
  <c r="AQ61" i="22"/>
  <c r="BE61" i="22" s="1"/>
  <c r="H8" i="20" l="1"/>
  <c r="J8" i="20" s="1"/>
  <c r="K66" i="18" l="1"/>
  <c r="K65" i="18" s="1"/>
  <c r="K63" i="18"/>
  <c r="K62" i="18" s="1"/>
  <c r="K54" i="18"/>
  <c r="K53" i="18" s="1"/>
  <c r="K48" i="18" s="1"/>
  <c r="K50" i="18"/>
  <c r="K42" i="18"/>
  <c r="K40" i="18"/>
  <c r="K35" i="18"/>
  <c r="K32" i="18"/>
  <c r="K19" i="18"/>
  <c r="K9" i="18"/>
  <c r="K8" i="18" s="1"/>
  <c r="K39" i="18" l="1"/>
  <c r="K18" i="18"/>
  <c r="K74" i="18" l="1"/>
  <c r="K75" i="18" s="1"/>
  <c r="BE174" i="9" s="1"/>
  <c r="BE183" i="9" l="1"/>
  <c r="N71" i="6"/>
  <c r="N73" i="6" s="1"/>
  <c r="M45" i="9"/>
  <c r="R10" i="9" l="1"/>
  <c r="R168" i="9"/>
  <c r="R165" i="9"/>
  <c r="AW165" i="9" s="1"/>
  <c r="R161" i="9"/>
  <c r="AW161" i="9" s="1"/>
  <c r="BS161" i="9" s="1"/>
  <c r="R160" i="9"/>
  <c r="AW160" i="9" s="1"/>
  <c r="R159" i="9"/>
  <c r="AW159" i="9" s="1"/>
  <c r="BS159" i="9" s="1"/>
  <c r="R158" i="9"/>
  <c r="AW158" i="9" s="1"/>
  <c r="R157" i="9"/>
  <c r="AW157" i="9" s="1"/>
  <c r="R154" i="9"/>
  <c r="AW154" i="9" s="1"/>
  <c r="BS154" i="9" s="1"/>
  <c r="R153" i="9"/>
  <c r="AW153" i="9" s="1"/>
  <c r="BS153" i="9" s="1"/>
  <c r="R152" i="9"/>
  <c r="AW152" i="9" s="1"/>
  <c r="BS152" i="9" s="1"/>
  <c r="R151" i="9"/>
  <c r="AW151" i="9" s="1"/>
  <c r="BS151" i="9" s="1"/>
  <c r="R150" i="9"/>
  <c r="AW150" i="9" s="1"/>
  <c r="BS150" i="9" s="1"/>
  <c r="R145" i="9"/>
  <c r="AW145" i="9" s="1"/>
  <c r="BS145" i="9" s="1"/>
  <c r="R144" i="9"/>
  <c r="AW144" i="9" s="1"/>
  <c r="BS144" i="9" s="1"/>
  <c r="R143" i="9"/>
  <c r="AW143" i="9" s="1"/>
  <c r="BS143" i="9" s="1"/>
  <c r="R139" i="9"/>
  <c r="AW139" i="9" s="1"/>
  <c r="BS139" i="9" s="1"/>
  <c r="R138" i="9"/>
  <c r="AW138" i="9" s="1"/>
  <c r="BS138" i="9" s="1"/>
  <c r="R137" i="9"/>
  <c r="AW137" i="9" s="1"/>
  <c r="BS137" i="9" s="1"/>
  <c r="R136" i="9"/>
  <c r="AW136" i="9" s="1"/>
  <c r="R135" i="9"/>
  <c r="AW135" i="9" s="1"/>
  <c r="BS135" i="9" s="1"/>
  <c r="R134" i="9"/>
  <c r="AW134" i="9" s="1"/>
  <c r="BS134" i="9" s="1"/>
  <c r="R133" i="9"/>
  <c r="AW133" i="9" s="1"/>
  <c r="BS133" i="9" s="1"/>
  <c r="R132" i="9"/>
  <c r="AW132" i="9" s="1"/>
  <c r="BS132" i="9" s="1"/>
  <c r="R131" i="9"/>
  <c r="AW131" i="9" s="1"/>
  <c r="BS131" i="9" s="1"/>
  <c r="R130" i="9"/>
  <c r="AW130" i="9" s="1"/>
  <c r="BS130" i="9" s="1"/>
  <c r="R129" i="9"/>
  <c r="AW129" i="9" s="1"/>
  <c r="BS129" i="9" s="1"/>
  <c r="C126" i="10" s="1"/>
  <c r="R128" i="9"/>
  <c r="AW128" i="9" s="1"/>
  <c r="BS128" i="9" s="1"/>
  <c r="R127" i="9"/>
  <c r="AW127" i="9" s="1"/>
  <c r="R124" i="9"/>
  <c r="AW124" i="9" s="1"/>
  <c r="BS124" i="9" s="1"/>
  <c r="R123" i="9"/>
  <c r="AW123" i="9" s="1"/>
  <c r="BS123" i="9" s="1"/>
  <c r="R122" i="9"/>
  <c r="AW122" i="9" s="1"/>
  <c r="BS122" i="9" s="1"/>
  <c r="C119" i="10" s="1"/>
  <c r="R121" i="9"/>
  <c r="AW121" i="9" s="1"/>
  <c r="R120" i="9"/>
  <c r="AW120" i="9" s="1"/>
  <c r="BS120" i="9" s="1"/>
  <c r="R119" i="9"/>
  <c r="AW119" i="9" s="1"/>
  <c r="BS119" i="9" s="1"/>
  <c r="R118" i="9"/>
  <c r="AW118" i="9" s="1"/>
  <c r="R117" i="9"/>
  <c r="AW117" i="9" s="1"/>
  <c r="R115" i="9"/>
  <c r="AW115" i="9" s="1"/>
  <c r="BS115" i="9" s="1"/>
  <c r="R114" i="9"/>
  <c r="AW114" i="9" s="1"/>
  <c r="BS114" i="9" s="1"/>
  <c r="R113" i="9"/>
  <c r="AW113" i="9" s="1"/>
  <c r="BS113" i="9" s="1"/>
  <c r="R112" i="9"/>
  <c r="AW112" i="9" s="1"/>
  <c r="R111" i="9"/>
  <c r="AW111" i="9" s="1"/>
  <c r="BS111" i="9" s="1"/>
  <c r="R110" i="9"/>
  <c r="AW110" i="9" s="1"/>
  <c r="BS110" i="9" s="1"/>
  <c r="R109" i="9"/>
  <c r="AW109" i="9" s="1"/>
  <c r="BS109" i="9" s="1"/>
  <c r="R108" i="9"/>
  <c r="AW108" i="9" s="1"/>
  <c r="R107" i="9"/>
  <c r="AW107" i="9" s="1"/>
  <c r="R106" i="9"/>
  <c r="AW106" i="9" s="1"/>
  <c r="BD106" i="9" s="1"/>
  <c r="BE106" i="9" s="1"/>
  <c r="R105" i="9"/>
  <c r="AW105" i="9" s="1"/>
  <c r="BS105" i="9" s="1"/>
  <c r="R104" i="9"/>
  <c r="AW104" i="9" s="1"/>
  <c r="BS104" i="9" s="1"/>
  <c r="R103" i="9"/>
  <c r="AW103" i="9" s="1"/>
  <c r="R102" i="9"/>
  <c r="AW102" i="9" s="1"/>
  <c r="BS102" i="9" s="1"/>
  <c r="R101" i="9"/>
  <c r="AW101" i="9" s="1"/>
  <c r="BS101" i="9" s="1"/>
  <c r="R100" i="9"/>
  <c r="AW100" i="9" s="1"/>
  <c r="R99" i="9"/>
  <c r="AW99" i="9" s="1"/>
  <c r="R97" i="9"/>
  <c r="AW97" i="9" s="1"/>
  <c r="BS97" i="9" s="1"/>
  <c r="R94" i="9"/>
  <c r="AW94" i="9" s="1"/>
  <c r="R92" i="9"/>
  <c r="R91" i="9"/>
  <c r="AW91" i="9" s="1"/>
  <c r="R90" i="9"/>
  <c r="AW90" i="9" s="1"/>
  <c r="BS90" i="9" s="1"/>
  <c r="R89" i="9"/>
  <c r="AW89" i="9" s="1"/>
  <c r="R88" i="9"/>
  <c r="AW88" i="9" s="1"/>
  <c r="R87" i="9"/>
  <c r="R86" i="9"/>
  <c r="AW86" i="9" s="1"/>
  <c r="R85" i="9"/>
  <c r="AW85" i="9" s="1"/>
  <c r="R84" i="9"/>
  <c r="AW84" i="9" s="1"/>
  <c r="R83" i="9"/>
  <c r="AW83" i="9" s="1"/>
  <c r="R82" i="9"/>
  <c r="AW82" i="9" s="1"/>
  <c r="R81" i="9"/>
  <c r="AW81" i="9" s="1"/>
  <c r="R80" i="9"/>
  <c r="AW80" i="9" s="1"/>
  <c r="R79" i="9"/>
  <c r="AW79" i="9" s="1"/>
  <c r="R78" i="9"/>
  <c r="AW78" i="9" s="1"/>
  <c r="R77" i="9"/>
  <c r="AW77" i="9" s="1"/>
  <c r="R76" i="9"/>
  <c r="AW76" i="9" s="1"/>
  <c r="R75" i="9"/>
  <c r="AW75" i="9" s="1"/>
  <c r="R74" i="9"/>
  <c r="AW74" i="9" s="1"/>
  <c r="R73" i="9"/>
  <c r="AW73" i="9" s="1"/>
  <c r="R72" i="9"/>
  <c r="AW72" i="9" s="1"/>
  <c r="R71" i="9"/>
  <c r="AW71" i="9" s="1"/>
  <c r="R70" i="9"/>
  <c r="AW70" i="9" s="1"/>
  <c r="R69" i="9"/>
  <c r="AW69" i="9" s="1"/>
  <c r="R68" i="9"/>
  <c r="AW68" i="9" s="1"/>
  <c r="R67" i="9"/>
  <c r="AW67" i="9" s="1"/>
  <c r="R66" i="9"/>
  <c r="AW66" i="9" s="1"/>
  <c r="R65" i="9"/>
  <c r="AW65" i="9" s="1"/>
  <c r="R64" i="9"/>
  <c r="AW64" i="9" s="1"/>
  <c r="R63" i="9"/>
  <c r="AW63" i="9" s="1"/>
  <c r="R62" i="9"/>
  <c r="AW62" i="9" s="1"/>
  <c r="R61" i="9"/>
  <c r="AW61" i="9" s="1"/>
  <c r="R60" i="9"/>
  <c r="AW60" i="9" s="1"/>
  <c r="R59" i="9"/>
  <c r="AW59" i="9" s="1"/>
  <c r="R58" i="9"/>
  <c r="AW58" i="9" s="1"/>
  <c r="R57" i="9"/>
  <c r="AW57" i="9" s="1"/>
  <c r="R56" i="9"/>
  <c r="AW56" i="9" s="1"/>
  <c r="R55" i="9"/>
  <c r="AW55" i="9" s="1"/>
  <c r="R54" i="9"/>
  <c r="AW54" i="9" s="1"/>
  <c r="R53" i="9"/>
  <c r="AW53" i="9" s="1"/>
  <c r="R52" i="9"/>
  <c r="AW52" i="9" s="1"/>
  <c r="R51" i="9"/>
  <c r="AW51" i="9" s="1"/>
  <c r="R50" i="9"/>
  <c r="AW50" i="9" s="1"/>
  <c r="R49" i="9"/>
  <c r="AW49" i="9" s="1"/>
  <c r="R48" i="9"/>
  <c r="AW48" i="9" s="1"/>
  <c r="R47" i="9"/>
  <c r="AW47" i="9" s="1"/>
  <c r="R46" i="9"/>
  <c r="AW46" i="9" s="1"/>
  <c r="R45" i="9"/>
  <c r="AW45" i="9" s="1"/>
  <c r="R44" i="9"/>
  <c r="R42" i="9"/>
  <c r="AW42" i="9" s="1"/>
  <c r="BS42" i="9" s="1"/>
  <c r="R41" i="9"/>
  <c r="R40" i="9"/>
  <c r="R39" i="9"/>
  <c r="R38" i="9"/>
  <c r="R37" i="9"/>
  <c r="AW37" i="9" s="1"/>
  <c r="BS37" i="9" s="1"/>
  <c r="R36" i="9"/>
  <c r="AW36" i="9" s="1"/>
  <c r="R35" i="9"/>
  <c r="AW35" i="9" s="1"/>
  <c r="R34" i="9"/>
  <c r="AW34" i="9" s="1"/>
  <c r="R33" i="9"/>
  <c r="AW33" i="9" s="1"/>
  <c r="BD33" i="9" s="1"/>
  <c r="R32" i="9"/>
  <c r="AW32" i="9" s="1"/>
  <c r="R31" i="9"/>
  <c r="AW31" i="9" s="1"/>
  <c r="BS31" i="9" s="1"/>
  <c r="R30" i="9"/>
  <c r="R29" i="9"/>
  <c r="R28" i="9"/>
  <c r="AW28" i="9" s="1"/>
  <c r="BS28" i="9" s="1"/>
  <c r="R27" i="9"/>
  <c r="R26" i="9"/>
  <c r="R25" i="9"/>
  <c r="AW25" i="9" s="1"/>
  <c r="R24" i="9"/>
  <c r="AW24" i="9" s="1"/>
  <c r="BD24" i="9" s="1"/>
  <c r="R23" i="9"/>
  <c r="R22" i="9"/>
  <c r="AW22" i="9" s="1"/>
  <c r="BS22" i="9" s="1"/>
  <c r="R21" i="9"/>
  <c r="AW21" i="9" s="1"/>
  <c r="BS21" i="9" s="1"/>
  <c r="R20" i="9"/>
  <c r="AW20" i="9" s="1"/>
  <c r="BS20" i="9" s="1"/>
  <c r="R19" i="9"/>
  <c r="AW19" i="9" s="1"/>
  <c r="R18" i="9"/>
  <c r="AW18" i="9" s="1"/>
  <c r="R17" i="9"/>
  <c r="R16" i="9"/>
  <c r="R15" i="9"/>
  <c r="AW15" i="9" s="1"/>
  <c r="R14" i="9"/>
  <c r="R13" i="9"/>
  <c r="AW13" i="9" s="1"/>
  <c r="R12" i="9"/>
  <c r="R11" i="9"/>
  <c r="V15" i="6"/>
  <c r="Z87" i="9" l="1"/>
  <c r="Z44" i="9" s="1"/>
  <c r="AA44" i="9" s="1"/>
  <c r="AW23" i="9"/>
  <c r="BA23" i="9" s="1"/>
  <c r="BD25" i="9"/>
  <c r="BD23" i="9" s="1"/>
  <c r="BS25" i="9"/>
  <c r="BS34" i="9"/>
  <c r="BD34" i="9"/>
  <c r="BD32" i="9" s="1"/>
  <c r="BE32" i="9" s="1"/>
  <c r="AA92" i="9"/>
  <c r="AW92" i="9"/>
  <c r="V14" i="6"/>
  <c r="BE23" i="9" l="1"/>
  <c r="BD10" i="9"/>
  <c r="BE10" i="9" s="1"/>
  <c r="AA87" i="9"/>
  <c r="AI87" i="9" s="1"/>
  <c r="AI44" i="9" s="1"/>
  <c r="AJ44" i="9" s="1"/>
  <c r="BJ147" i="9"/>
  <c r="BK147" i="9" s="1"/>
  <c r="BK155" i="9"/>
  <c r="BS155" i="9" s="1"/>
  <c r="AJ87" i="9" l="1"/>
  <c r="AV87" i="9" s="1"/>
  <c r="AV44" i="9" s="1"/>
  <c r="AW44" i="9" s="1"/>
  <c r="R149" i="9"/>
  <c r="AW149" i="9" s="1"/>
  <c r="BS149" i="9" s="1"/>
  <c r="G540" i="4"/>
  <c r="G539" i="4" s="1"/>
  <c r="G538" i="4" s="1"/>
  <c r="I14" i="7"/>
  <c r="AW87" i="9" l="1"/>
  <c r="AV172" i="9"/>
  <c r="AV176" i="9" s="1"/>
  <c r="R147" i="9"/>
  <c r="AW147" i="9" s="1"/>
  <c r="Q172" i="9"/>
  <c r="N166" i="9"/>
  <c r="R166" i="9" s="1"/>
  <c r="AW166" i="9" s="1"/>
  <c r="V67" i="6"/>
  <c r="V66" i="6" s="1"/>
  <c r="O164" i="9"/>
  <c r="O163" i="9" s="1"/>
  <c r="G449" i="4" l="1"/>
  <c r="G95" i="4"/>
  <c r="BP126" i="9" l="1"/>
  <c r="BQ126" i="9" l="1"/>
  <c r="BP172" i="9"/>
  <c r="N127" i="9"/>
  <c r="BQ172" i="9" l="1"/>
  <c r="N121" i="9"/>
  <c r="O10" i="9"/>
  <c r="N65" i="9" l="1"/>
  <c r="M142" i="9" l="1"/>
  <c r="M140" i="9" s="1"/>
  <c r="N45" i="9"/>
  <c r="N18" i="9"/>
  <c r="M18" i="9" l="1"/>
  <c r="V37" i="6" l="1"/>
  <c r="AS29" i="22" l="1"/>
  <c r="AX29" i="22" s="1"/>
  <c r="V23" i="6" l="1"/>
  <c r="V69" i="6" s="1"/>
  <c r="M127" i="9"/>
  <c r="AS43" i="22" l="1"/>
  <c r="AX43" i="22" s="1"/>
  <c r="AU43" i="22"/>
  <c r="I43" i="22"/>
  <c r="AP43" i="22" s="1"/>
  <c r="M43" i="22" l="1"/>
  <c r="N43" i="22"/>
  <c r="AY43" i="22" s="1"/>
  <c r="P43" i="22"/>
  <c r="Q43" i="22"/>
  <c r="V43" i="22" s="1"/>
  <c r="J43" i="22"/>
  <c r="AJ43" i="22"/>
  <c r="AT43" i="22"/>
  <c r="AW43" i="22" l="1"/>
  <c r="AM43" i="22"/>
  <c r="S43" i="22"/>
  <c r="AO43" i="22"/>
  <c r="U43" i="22"/>
  <c r="F107" i="9"/>
  <c r="F106" i="9" s="1"/>
  <c r="D475" i="4"/>
  <c r="C12" i="4"/>
  <c r="G470" i="4"/>
  <c r="AS55" i="22"/>
  <c r="AS56" i="22"/>
  <c r="AX56" i="22" s="1"/>
  <c r="AS62" i="22"/>
  <c r="AX62" i="22" s="1"/>
  <c r="AS60" i="22"/>
  <c r="AX60" i="22" s="1"/>
  <c r="AS48" i="22"/>
  <c r="AX48" i="22" s="1"/>
  <c r="AS49" i="22"/>
  <c r="AX49" i="22" s="1"/>
  <c r="AS50" i="22"/>
  <c r="AX50" i="22" s="1"/>
  <c r="AS51" i="22"/>
  <c r="AX51" i="22" s="1"/>
  <c r="AS53" i="22"/>
  <c r="AX53" i="22" s="1"/>
  <c r="AS39" i="22"/>
  <c r="AX39" i="22" s="1"/>
  <c r="AS40" i="22"/>
  <c r="AX40" i="22" s="1"/>
  <c r="AS41" i="22"/>
  <c r="AS42" i="22"/>
  <c r="AX42" i="22" s="1"/>
  <c r="AS44" i="22"/>
  <c r="AS45" i="22"/>
  <c r="AX45" i="22" s="1"/>
  <c r="AS23" i="22"/>
  <c r="AX23" i="22" s="1"/>
  <c r="W43" i="22" l="1"/>
  <c r="X43" i="22" s="1"/>
  <c r="AY44" i="22"/>
  <c r="AX44" i="22"/>
  <c r="AY41" i="22"/>
  <c r="R43" i="22"/>
  <c r="AC43" i="22" s="1"/>
  <c r="F469" i="4"/>
  <c r="F449" i="4"/>
  <c r="E449" i="4"/>
  <c r="D491" i="4"/>
  <c r="D449" i="4"/>
  <c r="C449" i="4"/>
  <c r="C475" i="4"/>
  <c r="F32" i="4"/>
  <c r="BC43" i="22" l="1"/>
  <c r="AQ43" i="22"/>
  <c r="BA43" i="22"/>
  <c r="BE43" i="22" l="1"/>
  <c r="AS21" i="22"/>
  <c r="AX21" i="22" s="1"/>
  <c r="AU21" i="22"/>
  <c r="I21" i="22"/>
  <c r="AP21" i="22" s="1"/>
  <c r="L59" i="22"/>
  <c r="AU44" i="22"/>
  <c r="I44" i="22"/>
  <c r="AP44" i="22" s="1"/>
  <c r="AS30" i="22"/>
  <c r="AX30" i="22" s="1"/>
  <c r="AU30" i="22"/>
  <c r="I30" i="22"/>
  <c r="AP30" i="22" s="1"/>
  <c r="AS20" i="22"/>
  <c r="AX20" i="22" s="1"/>
  <c r="AU20" i="22"/>
  <c r="I20" i="22"/>
  <c r="AP20" i="22" s="1"/>
  <c r="E63" i="18"/>
  <c r="E62" i="18" s="1"/>
  <c r="E69" i="18"/>
  <c r="E68" i="18" s="1"/>
  <c r="E66" i="18"/>
  <c r="E65" i="18" s="1"/>
  <c r="E54" i="18"/>
  <c r="E53" i="18" s="1"/>
  <c r="E48" i="18" s="1"/>
  <c r="E50" i="18"/>
  <c r="E42" i="18"/>
  <c r="E40" i="18"/>
  <c r="E39" i="18" s="1"/>
  <c r="E35" i="18"/>
  <c r="E32" i="18"/>
  <c r="E19" i="18"/>
  <c r="E9" i="18"/>
  <c r="E8" i="18" s="1"/>
  <c r="C69" i="18"/>
  <c r="C68" i="18" s="1"/>
  <c r="AV56" i="22" l="1"/>
  <c r="AV59" i="22" s="1"/>
  <c r="P20" i="22"/>
  <c r="Q20" i="22"/>
  <c r="N20" i="22"/>
  <c r="P30" i="22"/>
  <c r="Q30" i="22"/>
  <c r="V30" i="22" s="1"/>
  <c r="N30" i="22"/>
  <c r="AY30" i="22" s="1"/>
  <c r="Q44" i="22"/>
  <c r="V44" i="22" s="1"/>
  <c r="S44" i="22"/>
  <c r="P44" i="22"/>
  <c r="N21" i="22"/>
  <c r="AY21" i="22" s="1"/>
  <c r="P21" i="22"/>
  <c r="Q21" i="22"/>
  <c r="V21" i="22" s="1"/>
  <c r="N63" i="18"/>
  <c r="N62" i="18" s="1"/>
  <c r="E18" i="18"/>
  <c r="E74" i="18" s="1"/>
  <c r="J21" i="22"/>
  <c r="M21" i="22"/>
  <c r="AJ21" i="22"/>
  <c r="AT21" i="22"/>
  <c r="J44" i="22"/>
  <c r="M44" i="22"/>
  <c r="AJ44" i="22"/>
  <c r="AT44" i="22"/>
  <c r="J30" i="22"/>
  <c r="M30" i="22"/>
  <c r="AJ30" i="22"/>
  <c r="AT30" i="22"/>
  <c r="AT20" i="22"/>
  <c r="J20" i="22"/>
  <c r="M20" i="22"/>
  <c r="AJ20" i="22"/>
  <c r="AM21" i="22" l="1"/>
  <c r="AW21" i="22"/>
  <c r="AO20" i="22"/>
  <c r="AY20" i="22"/>
  <c r="AM44" i="22"/>
  <c r="AW44" i="22"/>
  <c r="AM20" i="22"/>
  <c r="AW20" i="22"/>
  <c r="AW30" i="22"/>
  <c r="S21" i="22"/>
  <c r="AO21" i="22"/>
  <c r="S30" i="22"/>
  <c r="AO30" i="22"/>
  <c r="AM30" i="22"/>
  <c r="U21" i="22"/>
  <c r="W21" i="22" s="1"/>
  <c r="X21" i="22" s="1"/>
  <c r="U44" i="22"/>
  <c r="W44" i="22" s="1"/>
  <c r="X44" i="22" s="1"/>
  <c r="U30" i="22"/>
  <c r="S20" i="22"/>
  <c r="V20" i="22"/>
  <c r="U20" i="22"/>
  <c r="E75" i="18"/>
  <c r="P174" i="9" s="1"/>
  <c r="P176" i="9" s="1"/>
  <c r="R20" i="22"/>
  <c r="AC20" i="22" s="1"/>
  <c r="W30" i="22" l="1"/>
  <c r="X30" i="22" s="1"/>
  <c r="R183" i="9"/>
  <c r="F71" i="6"/>
  <c r="F73" i="6" s="1"/>
  <c r="W20" i="22"/>
  <c r="X20" i="22" s="1"/>
  <c r="BA21" i="22"/>
  <c r="R21" i="22"/>
  <c r="AC21" i="22" s="1"/>
  <c r="BA44" i="22"/>
  <c r="R44" i="22"/>
  <c r="AC44" i="22" s="1"/>
  <c r="BA30" i="22"/>
  <c r="R30" i="22"/>
  <c r="AC30" i="22" s="1"/>
  <c r="BA20" i="22"/>
  <c r="BC20" i="22"/>
  <c r="AQ20" i="22"/>
  <c r="BE20" i="22" l="1"/>
  <c r="BC30" i="22"/>
  <c r="BC21" i="22"/>
  <c r="AQ21" i="22"/>
  <c r="BE21" i="22" s="1"/>
  <c r="BC44" i="22"/>
  <c r="AQ44" i="22"/>
  <c r="BE44" i="22" s="1"/>
  <c r="AQ30" i="22"/>
  <c r="BE30" i="22" s="1"/>
  <c r="O45" i="9"/>
  <c r="O44" i="9" s="1"/>
  <c r="N164" i="9"/>
  <c r="N163" i="9" l="1"/>
  <c r="R163" i="9" s="1"/>
  <c r="AW163" i="9" s="1"/>
  <c r="R164" i="9"/>
  <c r="AW164" i="9" s="1"/>
  <c r="N71" i="9"/>
  <c r="N44" i="9" s="1"/>
  <c r="M166" i="9" l="1"/>
  <c r="G515" i="4" l="1"/>
  <c r="G112" i="5" s="1"/>
  <c r="K112" i="5" s="1"/>
  <c r="G514" i="4"/>
  <c r="G111" i="5" s="1"/>
  <c r="G516" i="4"/>
  <c r="G113" i="5" s="1"/>
  <c r="K113" i="5" s="1"/>
  <c r="G490" i="4"/>
  <c r="G88" i="5" s="1"/>
  <c r="G110" i="5" l="1"/>
  <c r="K110" i="5" s="1"/>
  <c r="F475" i="4" l="1"/>
  <c r="BA85" i="22" l="1"/>
  <c r="BA83" i="22"/>
  <c r="I51" i="22" l="1"/>
  <c r="AP51" i="22" s="1"/>
  <c r="I23" i="22"/>
  <c r="AP23" i="22" s="1"/>
  <c r="E46" i="22"/>
  <c r="E47" i="22" s="1"/>
  <c r="E71" i="22" s="1"/>
  <c r="E73" i="22" s="1"/>
  <c r="AU29" i="22"/>
  <c r="I29" i="22"/>
  <c r="AP29" i="22" s="1"/>
  <c r="AU50" i="22"/>
  <c r="I50" i="22"/>
  <c r="AP50" i="22" s="1"/>
  <c r="G9" i="21"/>
  <c r="Q9" i="21" s="1"/>
  <c r="G10" i="21"/>
  <c r="G11" i="21"/>
  <c r="G12" i="21"/>
  <c r="G13" i="21"/>
  <c r="Q13" i="21" s="1"/>
  <c r="G14" i="21"/>
  <c r="G15" i="21"/>
  <c r="G16" i="21"/>
  <c r="Q12" i="21" l="1"/>
  <c r="Q16" i="21"/>
  <c r="Q14" i="21"/>
  <c r="Q10" i="21"/>
  <c r="J51" i="22"/>
  <c r="N51" i="22"/>
  <c r="AY51" i="22" s="1"/>
  <c r="Q51" i="22"/>
  <c r="V51" i="22" s="1"/>
  <c r="P51" i="22"/>
  <c r="P50" i="22"/>
  <c r="Q50" i="22"/>
  <c r="V50" i="22" s="1"/>
  <c r="N50" i="22"/>
  <c r="AY50" i="22" s="1"/>
  <c r="Q29" i="22"/>
  <c r="V29" i="22" s="1"/>
  <c r="P29" i="22"/>
  <c r="N29" i="22"/>
  <c r="AY29" i="22" s="1"/>
  <c r="N23" i="22"/>
  <c r="P23" i="22"/>
  <c r="Q23" i="22"/>
  <c r="J50" i="22"/>
  <c r="M29" i="22"/>
  <c r="J29" i="22"/>
  <c r="AJ29" i="22"/>
  <c r="AT29" i="22"/>
  <c r="M50" i="22"/>
  <c r="AJ50" i="22"/>
  <c r="AT50" i="22"/>
  <c r="AM51" i="22" l="1"/>
  <c r="AW51" i="22"/>
  <c r="AO23" i="22"/>
  <c r="AY23" i="22"/>
  <c r="AM23" i="22"/>
  <c r="AW23" i="22"/>
  <c r="AW29" i="22"/>
  <c r="AW50" i="22"/>
  <c r="S50" i="22"/>
  <c r="AO50" i="22"/>
  <c r="S29" i="22"/>
  <c r="AO29" i="22"/>
  <c r="S51" i="22"/>
  <c r="AO51" i="22"/>
  <c r="AM29" i="22"/>
  <c r="AM50" i="22"/>
  <c r="U51" i="22"/>
  <c r="U29" i="22"/>
  <c r="U50" i="22"/>
  <c r="V23" i="22"/>
  <c r="S23" i="22"/>
  <c r="U23" i="22"/>
  <c r="R29" i="22"/>
  <c r="AC29" i="22" s="1"/>
  <c r="R50" i="22"/>
  <c r="AC50" i="22" s="1"/>
  <c r="W50" i="22" l="1"/>
  <c r="X50" i="22" s="1"/>
  <c r="W29" i="22"/>
  <c r="X29" i="22" s="1"/>
  <c r="BA29" i="22"/>
  <c r="BC29" i="22"/>
  <c r="AQ29" i="22"/>
  <c r="BA50" i="22"/>
  <c r="BC50" i="22"/>
  <c r="AQ50" i="22"/>
  <c r="BE29" i="22" l="1"/>
  <c r="BE50" i="22"/>
  <c r="AQ89" i="22"/>
  <c r="P69" i="18" l="1"/>
  <c r="N70" i="18"/>
  <c r="N69" i="18" s="1"/>
  <c r="N68" i="18" s="1"/>
  <c r="R70" i="18" l="1"/>
  <c r="R69" i="18" s="1"/>
  <c r="J69" i="18"/>
  <c r="J68" i="18" s="1"/>
  <c r="M157" i="9" l="1"/>
  <c r="N147" i="9" l="1"/>
  <c r="M164" i="9"/>
  <c r="M163" i="9" s="1"/>
  <c r="D69" i="18" l="1"/>
  <c r="D72" i="18"/>
  <c r="O69" i="18"/>
  <c r="D68" i="18" l="1"/>
  <c r="C513" i="4"/>
  <c r="G36" i="9" l="1"/>
  <c r="BS36" i="9" s="1"/>
  <c r="J17" i="9"/>
  <c r="I17" i="9"/>
  <c r="H17" i="9"/>
  <c r="R36" i="18" l="1"/>
  <c r="AQ84" i="22" l="1"/>
  <c r="AQ83" i="22"/>
  <c r="AU60" i="22"/>
  <c r="I60" i="22"/>
  <c r="AP60" i="22" s="1"/>
  <c r="AJ60" i="22" l="1"/>
  <c r="P60" i="22"/>
  <c r="Q60" i="22"/>
  <c r="N60" i="22"/>
  <c r="M60" i="22"/>
  <c r="AT60" i="22"/>
  <c r="J60" i="22"/>
  <c r="AO60" i="22" l="1"/>
  <c r="AY60" i="22"/>
  <c r="AM60" i="22"/>
  <c r="AW60" i="22"/>
  <c r="V60" i="22"/>
  <c r="U60" i="22"/>
  <c r="S60" i="22"/>
  <c r="R60" i="22"/>
  <c r="AC60" i="22" s="1"/>
  <c r="W60" i="22" l="1"/>
  <c r="X60" i="22" s="1"/>
  <c r="BA60" i="22"/>
  <c r="BC60" i="22"/>
  <c r="AQ60" i="22"/>
  <c r="BE60" i="22" s="1"/>
  <c r="O26" i="18" l="1"/>
  <c r="U26" i="18" s="1"/>
  <c r="K36" i="9"/>
  <c r="L36" i="9" s="1"/>
  <c r="L13" i="9"/>
  <c r="O19" i="18" l="1"/>
  <c r="U19" i="18" s="1"/>
  <c r="L35" i="9"/>
  <c r="G52" i="5"/>
  <c r="K52" i="5" s="1"/>
  <c r="G65" i="5"/>
  <c r="AS9" i="22" l="1"/>
  <c r="AS10" i="22"/>
  <c r="AX10" i="22" s="1"/>
  <c r="AS14" i="22"/>
  <c r="AX14" i="22" s="1"/>
  <c r="AS19" i="22"/>
  <c r="AX19" i="22" s="1"/>
  <c r="AX63" i="22"/>
  <c r="AS26" i="22"/>
  <c r="AS34" i="22"/>
  <c r="AX34" i="22" s="1"/>
  <c r="AS33" i="22"/>
  <c r="AX33" i="22" s="1"/>
  <c r="AS31" i="22"/>
  <c r="AX31" i="22" s="1"/>
  <c r="AS28" i="22"/>
  <c r="AN27" i="22"/>
  <c r="AN63" i="22"/>
  <c r="AN54" i="22"/>
  <c r="AX28" i="22" l="1"/>
  <c r="AX36" i="22" s="1"/>
  <c r="AX26" i="22"/>
  <c r="AX27" i="22" s="1"/>
  <c r="AX9" i="22"/>
  <c r="AX11" i="22" s="1"/>
  <c r="AW9" i="22"/>
  <c r="AY9" i="22"/>
  <c r="AX24" i="22"/>
  <c r="AX54" i="22"/>
  <c r="AT9" i="22"/>
  <c r="AN24" i="22"/>
  <c r="AN36" i="22"/>
  <c r="AN37" i="22" s="1"/>
  <c r="AN11" i="22"/>
  <c r="AX37" i="22" l="1"/>
  <c r="AX25" i="22"/>
  <c r="AN25" i="22"/>
  <c r="AN38" i="22" s="1"/>
  <c r="AX38" i="22" l="1"/>
  <c r="AU41" i="22"/>
  <c r="I41" i="22"/>
  <c r="AP41" i="22" s="1"/>
  <c r="P41" i="22" l="1"/>
  <c r="O41" i="22"/>
  <c r="Q41" i="22"/>
  <c r="V41" i="22" s="1"/>
  <c r="S41" i="22"/>
  <c r="AJ41" i="22"/>
  <c r="AT41" i="22"/>
  <c r="M41" i="22"/>
  <c r="J41" i="22"/>
  <c r="AN41" i="22" l="1"/>
  <c r="AX41" i="22"/>
  <c r="AW41" i="22"/>
  <c r="AM41" i="22"/>
  <c r="U41" i="22"/>
  <c r="T41" i="22"/>
  <c r="T46" i="22" l="1"/>
  <c r="T47" i="22" s="1"/>
  <c r="W41" i="22"/>
  <c r="X41" i="22" s="1"/>
  <c r="R41" i="22"/>
  <c r="AC41" i="22" s="1"/>
  <c r="AX46" i="22"/>
  <c r="AX47" i="22" s="1"/>
  <c r="AN46" i="22"/>
  <c r="AN47" i="22" s="1"/>
  <c r="AQ41" i="22" l="1"/>
  <c r="BA41" i="22"/>
  <c r="BC41" i="22"/>
  <c r="R14" i="18"/>
  <c r="BE41" i="22" l="1"/>
  <c r="AY11" i="9"/>
  <c r="M11" i="9"/>
  <c r="M10" i="9" s="1"/>
  <c r="N11" i="9"/>
  <c r="AX18" i="9"/>
  <c r="AY18" i="9"/>
  <c r="O121" i="9" l="1"/>
  <c r="M121" i="9"/>
  <c r="M117" i="9" s="1"/>
  <c r="K121" i="9"/>
  <c r="M40" i="9"/>
  <c r="M44" i="9"/>
  <c r="L19" i="9"/>
  <c r="L20" i="9"/>
  <c r="L21" i="9"/>
  <c r="L22" i="9"/>
  <c r="M147" i="9" l="1"/>
  <c r="M126" i="9" s="1"/>
  <c r="N40" i="9"/>
  <c r="N10" i="9" s="1"/>
  <c r="N117" i="9" l="1"/>
  <c r="K24" i="9" l="1"/>
  <c r="L24" i="9" s="1"/>
  <c r="K164" i="9" l="1"/>
  <c r="K163" i="9" s="1"/>
  <c r="J164" i="9"/>
  <c r="J163" i="9" s="1"/>
  <c r="I164" i="9"/>
  <c r="I163" i="9" s="1"/>
  <c r="H165" i="9"/>
  <c r="H164" i="9" s="1"/>
  <c r="H163" i="9" s="1"/>
  <c r="G94" i="4"/>
  <c r="G93" i="4" s="1"/>
  <c r="F94" i="4"/>
  <c r="F93" i="4" s="1"/>
  <c r="C147" i="5" s="1"/>
  <c r="C146" i="5" s="1"/>
  <c r="C145" i="5" s="1"/>
  <c r="E94" i="4"/>
  <c r="E93" i="4" s="1"/>
  <c r="D94" i="4"/>
  <c r="D93" i="4" s="1"/>
  <c r="C94" i="4"/>
  <c r="C93" i="4" s="1"/>
  <c r="D164" i="9"/>
  <c r="D163" i="9" s="1"/>
  <c r="E164" i="9"/>
  <c r="E163" i="9" s="1"/>
  <c r="F164" i="9"/>
  <c r="F163" i="9" s="1"/>
  <c r="D539" i="4"/>
  <c r="E539" i="4"/>
  <c r="F539" i="4"/>
  <c r="F538" i="4" s="1"/>
  <c r="C539" i="4"/>
  <c r="C538" i="4" s="1"/>
  <c r="E538" i="4" l="1"/>
  <c r="E147" i="5"/>
  <c r="E146" i="5" s="1"/>
  <c r="E145" i="5" s="1"/>
  <c r="D538" i="4"/>
  <c r="C164" i="9"/>
  <c r="G164" i="9" s="1"/>
  <c r="BS164" i="9" s="1"/>
  <c r="G165" i="9"/>
  <c r="BS165" i="9" s="1"/>
  <c r="L163" i="9"/>
  <c r="G147" i="5"/>
  <c r="G146" i="5" s="1"/>
  <c r="G145" i="5" s="1"/>
  <c r="L164" i="9"/>
  <c r="E75" i="4"/>
  <c r="F75" i="4"/>
  <c r="C75" i="4"/>
  <c r="D75" i="4"/>
  <c r="M145" i="5" l="1"/>
  <c r="F147" i="5"/>
  <c r="K147" i="5" s="1"/>
  <c r="D146" i="5"/>
  <c r="C163" i="9"/>
  <c r="G163" i="9" s="1"/>
  <c r="BS163" i="9" s="1"/>
  <c r="G75" i="4"/>
  <c r="K110" i="9"/>
  <c r="J110" i="9"/>
  <c r="I110" i="9"/>
  <c r="H110" i="9"/>
  <c r="K109" i="9"/>
  <c r="J109" i="9"/>
  <c r="I109" i="9"/>
  <c r="H109" i="9"/>
  <c r="G76" i="4"/>
  <c r="G77" i="4"/>
  <c r="F146" i="5" l="1"/>
  <c r="K146" i="5" s="1"/>
  <c r="D145" i="5"/>
  <c r="K111" i="5"/>
  <c r="AY158" i="9"/>
  <c r="AY157" i="9" s="1"/>
  <c r="AY108" i="9"/>
  <c r="BA108" i="9" s="1"/>
  <c r="F145" i="5" l="1"/>
  <c r="AV49" i="22"/>
  <c r="L63" i="22"/>
  <c r="K145" i="5" l="1"/>
  <c r="AV53" i="22"/>
  <c r="AV62" i="22"/>
  <c r="AV63" i="22" s="1"/>
  <c r="AV48" i="22"/>
  <c r="L54" i="22"/>
  <c r="L70" i="22" s="1"/>
  <c r="AV51" i="22"/>
  <c r="AU53" i="22"/>
  <c r="AU49" i="22"/>
  <c r="AU62" i="22"/>
  <c r="AU63" i="22" s="1"/>
  <c r="K59" i="22"/>
  <c r="AU55" i="22"/>
  <c r="AU45" i="22"/>
  <c r="AU42" i="22"/>
  <c r="AU40" i="22"/>
  <c r="AU39" i="22"/>
  <c r="AU26" i="22"/>
  <c r="AU27" i="22" s="1"/>
  <c r="AU33" i="22"/>
  <c r="AU31" i="22"/>
  <c r="AU28" i="22"/>
  <c r="AU23" i="22"/>
  <c r="AU19" i="22"/>
  <c r="AU14" i="22"/>
  <c r="AU9" i="22"/>
  <c r="E89" i="4"/>
  <c r="F89" i="4"/>
  <c r="AV54" i="22" l="1"/>
  <c r="AV70" i="22" s="1"/>
  <c r="AV71" i="22" s="1"/>
  <c r="AU46" i="22"/>
  <c r="AU47" i="22" s="1"/>
  <c r="AU24" i="22"/>
  <c r="AU48" i="22"/>
  <c r="K54" i="22"/>
  <c r="K70" i="22" s="1"/>
  <c r="F17" i="9" s="1"/>
  <c r="AU56" i="22"/>
  <c r="AU59" i="22" s="1"/>
  <c r="AU34" i="22"/>
  <c r="AU36" i="22" s="1"/>
  <c r="AU37" i="22" s="1"/>
  <c r="AU51" i="22"/>
  <c r="AU10" i="22"/>
  <c r="AU11" i="22" s="1"/>
  <c r="K36" i="22"/>
  <c r="K37" i="22" s="1"/>
  <c r="AV73" i="22" l="1"/>
  <c r="F20" i="5" s="1"/>
  <c r="AE17" i="9"/>
  <c r="AU54" i="22"/>
  <c r="AU70" i="22" s="1"/>
  <c r="AU71" i="22" s="1"/>
  <c r="D17" i="9"/>
  <c r="K38" i="22"/>
  <c r="AU25" i="22"/>
  <c r="AU38" i="22" s="1"/>
  <c r="K71" i="22"/>
  <c r="W51" i="22"/>
  <c r="AN17" i="9" l="1"/>
  <c r="AO17" i="9" s="1"/>
  <c r="AW17" i="9" s="1"/>
  <c r="AF17" i="9"/>
  <c r="AJ17" i="9" s="1"/>
  <c r="AU73" i="22"/>
  <c r="K73" i="22"/>
  <c r="L33" i="9"/>
  <c r="I53" i="22"/>
  <c r="AP53" i="22" s="1"/>
  <c r="I49" i="22"/>
  <c r="AP49" i="22" s="1"/>
  <c r="I48" i="22"/>
  <c r="I62" i="22"/>
  <c r="AP62" i="22" s="1"/>
  <c r="I56" i="22"/>
  <c r="AP56" i="22" s="1"/>
  <c r="I55" i="22"/>
  <c r="AP55" i="22" s="1"/>
  <c r="I45" i="22"/>
  <c r="AP45" i="22" s="1"/>
  <c r="I42" i="22"/>
  <c r="AP42" i="22" s="1"/>
  <c r="I40" i="22"/>
  <c r="I39" i="22"/>
  <c r="AP39" i="22" s="1"/>
  <c r="I28" i="22"/>
  <c r="AP28" i="22" s="1"/>
  <c r="I26" i="22"/>
  <c r="AP26" i="22" s="1"/>
  <c r="I34" i="22"/>
  <c r="AP34" i="22" s="1"/>
  <c r="I33" i="22"/>
  <c r="AP33" i="22" s="1"/>
  <c r="I31" i="22"/>
  <c r="AP31" i="22" s="1"/>
  <c r="I19" i="22"/>
  <c r="AP19" i="22" s="1"/>
  <c r="I14" i="22"/>
  <c r="AP14" i="22" s="1"/>
  <c r="I10" i="22"/>
  <c r="AP10" i="22" s="1"/>
  <c r="I19" i="21"/>
  <c r="AJ40" i="22" l="1"/>
  <c r="AP40" i="22"/>
  <c r="N48" i="22"/>
  <c r="AY48" i="22" s="1"/>
  <c r="AP48" i="22"/>
  <c r="I27" i="22"/>
  <c r="I63" i="22"/>
  <c r="Q62" i="22"/>
  <c r="P62" i="22"/>
  <c r="Q53" i="22"/>
  <c r="P53" i="22"/>
  <c r="I59" i="22"/>
  <c r="I54" i="22"/>
  <c r="I24" i="22"/>
  <c r="N40" i="22"/>
  <c r="P40" i="22"/>
  <c r="Q40" i="22"/>
  <c r="N28" i="22"/>
  <c r="AY28" i="22" s="1"/>
  <c r="P28" i="22"/>
  <c r="Q28" i="22"/>
  <c r="V28" i="22" s="1"/>
  <c r="P45" i="22"/>
  <c r="N45" i="22"/>
  <c r="AY45" i="22" s="1"/>
  <c r="Q45" i="22"/>
  <c r="V45" i="22" s="1"/>
  <c r="AO48" i="22"/>
  <c r="P48" i="22"/>
  <c r="Q48" i="22"/>
  <c r="N39" i="22"/>
  <c r="Q39" i="22"/>
  <c r="V39" i="22" s="1"/>
  <c r="P39" i="22"/>
  <c r="N55" i="22"/>
  <c r="P55" i="22"/>
  <c r="Q55" i="22"/>
  <c r="J49" i="22"/>
  <c r="Q49" i="22"/>
  <c r="V49" i="22" s="1"/>
  <c r="P49" i="22"/>
  <c r="N49" i="22"/>
  <c r="AY49" i="22" s="1"/>
  <c r="J56" i="22"/>
  <c r="P56" i="22"/>
  <c r="Q56" i="22"/>
  <c r="V56" i="22" s="1"/>
  <c r="N56" i="22"/>
  <c r="AY56" i="22" s="1"/>
  <c r="N53" i="22"/>
  <c r="AY53" i="22" s="1"/>
  <c r="V53" i="22"/>
  <c r="P42" i="22"/>
  <c r="Q42" i="22"/>
  <c r="V42" i="22" s="1"/>
  <c r="N42" i="22"/>
  <c r="AY42" i="22" s="1"/>
  <c r="N62" i="22"/>
  <c r="I11" i="22"/>
  <c r="P10" i="22"/>
  <c r="Q10" i="22"/>
  <c r="V10" i="22" s="1"/>
  <c r="N10" i="22"/>
  <c r="AY10" i="22" s="1"/>
  <c r="N14" i="22"/>
  <c r="P14" i="22"/>
  <c r="Q14" i="22"/>
  <c r="P33" i="22"/>
  <c r="Q33" i="22"/>
  <c r="V33" i="22" s="1"/>
  <c r="N33" i="22"/>
  <c r="AY33" i="22" s="1"/>
  <c r="N19" i="22"/>
  <c r="P19" i="22"/>
  <c r="Q19" i="22"/>
  <c r="N34" i="22"/>
  <c r="P34" i="22"/>
  <c r="Q34" i="22"/>
  <c r="N31" i="22"/>
  <c r="AY31" i="22" s="1"/>
  <c r="P31" i="22"/>
  <c r="Q31" i="22"/>
  <c r="V31" i="22" s="1"/>
  <c r="N26" i="22"/>
  <c r="P26" i="22"/>
  <c r="Q26" i="22"/>
  <c r="AJ9" i="22"/>
  <c r="M9" i="22"/>
  <c r="AJ55" i="22"/>
  <c r="J55" i="22"/>
  <c r="AT45" i="22"/>
  <c r="AJ39" i="22"/>
  <c r="AT39" i="22"/>
  <c r="AJ62" i="22"/>
  <c r="AJ63" i="22" s="1"/>
  <c r="AT62" i="22"/>
  <c r="AT63" i="22" s="1"/>
  <c r="AJ10" i="22"/>
  <c r="AT10" i="22"/>
  <c r="AT11" i="22" s="1"/>
  <c r="AJ34" i="22"/>
  <c r="AT34" i="22"/>
  <c r="AT40" i="22"/>
  <c r="AJ14" i="22"/>
  <c r="AT14" i="22"/>
  <c r="AJ31" i="22"/>
  <c r="AT31" i="22"/>
  <c r="AJ26" i="22"/>
  <c r="AJ27" i="22" s="1"/>
  <c r="AT26" i="22"/>
  <c r="AT27" i="22" s="1"/>
  <c r="AJ19" i="22"/>
  <c r="AT19" i="22"/>
  <c r="AJ33" i="22"/>
  <c r="AT33" i="22"/>
  <c r="AJ28" i="22"/>
  <c r="AT28" i="22"/>
  <c r="AJ42" i="22"/>
  <c r="AT42" i="22"/>
  <c r="AJ56" i="22"/>
  <c r="AT56" i="22"/>
  <c r="AJ48" i="22"/>
  <c r="AT48" i="22"/>
  <c r="AJ53" i="22"/>
  <c r="AT53" i="22"/>
  <c r="AJ49" i="22"/>
  <c r="AT49" i="22"/>
  <c r="AJ23" i="22"/>
  <c r="AT23" i="22"/>
  <c r="AT55" i="22"/>
  <c r="AJ51" i="22"/>
  <c r="AT51" i="22"/>
  <c r="I46" i="22"/>
  <c r="AJ45" i="22"/>
  <c r="J9" i="22"/>
  <c r="AJ11" i="22" l="1"/>
  <c r="AW28" i="22"/>
  <c r="AW42" i="22"/>
  <c r="AW26" i="22"/>
  <c r="AW27" i="22" s="1"/>
  <c r="AW55" i="22"/>
  <c r="AO19" i="22"/>
  <c r="AY19" i="22"/>
  <c r="AM48" i="22"/>
  <c r="AW48" i="22"/>
  <c r="AM62" i="22"/>
  <c r="AW62" i="22"/>
  <c r="AT59" i="22"/>
  <c r="AW31" i="22"/>
  <c r="AO34" i="22"/>
  <c r="AY34" i="22"/>
  <c r="AW14" i="22"/>
  <c r="AW10" i="22"/>
  <c r="AW11" i="22" s="1"/>
  <c r="AW40" i="22"/>
  <c r="AM34" i="22"/>
  <c r="AW34" i="22"/>
  <c r="AM39" i="22"/>
  <c r="AW39" i="22"/>
  <c r="AT36" i="22"/>
  <c r="AT37" i="22" s="1"/>
  <c r="AC12" i="9" s="1"/>
  <c r="AO14" i="22"/>
  <c r="AY14" i="22"/>
  <c r="AM49" i="22"/>
  <c r="AW49" i="22"/>
  <c r="AO39" i="22"/>
  <c r="AY39" i="22"/>
  <c r="AO40" i="22"/>
  <c r="AY40" i="22"/>
  <c r="AM53" i="22"/>
  <c r="AW53" i="22"/>
  <c r="AM45" i="22"/>
  <c r="AW45" i="22"/>
  <c r="AO26" i="22"/>
  <c r="AY26" i="22"/>
  <c r="AW19" i="22"/>
  <c r="AW33" i="22"/>
  <c r="AO62" i="22"/>
  <c r="AY62" i="22"/>
  <c r="AW56" i="22"/>
  <c r="AO55" i="22"/>
  <c r="AY55" i="22"/>
  <c r="S53" i="22"/>
  <c r="AO53" i="22"/>
  <c r="AM31" i="22"/>
  <c r="S33" i="22"/>
  <c r="AO33" i="22"/>
  <c r="AM14" i="22"/>
  <c r="S49" i="22"/>
  <c r="AO49" i="22"/>
  <c r="AM40" i="22"/>
  <c r="AM26" i="22"/>
  <c r="AM27" i="22" s="1"/>
  <c r="S31" i="22"/>
  <c r="AO31" i="22"/>
  <c r="AM42" i="22"/>
  <c r="AM55" i="22"/>
  <c r="AM28" i="22"/>
  <c r="S42" i="22"/>
  <c r="AO42" i="22"/>
  <c r="AT46" i="22"/>
  <c r="AT47" i="22" s="1"/>
  <c r="AD12" i="9" s="1"/>
  <c r="S56" i="22"/>
  <c r="AO56" i="22"/>
  <c r="AT54" i="22"/>
  <c r="AT24" i="22"/>
  <c r="AT25" i="22" s="1"/>
  <c r="AB12" i="9" s="1"/>
  <c r="AM19" i="22"/>
  <c r="AM33" i="22"/>
  <c r="S10" i="22"/>
  <c r="AO10" i="22"/>
  <c r="AM56" i="22"/>
  <c r="S45" i="22"/>
  <c r="AO45" i="22"/>
  <c r="S28" i="22"/>
  <c r="AO28" i="22"/>
  <c r="U45" i="22"/>
  <c r="AJ36" i="22"/>
  <c r="AJ37" i="22" s="1"/>
  <c r="D12" i="9" s="1"/>
  <c r="U31" i="22"/>
  <c r="U10" i="22"/>
  <c r="AM10" i="22"/>
  <c r="AM11" i="22" s="1"/>
  <c r="U39" i="22"/>
  <c r="AJ46" i="22"/>
  <c r="AJ47" i="22" s="1"/>
  <c r="E12" i="9" s="1"/>
  <c r="U42" i="22"/>
  <c r="U49" i="22"/>
  <c r="U28" i="22"/>
  <c r="U53" i="22"/>
  <c r="W53" i="22" s="1"/>
  <c r="U33" i="22"/>
  <c r="U56" i="22"/>
  <c r="AJ59" i="22"/>
  <c r="AJ54" i="22"/>
  <c r="AJ24" i="22"/>
  <c r="I47" i="22"/>
  <c r="X9" i="22"/>
  <c r="AG9" i="22" s="1"/>
  <c r="I70" i="22"/>
  <c r="I25" i="22"/>
  <c r="U62" i="22"/>
  <c r="U63" i="22" s="1"/>
  <c r="P63" i="22"/>
  <c r="J59" i="22"/>
  <c r="S62" i="22"/>
  <c r="S63" i="22" s="1"/>
  <c r="N63" i="22"/>
  <c r="Q59" i="22"/>
  <c r="V62" i="22"/>
  <c r="V63" i="22" s="1"/>
  <c r="Q63" i="22"/>
  <c r="P59" i="22"/>
  <c r="N59" i="22"/>
  <c r="U55" i="22"/>
  <c r="S55" i="22"/>
  <c r="V48" i="22"/>
  <c r="V54" i="22" s="1"/>
  <c r="Q54" i="22"/>
  <c r="U48" i="22"/>
  <c r="V55" i="22"/>
  <c r="V59" i="22" s="1"/>
  <c r="S48" i="22"/>
  <c r="U40" i="22"/>
  <c r="S40" i="22"/>
  <c r="V40" i="22"/>
  <c r="V46" i="22" s="1"/>
  <c r="V47" i="22" s="1"/>
  <c r="S34" i="22"/>
  <c r="V34" i="22"/>
  <c r="U34" i="22"/>
  <c r="Q11" i="22"/>
  <c r="V26" i="22"/>
  <c r="V27" i="22" s="1"/>
  <c r="Q27" i="22"/>
  <c r="U26" i="22"/>
  <c r="U27" i="22" s="1"/>
  <c r="P27" i="22"/>
  <c r="S26" i="22"/>
  <c r="S27" i="22" s="1"/>
  <c r="N27" i="22"/>
  <c r="U19" i="22"/>
  <c r="S19" i="22"/>
  <c r="V14" i="22"/>
  <c r="Q24" i="22"/>
  <c r="U14" i="22"/>
  <c r="P24" i="22"/>
  <c r="V19" i="22"/>
  <c r="S14" i="22"/>
  <c r="N24" i="22"/>
  <c r="S39" i="22"/>
  <c r="S11" i="22"/>
  <c r="P11" i="22"/>
  <c r="AJ25" i="22" l="1"/>
  <c r="C12" i="9" s="1"/>
  <c r="W42" i="22"/>
  <c r="AW24" i="22"/>
  <c r="AW25" i="22" s="1"/>
  <c r="W56" i="22"/>
  <c r="W45" i="22"/>
  <c r="AT70" i="22"/>
  <c r="U24" i="22"/>
  <c r="W49" i="22"/>
  <c r="AT38" i="22"/>
  <c r="AL12" i="9"/>
  <c r="T11" i="9"/>
  <c r="T10" i="9" s="1"/>
  <c r="T172" i="9" s="1"/>
  <c r="W28" i="22"/>
  <c r="AM12" i="9"/>
  <c r="U11" i="9"/>
  <c r="U10" i="9" s="1"/>
  <c r="U172" i="9" s="1"/>
  <c r="S54" i="22"/>
  <c r="AM46" i="22"/>
  <c r="AM47" i="22" s="1"/>
  <c r="U59" i="22"/>
  <c r="AW59" i="22"/>
  <c r="AW36" i="22"/>
  <c r="AW37" i="22" s="1"/>
  <c r="AW46" i="22"/>
  <c r="AW47" i="22" s="1"/>
  <c r="S59" i="22"/>
  <c r="AM36" i="22"/>
  <c r="AM37" i="22" s="1"/>
  <c r="AM24" i="22"/>
  <c r="AM25" i="22" s="1"/>
  <c r="AJ70" i="22"/>
  <c r="F12" i="9" s="1"/>
  <c r="I71" i="22"/>
  <c r="V70" i="22"/>
  <c r="V71" i="22" s="1"/>
  <c r="Q70" i="22"/>
  <c r="U46" i="22"/>
  <c r="U47" i="22" s="1"/>
  <c r="W40" i="22"/>
  <c r="P25" i="22"/>
  <c r="S36" i="22"/>
  <c r="S37" i="22" s="1"/>
  <c r="Q25" i="22"/>
  <c r="V24" i="22"/>
  <c r="S24" i="22"/>
  <c r="S46" i="22"/>
  <c r="S47" i="22" s="1"/>
  <c r="W39" i="22"/>
  <c r="AT71" i="22" l="1"/>
  <c r="AT73" i="22" s="1"/>
  <c r="F15" i="5" s="1"/>
  <c r="AE12" i="9"/>
  <c r="AF12" i="9" s="1"/>
  <c r="AJ38" i="22"/>
  <c r="AK12" i="9"/>
  <c r="S70" i="22"/>
  <c r="S71" i="22" s="1"/>
  <c r="AW38" i="22"/>
  <c r="AJ71" i="22"/>
  <c r="AM38" i="22"/>
  <c r="W46" i="22"/>
  <c r="W47" i="22" s="1"/>
  <c r="S25" i="22"/>
  <c r="S38" i="22" s="1"/>
  <c r="AJ73" i="22" l="1"/>
  <c r="G15" i="5" s="1"/>
  <c r="AN12" i="9"/>
  <c r="AO12" i="9" s="1"/>
  <c r="V11" i="9"/>
  <c r="V10" i="9" s="1"/>
  <c r="V172" i="9" s="1"/>
  <c r="AJ12" i="9"/>
  <c r="S73" i="22"/>
  <c r="BC56" i="22"/>
  <c r="J25" i="20"/>
  <c r="I25" i="20"/>
  <c r="G25" i="20"/>
  <c r="J20" i="20"/>
  <c r="I20" i="20"/>
  <c r="G20" i="20"/>
  <c r="AW12" i="9" l="1"/>
  <c r="AA12" i="9"/>
  <c r="L46" i="22"/>
  <c r="L47" i="22" s="1"/>
  <c r="L71" i="22" s="1"/>
  <c r="L36" i="22"/>
  <c r="L37" i="22" s="1"/>
  <c r="L38" i="22" s="1"/>
  <c r="L73" i="22" l="1"/>
  <c r="J40" i="22"/>
  <c r="A10" i="21"/>
  <c r="A11" i="21" s="1"/>
  <c r="A12" i="21" s="1"/>
  <c r="A13" i="21" s="1"/>
  <c r="A14" i="21" s="1"/>
  <c r="A15" i="21" s="1"/>
  <c r="A16" i="21" s="1"/>
  <c r="A17" i="21" s="1"/>
  <c r="A18" i="21" s="1"/>
  <c r="O55" i="22" l="1"/>
  <c r="AX55" i="22" s="1"/>
  <c r="O59" i="22" l="1"/>
  <c r="O70" i="22" s="1"/>
  <c r="AN55" i="22"/>
  <c r="AN59" i="22" s="1"/>
  <c r="AN70" i="22" s="1"/>
  <c r="AN71" i="22" s="1"/>
  <c r="AN73" i="22" s="1"/>
  <c r="T55" i="22"/>
  <c r="T59" i="22" s="1"/>
  <c r="T70" i="22" s="1"/>
  <c r="T71" i="22" s="1"/>
  <c r="T73" i="22" s="1"/>
  <c r="AX59" i="22"/>
  <c r="AX70" i="22" s="1"/>
  <c r="AX71" i="22" s="1"/>
  <c r="AX73" i="22" s="1"/>
  <c r="AM59" i="22"/>
  <c r="AO59" i="22"/>
  <c r="AY59" i="22"/>
  <c r="I9" i="20"/>
  <c r="C44" i="5" s="1"/>
  <c r="C43" i="5" s="1"/>
  <c r="W55" i="22" l="1"/>
  <c r="W59" i="22" s="1"/>
  <c r="BC55" i="22"/>
  <c r="BA55" i="22"/>
  <c r="G492" i="4"/>
  <c r="G90" i="5" s="1"/>
  <c r="K107" i="9" l="1"/>
  <c r="K106" i="9" s="1"/>
  <c r="J107" i="9"/>
  <c r="J106" i="9" s="1"/>
  <c r="I107" i="9"/>
  <c r="I106" i="9" s="1"/>
  <c r="H107" i="9"/>
  <c r="H106" i="9" s="1"/>
  <c r="L107" i="9" l="1"/>
  <c r="H7" i="20"/>
  <c r="H9" i="20" s="1"/>
  <c r="L106" i="9" l="1"/>
  <c r="M51" i="22"/>
  <c r="J7" i="20"/>
  <c r="J9" i="20" s="1"/>
  <c r="X51" i="22" l="1"/>
  <c r="C41" i="9"/>
  <c r="G41" i="9" s="1"/>
  <c r="R51" i="22"/>
  <c r="AC51" i="22" s="1"/>
  <c r="G40" i="9" l="1"/>
  <c r="L41" i="9"/>
  <c r="AQ51" i="22"/>
  <c r="BA51" i="22"/>
  <c r="BC51" i="22"/>
  <c r="BE51" i="22" l="1"/>
  <c r="L40" i="9"/>
  <c r="L39" i="9" s="1"/>
  <c r="J72" i="18"/>
  <c r="L101" i="9" l="1"/>
  <c r="L102" i="9"/>
  <c r="H19" i="8"/>
  <c r="H20" i="8"/>
  <c r="AY103" i="9" s="1"/>
  <c r="BA103" i="9" s="1"/>
  <c r="BA100" i="9" l="1"/>
  <c r="BA99" i="9" s="1"/>
  <c r="BS103" i="9"/>
  <c r="C98" i="10"/>
  <c r="AY100" i="9"/>
  <c r="AY99" i="9" s="1"/>
  <c r="AY172" i="9" s="1"/>
  <c r="K67" i="9"/>
  <c r="G74" i="4"/>
  <c r="F73" i="4"/>
  <c r="D73" i="4"/>
  <c r="E73" i="4"/>
  <c r="E68" i="4" s="1"/>
  <c r="C73" i="4"/>
  <c r="C68" i="4" s="1"/>
  <c r="F41" i="12" l="1"/>
  <c r="D36" i="14" s="1"/>
  <c r="I36" i="14" s="1"/>
  <c r="G73" i="4"/>
  <c r="O72" i="18" l="1"/>
  <c r="O68" i="18" s="1"/>
  <c r="O35" i="18"/>
  <c r="U35" i="18" s="1"/>
  <c r="J26" i="22" l="1"/>
  <c r="J34" i="22"/>
  <c r="M31" i="22"/>
  <c r="J19" i="22"/>
  <c r="J14" i="22"/>
  <c r="M56" i="22"/>
  <c r="M26" i="22"/>
  <c r="AZ26" i="22" s="1"/>
  <c r="AZ27" i="22" s="1"/>
  <c r="M28" i="22"/>
  <c r="J28" i="22"/>
  <c r="X56" i="22" l="1"/>
  <c r="X28" i="22"/>
  <c r="J27" i="22"/>
  <c r="AP27" i="22"/>
  <c r="M27" i="22"/>
  <c r="AQ56" i="22"/>
  <c r="BA56" i="22"/>
  <c r="M53" i="22"/>
  <c r="M48" i="22"/>
  <c r="M49" i="22"/>
  <c r="M33" i="22"/>
  <c r="J62" i="22"/>
  <c r="M45" i="22"/>
  <c r="J42" i="22"/>
  <c r="J23" i="22"/>
  <c r="J10" i="22"/>
  <c r="J39" i="22"/>
  <c r="M55" i="22"/>
  <c r="AZ59" i="22" s="1"/>
  <c r="M42" i="22"/>
  <c r="M62" i="22"/>
  <c r="AZ63" i="22" s="1"/>
  <c r="M40" i="22"/>
  <c r="J53" i="22"/>
  <c r="J33" i="22"/>
  <c r="J45" i="22"/>
  <c r="J31" i="22"/>
  <c r="O18" i="18"/>
  <c r="U18" i="18" s="1"/>
  <c r="P54" i="22"/>
  <c r="P70" i="22" s="1"/>
  <c r="N54" i="22"/>
  <c r="N70" i="22" s="1"/>
  <c r="J48" i="22"/>
  <c r="M39" i="22"/>
  <c r="M34" i="22"/>
  <c r="BA59" i="22" l="1"/>
  <c r="BE56" i="22"/>
  <c r="X53" i="22"/>
  <c r="AZ36" i="22"/>
  <c r="AZ37" i="22" s="1"/>
  <c r="X42" i="22"/>
  <c r="X49" i="22"/>
  <c r="AZ54" i="22"/>
  <c r="AZ70" i="22" s="1"/>
  <c r="X40" i="22"/>
  <c r="AZ46" i="22"/>
  <c r="AZ47" i="22" s="1"/>
  <c r="X39" i="22"/>
  <c r="J54" i="22"/>
  <c r="X45" i="22"/>
  <c r="J63" i="22"/>
  <c r="M59" i="22"/>
  <c r="X55" i="22"/>
  <c r="AP63" i="22"/>
  <c r="M63" i="22"/>
  <c r="M54" i="22"/>
  <c r="AP36" i="22"/>
  <c r="AP37" i="22" s="1"/>
  <c r="D14" i="9" s="1"/>
  <c r="J24" i="22"/>
  <c r="AP46" i="22"/>
  <c r="AP47" i="22" s="1"/>
  <c r="E14" i="9" s="1"/>
  <c r="W19" i="22"/>
  <c r="W34" i="22"/>
  <c r="X34" i="22" s="1"/>
  <c r="J11" i="22"/>
  <c r="AY11" i="22"/>
  <c r="AO27" i="22"/>
  <c r="AY27" i="22"/>
  <c r="M46" i="22"/>
  <c r="AZ71" i="22" l="1"/>
  <c r="AY36" i="22"/>
  <c r="AY37" i="22" s="1"/>
  <c r="AQ55" i="22"/>
  <c r="AP59" i="22"/>
  <c r="AP54" i="22"/>
  <c r="M70" i="22"/>
  <c r="J70" i="22"/>
  <c r="U54" i="22"/>
  <c r="U70" i="22" s="1"/>
  <c r="U71" i="22" s="1"/>
  <c r="M47" i="22"/>
  <c r="J25" i="22"/>
  <c r="W14" i="22"/>
  <c r="W48" i="22"/>
  <c r="W26" i="22"/>
  <c r="W62" i="22"/>
  <c r="V11" i="22"/>
  <c r="V25" i="22" s="1"/>
  <c r="N11" i="22"/>
  <c r="N25" i="22" s="1"/>
  <c r="V36" i="22"/>
  <c r="V37" i="22" s="1"/>
  <c r="AO11" i="22"/>
  <c r="BC14" i="22"/>
  <c r="AY63" i="22"/>
  <c r="AO63" i="22"/>
  <c r="AM63" i="22"/>
  <c r="AW63" i="22"/>
  <c r="AY24" i="22"/>
  <c r="AY25" i="22" s="1"/>
  <c r="AO36" i="22"/>
  <c r="AO37" i="22" s="1"/>
  <c r="AM54" i="22"/>
  <c r="AW54" i="22"/>
  <c r="BA10" i="22"/>
  <c r="Q46" i="22"/>
  <c r="Q36" i="22"/>
  <c r="Q37" i="22" s="1"/>
  <c r="Q38" i="22" s="1"/>
  <c r="R10" i="22"/>
  <c r="AC10" i="22" s="1"/>
  <c r="R48" i="22"/>
  <c r="AC48" i="22" s="1"/>
  <c r="C95" i="10"/>
  <c r="BR147" i="9"/>
  <c r="BR172" i="9" s="1"/>
  <c r="H19" i="14" s="1"/>
  <c r="H17" i="14" s="1"/>
  <c r="H16" i="14" s="1"/>
  <c r="O127" i="9"/>
  <c r="O126" i="9" s="1"/>
  <c r="O172" i="9" s="1"/>
  <c r="E71" i="9"/>
  <c r="G33" i="4"/>
  <c r="C107" i="9"/>
  <c r="H121" i="9"/>
  <c r="R12" i="18"/>
  <c r="R11" i="18"/>
  <c r="C517" i="4"/>
  <c r="E517" i="4"/>
  <c r="F517" i="4"/>
  <c r="G511" i="4"/>
  <c r="G109" i="5" s="1"/>
  <c r="K109" i="5" s="1"/>
  <c r="D510" i="4"/>
  <c r="E510" i="4"/>
  <c r="E505" i="4" s="1"/>
  <c r="F510" i="4"/>
  <c r="F505" i="4" s="1"/>
  <c r="C510" i="4"/>
  <c r="G78" i="4"/>
  <c r="G55" i="4"/>
  <c r="R23" i="18"/>
  <c r="R26" i="18"/>
  <c r="F19" i="21"/>
  <c r="BA118" i="9"/>
  <c r="BA92" i="9"/>
  <c r="BA87" i="9"/>
  <c r="BD87" i="9" s="1"/>
  <c r="BA65" i="9"/>
  <c r="BA40" i="9"/>
  <c r="BA32" i="9"/>
  <c r="BA29" i="9"/>
  <c r="BA26" i="9"/>
  <c r="N136" i="9"/>
  <c r="BA71" i="9"/>
  <c r="BA112" i="9"/>
  <c r="BD112" i="9" s="1"/>
  <c r="G18" i="21"/>
  <c r="C48" i="18"/>
  <c r="R10" i="18"/>
  <c r="H94" i="9"/>
  <c r="H92" i="9" s="1"/>
  <c r="L15" i="9"/>
  <c r="C94" i="9"/>
  <c r="C92" i="9" s="1"/>
  <c r="C38" i="4"/>
  <c r="C32" i="4"/>
  <c r="C59" i="4"/>
  <c r="C54" i="4"/>
  <c r="G13" i="4"/>
  <c r="O48" i="18"/>
  <c r="U48" i="18" s="1"/>
  <c r="H23" i="8"/>
  <c r="I48" i="9"/>
  <c r="R21" i="18"/>
  <c r="BA14" i="22"/>
  <c r="M14" i="22"/>
  <c r="M23" i="22"/>
  <c r="AZ23" i="22" s="1"/>
  <c r="G98" i="4"/>
  <c r="G97" i="4" s="1"/>
  <c r="G96" i="4" s="1"/>
  <c r="G46" i="9"/>
  <c r="BS46" i="9" s="1"/>
  <c r="G67" i="9"/>
  <c r="BS67" i="9" s="1"/>
  <c r="G75" i="9"/>
  <c r="BS75" i="9" s="1"/>
  <c r="G77" i="9"/>
  <c r="BS77" i="9" s="1"/>
  <c r="G78" i="9"/>
  <c r="BS78" i="9" s="1"/>
  <c r="G79" i="9"/>
  <c r="BS79" i="9" s="1"/>
  <c r="G80" i="9"/>
  <c r="BS80" i="9" s="1"/>
  <c r="G81" i="9"/>
  <c r="BS81" i="9" s="1"/>
  <c r="G82" i="9"/>
  <c r="BS82" i="9" s="1"/>
  <c r="G83" i="9"/>
  <c r="BS83" i="9" s="1"/>
  <c r="G85" i="9"/>
  <c r="BS85" i="9" s="1"/>
  <c r="D65" i="9"/>
  <c r="E65" i="9"/>
  <c r="G51" i="9"/>
  <c r="BS51" i="9" s="1"/>
  <c r="G70" i="9"/>
  <c r="BS70" i="9" s="1"/>
  <c r="H46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6" i="9"/>
  <c r="H67" i="9"/>
  <c r="L67" i="9" s="1"/>
  <c r="H68" i="9"/>
  <c r="H72" i="9"/>
  <c r="H73" i="9"/>
  <c r="H75" i="9"/>
  <c r="H76" i="9"/>
  <c r="H77" i="9"/>
  <c r="H78" i="9"/>
  <c r="H79" i="9"/>
  <c r="H80" i="9"/>
  <c r="H81" i="9"/>
  <c r="H82" i="9"/>
  <c r="H83" i="9"/>
  <c r="H84" i="9"/>
  <c r="H85" i="9"/>
  <c r="H86" i="9"/>
  <c r="H88" i="9"/>
  <c r="H90" i="9"/>
  <c r="H91" i="9"/>
  <c r="I46" i="9"/>
  <c r="I47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L63" i="9"/>
  <c r="I72" i="9"/>
  <c r="I73" i="9"/>
  <c r="I75" i="9"/>
  <c r="I76" i="9"/>
  <c r="I77" i="9"/>
  <c r="I78" i="9"/>
  <c r="I79" i="9"/>
  <c r="I80" i="9"/>
  <c r="I81" i="9"/>
  <c r="I82" i="9"/>
  <c r="I83" i="9"/>
  <c r="I84" i="9"/>
  <c r="I85" i="9"/>
  <c r="I86" i="9"/>
  <c r="I88" i="9"/>
  <c r="I90" i="9"/>
  <c r="I6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4" i="9"/>
  <c r="J72" i="9"/>
  <c r="J73" i="9"/>
  <c r="J75" i="9"/>
  <c r="J76" i="9"/>
  <c r="J77" i="9"/>
  <c r="J78" i="9"/>
  <c r="J79" i="9"/>
  <c r="J80" i="9"/>
  <c r="J81" i="9"/>
  <c r="J82" i="9"/>
  <c r="J83" i="9"/>
  <c r="J84" i="9"/>
  <c r="J85" i="9"/>
  <c r="J86" i="9"/>
  <c r="J88" i="9"/>
  <c r="J90" i="9"/>
  <c r="J6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4" i="9"/>
  <c r="K68" i="9"/>
  <c r="K70" i="9"/>
  <c r="L70" i="9" s="1"/>
  <c r="K72" i="9"/>
  <c r="K73" i="9"/>
  <c r="K75" i="9"/>
  <c r="K76" i="9"/>
  <c r="K77" i="9"/>
  <c r="K78" i="9"/>
  <c r="K79" i="9"/>
  <c r="K80" i="9"/>
  <c r="K81" i="9"/>
  <c r="K82" i="9"/>
  <c r="K83" i="9"/>
  <c r="K84" i="9"/>
  <c r="K85" i="9"/>
  <c r="K86" i="9"/>
  <c r="K88" i="9"/>
  <c r="K90" i="9"/>
  <c r="H111" i="9"/>
  <c r="H108" i="9" s="1"/>
  <c r="I111" i="9"/>
  <c r="I108" i="9" s="1"/>
  <c r="I112" i="9"/>
  <c r="I100" i="9"/>
  <c r="J111" i="9"/>
  <c r="J108" i="9" s="1"/>
  <c r="D112" i="9"/>
  <c r="D100" i="9"/>
  <c r="F108" i="9"/>
  <c r="I118" i="9"/>
  <c r="I121" i="9"/>
  <c r="C121" i="9"/>
  <c r="D118" i="9"/>
  <c r="D121" i="9"/>
  <c r="L149" i="9"/>
  <c r="L38" i="9"/>
  <c r="C18" i="9"/>
  <c r="C23" i="9"/>
  <c r="C35" i="9"/>
  <c r="C38" i="9"/>
  <c r="D18" i="9"/>
  <c r="D32" i="9"/>
  <c r="D38" i="9"/>
  <c r="D40" i="9"/>
  <c r="D29" i="9"/>
  <c r="D26" i="9"/>
  <c r="E18" i="9"/>
  <c r="E32" i="9"/>
  <c r="E35" i="9"/>
  <c r="E38" i="9"/>
  <c r="E29" i="9"/>
  <c r="E26" i="9"/>
  <c r="F18" i="9"/>
  <c r="F32" i="9"/>
  <c r="F35" i="9"/>
  <c r="F38" i="9"/>
  <c r="F29" i="9"/>
  <c r="F26" i="9"/>
  <c r="G35" i="4"/>
  <c r="G34" i="4"/>
  <c r="G37" i="4"/>
  <c r="G20" i="4"/>
  <c r="G21" i="4"/>
  <c r="G15" i="4"/>
  <c r="G16" i="4"/>
  <c r="G18" i="4"/>
  <c r="G24" i="4"/>
  <c r="G25" i="4"/>
  <c r="G26" i="4"/>
  <c r="G28" i="4"/>
  <c r="G29" i="4"/>
  <c r="G30" i="4"/>
  <c r="K65" i="5" s="1"/>
  <c r="G31" i="4"/>
  <c r="G39" i="4"/>
  <c r="G40" i="4"/>
  <c r="G41" i="4"/>
  <c r="G42" i="4"/>
  <c r="G43" i="4"/>
  <c r="G45" i="4"/>
  <c r="G50" i="4"/>
  <c r="G51" i="4"/>
  <c r="G52" i="4"/>
  <c r="G53" i="4"/>
  <c r="G56" i="4"/>
  <c r="G57" i="4"/>
  <c r="G91" i="4"/>
  <c r="F23" i="9"/>
  <c r="G471" i="4"/>
  <c r="G472" i="4"/>
  <c r="G70" i="5" s="1"/>
  <c r="G474" i="4"/>
  <c r="G72" i="5" s="1"/>
  <c r="G487" i="4"/>
  <c r="G85" i="5" s="1"/>
  <c r="G477" i="4"/>
  <c r="G75" i="5" s="1"/>
  <c r="G479" i="4"/>
  <c r="G77" i="5" s="1"/>
  <c r="G480" i="4"/>
  <c r="G78" i="5" s="1"/>
  <c r="G55" i="5"/>
  <c r="G59" i="5"/>
  <c r="G49" i="5"/>
  <c r="G50" i="5"/>
  <c r="K50" i="5" s="1"/>
  <c r="G51" i="5"/>
  <c r="G53" i="5"/>
  <c r="G56" i="5"/>
  <c r="G60" i="5"/>
  <c r="G61" i="5"/>
  <c r="G63" i="5"/>
  <c r="G64" i="5"/>
  <c r="G66" i="5"/>
  <c r="G493" i="4"/>
  <c r="G91" i="5" s="1"/>
  <c r="G494" i="4"/>
  <c r="G92" i="5" s="1"/>
  <c r="G495" i="4"/>
  <c r="G543" i="4"/>
  <c r="G143" i="5" s="1"/>
  <c r="G142" i="5" s="1"/>
  <c r="G528" i="4"/>
  <c r="G74" i="9"/>
  <c r="BS74" i="9" s="1"/>
  <c r="G84" i="9"/>
  <c r="BS84" i="9" s="1"/>
  <c r="C108" i="9"/>
  <c r="G13" i="9"/>
  <c r="BS13" i="9" s="1"/>
  <c r="C526" i="4"/>
  <c r="G526" i="4" s="1"/>
  <c r="D513" i="4"/>
  <c r="G513" i="4" s="1"/>
  <c r="D517" i="4"/>
  <c r="G473" i="4"/>
  <c r="E491" i="4"/>
  <c r="F491" i="4"/>
  <c r="G476" i="4"/>
  <c r="G74" i="5" s="1"/>
  <c r="G478" i="4"/>
  <c r="G481" i="4"/>
  <c r="G483" i="4"/>
  <c r="K81" i="5" s="1"/>
  <c r="G484" i="4"/>
  <c r="K82" i="5" s="1"/>
  <c r="G485" i="4"/>
  <c r="K83" i="5" s="1"/>
  <c r="G486" i="4"/>
  <c r="G482" i="4"/>
  <c r="G80" i="5" s="1"/>
  <c r="G488" i="4"/>
  <c r="G86" i="5" s="1"/>
  <c r="G489" i="4"/>
  <c r="G87" i="5" s="1"/>
  <c r="D32" i="4"/>
  <c r="E32" i="4"/>
  <c r="G44" i="4"/>
  <c r="G46" i="4"/>
  <c r="G47" i="4"/>
  <c r="G48" i="4"/>
  <c r="G49" i="4"/>
  <c r="D12" i="4"/>
  <c r="F12" i="4"/>
  <c r="E12" i="4"/>
  <c r="G60" i="4"/>
  <c r="L93" i="9" s="1"/>
  <c r="C91" i="10" s="1"/>
  <c r="G61" i="4"/>
  <c r="G59" i="4" s="1"/>
  <c r="G62" i="4"/>
  <c r="L95" i="9" s="1"/>
  <c r="G63" i="4"/>
  <c r="L96" i="9" s="1"/>
  <c r="G64" i="4"/>
  <c r="G65" i="4"/>
  <c r="G66" i="4"/>
  <c r="M10" i="22"/>
  <c r="AZ11" i="22" s="1"/>
  <c r="BA19" i="22"/>
  <c r="M19" i="22"/>
  <c r="Q54" i="18"/>
  <c r="Q53" i="18" s="1"/>
  <c r="Q48" i="18" s="1"/>
  <c r="P54" i="18"/>
  <c r="P53" i="18" s="1"/>
  <c r="P48" i="18" s="1"/>
  <c r="J54" i="18"/>
  <c r="J53" i="18" s="1"/>
  <c r="J48" i="18" s="1"/>
  <c r="D53" i="18"/>
  <c r="R64" i="18"/>
  <c r="P9" i="18"/>
  <c r="P8" i="18" s="1"/>
  <c r="P19" i="18"/>
  <c r="P32" i="18"/>
  <c r="P35" i="18"/>
  <c r="P40" i="18"/>
  <c r="P39" i="18" s="1"/>
  <c r="P63" i="18"/>
  <c r="P62" i="18" s="1"/>
  <c r="P66" i="18"/>
  <c r="P65" i="18" s="1"/>
  <c r="P68" i="18"/>
  <c r="P72" i="18"/>
  <c r="P50" i="18"/>
  <c r="P42" i="18"/>
  <c r="F117" i="9"/>
  <c r="G50" i="9"/>
  <c r="BS50" i="9" s="1"/>
  <c r="G52" i="9"/>
  <c r="BS52" i="9" s="1"/>
  <c r="G55" i="9"/>
  <c r="BS55" i="9" s="1"/>
  <c r="G56" i="9"/>
  <c r="BS56" i="9" s="1"/>
  <c r="G59" i="9"/>
  <c r="BS59" i="9" s="1"/>
  <c r="G60" i="9"/>
  <c r="BS60" i="9" s="1"/>
  <c r="G62" i="9"/>
  <c r="BS62" i="9" s="1"/>
  <c r="G63" i="9"/>
  <c r="BS63" i="9" s="1"/>
  <c r="G47" i="9"/>
  <c r="BS47" i="9" s="1"/>
  <c r="Q72" i="18"/>
  <c r="R72" i="18" s="1"/>
  <c r="R68" i="18" s="1"/>
  <c r="O40" i="18"/>
  <c r="U40" i="18" s="1"/>
  <c r="Q9" i="18"/>
  <c r="Q8" i="18" s="1"/>
  <c r="R8" i="18" s="1"/>
  <c r="Q19" i="18"/>
  <c r="Q32" i="18"/>
  <c r="R32" i="18" s="1"/>
  <c r="Q35" i="18"/>
  <c r="R35" i="18" s="1"/>
  <c r="D14" i="27" s="1"/>
  <c r="Q40" i="18"/>
  <c r="O54" i="18"/>
  <c r="O53" i="18" s="1"/>
  <c r="Q63" i="18"/>
  <c r="O63" i="18"/>
  <c r="O62" i="18" s="1"/>
  <c r="C19" i="18"/>
  <c r="C32" i="18"/>
  <c r="C40" i="18"/>
  <c r="C39" i="18" s="1"/>
  <c r="C9" i="18"/>
  <c r="C8" i="18" s="1"/>
  <c r="C35" i="18"/>
  <c r="C63" i="18"/>
  <c r="C62" i="18" s="1"/>
  <c r="C66" i="18"/>
  <c r="C65" i="18" s="1"/>
  <c r="D63" i="18"/>
  <c r="D62" i="18" s="1"/>
  <c r="D19" i="18"/>
  <c r="D32" i="18"/>
  <c r="D40" i="18"/>
  <c r="D39" i="18" s="1"/>
  <c r="D9" i="18"/>
  <c r="D8" i="18" s="1"/>
  <c r="D35" i="18"/>
  <c r="D66" i="18"/>
  <c r="D65" i="18" s="1"/>
  <c r="E100" i="9"/>
  <c r="E108" i="9"/>
  <c r="E117" i="9"/>
  <c r="H18" i="9"/>
  <c r="H23" i="9"/>
  <c r="H35" i="9"/>
  <c r="H38" i="9"/>
  <c r="H126" i="9"/>
  <c r="I18" i="9"/>
  <c r="I26" i="9"/>
  <c r="I29" i="9"/>
  <c r="I32" i="9"/>
  <c r="I35" i="9"/>
  <c r="I40" i="9"/>
  <c r="I38" i="9" s="1"/>
  <c r="I126" i="9"/>
  <c r="L113" i="9"/>
  <c r="J18" i="9"/>
  <c r="J26" i="9"/>
  <c r="J29" i="9"/>
  <c r="J32" i="9"/>
  <c r="J35" i="9"/>
  <c r="L120" i="9"/>
  <c r="J126" i="9"/>
  <c r="K111" i="9"/>
  <c r="K108" i="9" s="1"/>
  <c r="K18" i="9"/>
  <c r="K23" i="9"/>
  <c r="K26" i="9"/>
  <c r="K29" i="9"/>
  <c r="K32" i="9"/>
  <c r="K35" i="9"/>
  <c r="K118" i="9"/>
  <c r="Q66" i="18"/>
  <c r="Q65" i="18" s="1"/>
  <c r="G15" i="9"/>
  <c r="BS15" i="9" s="1"/>
  <c r="G19" i="9"/>
  <c r="BS19" i="9" s="1"/>
  <c r="G38" i="9"/>
  <c r="O66" i="18"/>
  <c r="O65" i="18" s="1"/>
  <c r="L138" i="9"/>
  <c r="L69" i="9"/>
  <c r="G69" i="9"/>
  <c r="BS69" i="9" s="1"/>
  <c r="L74" i="9"/>
  <c r="L89" i="9"/>
  <c r="G89" i="9"/>
  <c r="BS89" i="9" s="1"/>
  <c r="I91" i="9"/>
  <c r="J91" i="9"/>
  <c r="D36" i="10"/>
  <c r="L157" i="9"/>
  <c r="F97" i="4"/>
  <c r="F96" i="4" s="1"/>
  <c r="E97" i="4"/>
  <c r="E96" i="4" s="1"/>
  <c r="D97" i="4"/>
  <c r="D96" i="4" s="1"/>
  <c r="K91" i="9"/>
  <c r="F542" i="4"/>
  <c r="F541" i="4" s="1"/>
  <c r="E542" i="4"/>
  <c r="E541" i="4" s="1"/>
  <c r="D542" i="4"/>
  <c r="D541" i="4" s="1"/>
  <c r="C542" i="4"/>
  <c r="C541" i="4" s="1"/>
  <c r="G166" i="9" s="1"/>
  <c r="BS166" i="9" s="1"/>
  <c r="C24" i="8"/>
  <c r="F496" i="4"/>
  <c r="C496" i="4"/>
  <c r="F68" i="4"/>
  <c r="C97" i="4"/>
  <c r="C96" i="4" s="1"/>
  <c r="H166" i="9" s="1"/>
  <c r="L166" i="9" s="1"/>
  <c r="I36" i="22"/>
  <c r="O36" i="22"/>
  <c r="O37" i="22" s="1"/>
  <c r="O38" i="22" s="1"/>
  <c r="O46" i="22"/>
  <c r="O47" i="22" s="1"/>
  <c r="O71" i="22" s="1"/>
  <c r="K9" i="20"/>
  <c r="L9" i="20"/>
  <c r="N9" i="20"/>
  <c r="P9" i="20"/>
  <c r="Q9" i="20"/>
  <c r="H10" i="20"/>
  <c r="P10" i="20" s="1"/>
  <c r="O10" i="20"/>
  <c r="H11" i="20"/>
  <c r="P11" i="20" s="1"/>
  <c r="O11" i="20"/>
  <c r="H12" i="20"/>
  <c r="P12" i="20" s="1"/>
  <c r="O12" i="20"/>
  <c r="H13" i="20"/>
  <c r="P13" i="20" s="1"/>
  <c r="O13" i="20"/>
  <c r="H14" i="20"/>
  <c r="P14" i="20" s="1"/>
  <c r="O14" i="20"/>
  <c r="H15" i="20"/>
  <c r="P15" i="20" s="1"/>
  <c r="O15" i="20"/>
  <c r="H16" i="20"/>
  <c r="P16" i="20" s="1"/>
  <c r="O16" i="20"/>
  <c r="H17" i="20"/>
  <c r="P17" i="20" s="1"/>
  <c r="O17" i="20"/>
  <c r="G18" i="20"/>
  <c r="G26" i="20" s="1"/>
  <c r="I18" i="20"/>
  <c r="I26" i="20" s="1"/>
  <c r="J18" i="20"/>
  <c r="K18" i="20"/>
  <c r="L18" i="20"/>
  <c r="M18" i="20"/>
  <c r="N18" i="20"/>
  <c r="Q18" i="20"/>
  <c r="H19" i="20"/>
  <c r="H20" i="20" s="1"/>
  <c r="O19" i="20"/>
  <c r="O20" i="20" s="1"/>
  <c r="K20" i="20"/>
  <c r="L20" i="20"/>
  <c r="M20" i="20"/>
  <c r="N20" i="20"/>
  <c r="Q20" i="20"/>
  <c r="H21" i="20"/>
  <c r="P21" i="20" s="1"/>
  <c r="O21" i="20"/>
  <c r="H22" i="20"/>
  <c r="P22" i="20" s="1"/>
  <c r="O22" i="20"/>
  <c r="H23" i="20"/>
  <c r="P23" i="20" s="1"/>
  <c r="O23" i="20"/>
  <c r="H24" i="20"/>
  <c r="O24" i="20"/>
  <c r="K25" i="20"/>
  <c r="L25" i="20"/>
  <c r="M25" i="20"/>
  <c r="N25" i="20"/>
  <c r="Q25" i="20"/>
  <c r="J9" i="18"/>
  <c r="J8" i="18" s="1"/>
  <c r="R13" i="18"/>
  <c r="R15" i="18"/>
  <c r="R17" i="18"/>
  <c r="J19" i="18"/>
  <c r="J32" i="18"/>
  <c r="R20" i="18"/>
  <c r="R22" i="18"/>
  <c r="R24" i="18"/>
  <c r="R25" i="18"/>
  <c r="R27" i="18"/>
  <c r="R28" i="18"/>
  <c r="R29" i="18"/>
  <c r="R30" i="18"/>
  <c r="R31" i="18"/>
  <c r="R33" i="18"/>
  <c r="R34" i="18"/>
  <c r="J35" i="18"/>
  <c r="R38" i="18"/>
  <c r="J40" i="18"/>
  <c r="R41" i="18"/>
  <c r="C42" i="18"/>
  <c r="D42" i="18"/>
  <c r="J42" i="18"/>
  <c r="Q42" i="18"/>
  <c r="R42" i="18" s="1"/>
  <c r="R43" i="18"/>
  <c r="R44" i="18"/>
  <c r="R45" i="18"/>
  <c r="C50" i="18"/>
  <c r="D50" i="18"/>
  <c r="J50" i="18"/>
  <c r="Q50" i="18"/>
  <c r="R51" i="18"/>
  <c r="O59" i="18"/>
  <c r="J63" i="18"/>
  <c r="J62" i="18" s="1"/>
  <c r="J66" i="18"/>
  <c r="J65" i="18" s="1"/>
  <c r="G34" i="14"/>
  <c r="G33" i="14" s="1"/>
  <c r="E17" i="14"/>
  <c r="E16" i="14" s="1"/>
  <c r="E30" i="14"/>
  <c r="E29" i="14" s="1"/>
  <c r="E34" i="14"/>
  <c r="E33" i="14" s="1"/>
  <c r="H34" i="14"/>
  <c r="H33" i="14" s="1"/>
  <c r="F34" i="14"/>
  <c r="F33" i="14" s="1"/>
  <c r="H30" i="14"/>
  <c r="H29" i="14" s="1"/>
  <c r="F30" i="14"/>
  <c r="F29" i="14" s="1"/>
  <c r="F17" i="14"/>
  <c r="F16" i="14" s="1"/>
  <c r="D166" i="10"/>
  <c r="E165" i="10" s="1"/>
  <c r="L171" i="9"/>
  <c r="BA171" i="9"/>
  <c r="L170" i="9"/>
  <c r="BA170" i="9"/>
  <c r="L169" i="9"/>
  <c r="BA169" i="9"/>
  <c r="L168" i="9"/>
  <c r="BA168" i="9"/>
  <c r="L165" i="9"/>
  <c r="L161" i="9"/>
  <c r="L160" i="9"/>
  <c r="L159" i="9"/>
  <c r="L158" i="9"/>
  <c r="L155" i="9"/>
  <c r="L154" i="9"/>
  <c r="L153" i="9"/>
  <c r="L152" i="9"/>
  <c r="L151" i="9"/>
  <c r="L150" i="9"/>
  <c r="L148" i="9"/>
  <c r="L146" i="9"/>
  <c r="L145" i="9"/>
  <c r="L144" i="9"/>
  <c r="L143" i="9"/>
  <c r="L142" i="9"/>
  <c r="L139" i="9"/>
  <c r="L137" i="9"/>
  <c r="L136" i="9"/>
  <c r="L135" i="9"/>
  <c r="L134" i="9"/>
  <c r="L133" i="9"/>
  <c r="L132" i="9"/>
  <c r="L130" i="9"/>
  <c r="L129" i="9"/>
  <c r="L128" i="9"/>
  <c r="C125" i="10" s="1"/>
  <c r="L127" i="9"/>
  <c r="L124" i="9"/>
  <c r="L115" i="9"/>
  <c r="L114" i="9"/>
  <c r="L110" i="9"/>
  <c r="L109" i="9"/>
  <c r="L103" i="9"/>
  <c r="C34" i="10"/>
  <c r="BA35" i="9"/>
  <c r="D17" i="8"/>
  <c r="D16" i="8" s="1"/>
  <c r="E17" i="8"/>
  <c r="E16" i="8" s="1"/>
  <c r="F17" i="8"/>
  <c r="F16" i="8" s="1"/>
  <c r="G17" i="8"/>
  <c r="G16" i="8" s="1"/>
  <c r="D25" i="8"/>
  <c r="D24" i="8" s="1"/>
  <c r="D22" i="8" s="1"/>
  <c r="E25" i="8"/>
  <c r="E24" i="8" s="1"/>
  <c r="E22" i="8" s="1"/>
  <c r="F25" i="8"/>
  <c r="F24" i="8" s="1"/>
  <c r="F22" i="8" s="1"/>
  <c r="G25" i="8"/>
  <c r="G24" i="8" s="1"/>
  <c r="G22" i="8" s="1"/>
  <c r="H27" i="8"/>
  <c r="AX160" i="9" s="1"/>
  <c r="BA160" i="9" s="1"/>
  <c r="BS160" i="9" s="1"/>
  <c r="H26" i="8"/>
  <c r="H18" i="8"/>
  <c r="C469" i="4"/>
  <c r="C448" i="4" s="1"/>
  <c r="D469" i="4"/>
  <c r="D523" i="4"/>
  <c r="D526" i="4"/>
  <c r="E475" i="4"/>
  <c r="E469" i="4"/>
  <c r="G58" i="5"/>
  <c r="G57" i="5"/>
  <c r="F38" i="4"/>
  <c r="F54" i="4"/>
  <c r="E38" i="4"/>
  <c r="E54" i="4"/>
  <c r="D38" i="4"/>
  <c r="D54" i="4"/>
  <c r="D86" i="4"/>
  <c r="D89" i="4"/>
  <c r="G36" i="4"/>
  <c r="G27" i="4"/>
  <c r="G23" i="4"/>
  <c r="G22" i="4"/>
  <c r="G19" i="4"/>
  <c r="G17" i="4"/>
  <c r="D79" i="4"/>
  <c r="G79" i="4" s="1"/>
  <c r="J152" i="5"/>
  <c r="I152" i="5"/>
  <c r="H152" i="5"/>
  <c r="D35" i="9"/>
  <c r="D496" i="4"/>
  <c r="G527" i="4"/>
  <c r="G125" i="5" s="1"/>
  <c r="K125" i="5" s="1"/>
  <c r="G524" i="4"/>
  <c r="G520" i="4"/>
  <c r="G519" i="4"/>
  <c r="G518" i="4"/>
  <c r="G509" i="4"/>
  <c r="G508" i="4"/>
  <c r="G507" i="4"/>
  <c r="G503" i="4"/>
  <c r="G502" i="4"/>
  <c r="G499" i="4"/>
  <c r="G498" i="4"/>
  <c r="G94" i="5" s="1"/>
  <c r="G497" i="4"/>
  <c r="G90" i="4"/>
  <c r="G87" i="4"/>
  <c r="G72" i="4"/>
  <c r="G71" i="4"/>
  <c r="G70" i="4"/>
  <c r="G69" i="4"/>
  <c r="G14" i="4"/>
  <c r="H100" i="9"/>
  <c r="J118" i="9"/>
  <c r="J100" i="9"/>
  <c r="J121" i="9"/>
  <c r="H112" i="9"/>
  <c r="C158" i="10"/>
  <c r="D109" i="10"/>
  <c r="F100" i="9"/>
  <c r="K112" i="9"/>
  <c r="J112" i="9"/>
  <c r="J23" i="9"/>
  <c r="E23" i="9"/>
  <c r="I23" i="9"/>
  <c r="C54" i="18"/>
  <c r="C53" i="18" s="1"/>
  <c r="R49" i="18"/>
  <c r="L104" i="9"/>
  <c r="L122" i="9"/>
  <c r="C112" i="9"/>
  <c r="K100" i="9"/>
  <c r="C100" i="9"/>
  <c r="F85" i="4"/>
  <c r="R16" i="18"/>
  <c r="D23" i="9"/>
  <c r="G506" i="4"/>
  <c r="L147" i="9"/>
  <c r="G24" i="9"/>
  <c r="BS24" i="9" s="1"/>
  <c r="M36" i="22"/>
  <c r="M37" i="22" s="1"/>
  <c r="J36" i="22"/>
  <c r="J37" i="22" s="1"/>
  <c r="R37" i="18"/>
  <c r="F147" i="9"/>
  <c r="C22" i="8"/>
  <c r="C89" i="4"/>
  <c r="G89" i="4" s="1"/>
  <c r="O9" i="20"/>
  <c r="M9" i="20"/>
  <c r="K66" i="9"/>
  <c r="BA45" i="9"/>
  <c r="BA121" i="9"/>
  <c r="BA117" i="9"/>
  <c r="BA44" i="9"/>
  <c r="K126" i="9"/>
  <c r="G138" i="5" l="1"/>
  <c r="K138" i="5" s="1"/>
  <c r="K142" i="5"/>
  <c r="G93" i="5"/>
  <c r="K93" i="5" s="1"/>
  <c r="K58" i="5"/>
  <c r="K78" i="5"/>
  <c r="G491" i="4"/>
  <c r="BC11" i="22"/>
  <c r="G496" i="4"/>
  <c r="O39" i="18"/>
  <c r="U39" i="18" s="1"/>
  <c r="K56" i="5"/>
  <c r="G48" i="5"/>
  <c r="BE87" i="9"/>
  <c r="BD44" i="9"/>
  <c r="AQ59" i="22"/>
  <c r="AR59" i="22" s="1"/>
  <c r="BE55" i="22"/>
  <c r="AY38" i="22"/>
  <c r="R65" i="18"/>
  <c r="D22" i="27" s="1"/>
  <c r="K57" i="5"/>
  <c r="AW70" i="22"/>
  <c r="AW71" i="22" s="1"/>
  <c r="AW73" i="22" s="1"/>
  <c r="C106" i="10"/>
  <c r="C163" i="10"/>
  <c r="AL14" i="9"/>
  <c r="AL11" i="9" s="1"/>
  <c r="AL10" i="9" s="1"/>
  <c r="AL172" i="9" s="1"/>
  <c r="AC11" i="9"/>
  <c r="AC10" i="9" s="1"/>
  <c r="AC172" i="9" s="1"/>
  <c r="AN14" i="9"/>
  <c r="AN11" i="9" s="1"/>
  <c r="AN10" i="9" s="1"/>
  <c r="AN172" i="9" s="1"/>
  <c r="AE11" i="9"/>
  <c r="AE10" i="9" s="1"/>
  <c r="AE172" i="9" s="1"/>
  <c r="AM14" i="9"/>
  <c r="AM11" i="9" s="1"/>
  <c r="AM10" i="9" s="1"/>
  <c r="AM172" i="9" s="1"/>
  <c r="AD11" i="9"/>
  <c r="AD10" i="9" s="1"/>
  <c r="AD172" i="9" s="1"/>
  <c r="C162" i="10"/>
  <c r="C61" i="10"/>
  <c r="C87" i="10"/>
  <c r="C65" i="10"/>
  <c r="G23" i="9"/>
  <c r="BS23" i="9" s="1"/>
  <c r="C22" i="10"/>
  <c r="D21" i="10" s="1"/>
  <c r="C129" i="10"/>
  <c r="D46" i="27"/>
  <c r="G18" i="9"/>
  <c r="BS18" i="9" s="1"/>
  <c r="C17" i="10"/>
  <c r="C101" i="10"/>
  <c r="C100" i="10"/>
  <c r="C67" i="10"/>
  <c r="C72" i="10"/>
  <c r="C68" i="10"/>
  <c r="G121" i="9"/>
  <c r="BS121" i="9" s="1"/>
  <c r="G112" i="9"/>
  <c r="BS112" i="9" s="1"/>
  <c r="G69" i="5"/>
  <c r="K69" i="5" s="1"/>
  <c r="G469" i="4"/>
  <c r="K87" i="5"/>
  <c r="K86" i="5"/>
  <c r="G107" i="9"/>
  <c r="BS107" i="9" s="1"/>
  <c r="G100" i="9"/>
  <c r="BS100" i="9" s="1"/>
  <c r="F126" i="9"/>
  <c r="G126" i="9" s="1"/>
  <c r="G147" i="9"/>
  <c r="BS147" i="9" s="1"/>
  <c r="G84" i="5"/>
  <c r="K84" i="5" s="1"/>
  <c r="K88" i="5"/>
  <c r="K80" i="5"/>
  <c r="K75" i="5"/>
  <c r="K59" i="5"/>
  <c r="K70" i="5"/>
  <c r="K55" i="5"/>
  <c r="AY46" i="22"/>
  <c r="AY47" i="22" s="1"/>
  <c r="X19" i="22"/>
  <c r="AZ24" i="22"/>
  <c r="AZ25" i="22" s="1"/>
  <c r="AY54" i="22"/>
  <c r="AY70" i="22" s="1"/>
  <c r="M71" i="22"/>
  <c r="AO54" i="22"/>
  <c r="AO70" i="22" s="1"/>
  <c r="AO46" i="22"/>
  <c r="AO47" i="22" s="1"/>
  <c r="AP70" i="22"/>
  <c r="AM70" i="22"/>
  <c r="AO24" i="22"/>
  <c r="AO25" i="22" s="1"/>
  <c r="AO38" i="22" s="1"/>
  <c r="O73" i="22"/>
  <c r="K64" i="5"/>
  <c r="K63" i="5"/>
  <c r="K53" i="5"/>
  <c r="K92" i="5"/>
  <c r="K77" i="5"/>
  <c r="K66" i="5"/>
  <c r="K61" i="5"/>
  <c r="K51" i="5"/>
  <c r="K72" i="5"/>
  <c r="K49" i="5"/>
  <c r="K74" i="5"/>
  <c r="K96" i="5"/>
  <c r="K94" i="5"/>
  <c r="G35" i="5"/>
  <c r="K36" i="5"/>
  <c r="K91" i="5"/>
  <c r="K76" i="5"/>
  <c r="K60" i="5"/>
  <c r="K90" i="5"/>
  <c r="W63" i="22"/>
  <c r="X62" i="22"/>
  <c r="I37" i="22"/>
  <c r="W27" i="22"/>
  <c r="X26" i="22"/>
  <c r="X14" i="22"/>
  <c r="W54" i="22"/>
  <c r="X48" i="22"/>
  <c r="Q47" i="22"/>
  <c r="Q71" i="22" s="1"/>
  <c r="Q73" i="22" s="1"/>
  <c r="V38" i="22"/>
  <c r="V73" i="22" s="1"/>
  <c r="J38" i="22"/>
  <c r="M24" i="22"/>
  <c r="AQ19" i="22"/>
  <c r="BE19" i="22" s="1"/>
  <c r="W33" i="22"/>
  <c r="X33" i="22" s="1"/>
  <c r="BC10" i="22"/>
  <c r="W10" i="22"/>
  <c r="W11" i="22" s="1"/>
  <c r="U11" i="22"/>
  <c r="U25" i="22" s="1"/>
  <c r="W31" i="22"/>
  <c r="U36" i="22"/>
  <c r="U37" i="22" s="1"/>
  <c r="M11" i="22"/>
  <c r="W23" i="22"/>
  <c r="X23" i="22" s="1"/>
  <c r="N126" i="9"/>
  <c r="K71" i="9"/>
  <c r="J26" i="20"/>
  <c r="AQ82" i="22" s="1"/>
  <c r="F99" i="9"/>
  <c r="Q68" i="18"/>
  <c r="C121" i="10"/>
  <c r="C107" i="10"/>
  <c r="C128" i="10"/>
  <c r="C132" i="10"/>
  <c r="D48" i="18"/>
  <c r="C135" i="10"/>
  <c r="D133" i="10" s="1"/>
  <c r="Q62" i="18"/>
  <c r="R63" i="18"/>
  <c r="R62" i="18" s="1"/>
  <c r="D20" i="27" s="1"/>
  <c r="E99" i="9"/>
  <c r="C11" i="4"/>
  <c r="BA127" i="9"/>
  <c r="BS127" i="9" s="1"/>
  <c r="G126" i="5"/>
  <c r="G124" i="5" s="1"/>
  <c r="K124" i="5" s="1"/>
  <c r="BC39" i="22"/>
  <c r="C18" i="10"/>
  <c r="C71" i="9"/>
  <c r="C40" i="10"/>
  <c r="F20" i="21"/>
  <c r="AQ62" i="22"/>
  <c r="BA48" i="22"/>
  <c r="AQ48" i="22"/>
  <c r="J39" i="18"/>
  <c r="AQ45" i="22"/>
  <c r="BA62" i="22"/>
  <c r="BA63" i="22" s="1"/>
  <c r="BA9" i="22"/>
  <c r="BA11" i="22" s="1"/>
  <c r="AQ53" i="22"/>
  <c r="AQ49" i="22"/>
  <c r="AQ42" i="22"/>
  <c r="BA45" i="22"/>
  <c r="BA23" i="22"/>
  <c r="BA24" i="22" s="1"/>
  <c r="BC48" i="22"/>
  <c r="BC42" i="22"/>
  <c r="BC49" i="22"/>
  <c r="BC62" i="22"/>
  <c r="BC45" i="22"/>
  <c r="C33" i="9"/>
  <c r="BC53" i="22"/>
  <c r="G68" i="5"/>
  <c r="K99" i="9"/>
  <c r="BA49" i="22"/>
  <c r="BA42" i="22"/>
  <c r="BA53" i="22"/>
  <c r="AQ33" i="22"/>
  <c r="BA33" i="22"/>
  <c r="AQ26" i="22"/>
  <c r="BA26" i="22"/>
  <c r="BA27" i="22" s="1"/>
  <c r="AQ31" i="22"/>
  <c r="BA31" i="22"/>
  <c r="AQ40" i="22"/>
  <c r="BA40" i="22"/>
  <c r="AQ34" i="22"/>
  <c r="BA34" i="22"/>
  <c r="AQ28" i="22"/>
  <c r="BA28" i="22"/>
  <c r="AQ39" i="22"/>
  <c r="R11" i="22"/>
  <c r="AC11" i="22" s="1"/>
  <c r="R14" i="22"/>
  <c r="AC14" i="22" s="1"/>
  <c r="R19" i="22"/>
  <c r="AC19" i="22" s="1"/>
  <c r="R23" i="22"/>
  <c r="AC23" i="22" s="1"/>
  <c r="R50" i="18"/>
  <c r="Q39" i="18"/>
  <c r="C45" i="9"/>
  <c r="L108" i="9"/>
  <c r="H99" i="9"/>
  <c r="L18" i="9"/>
  <c r="L121" i="9"/>
  <c r="L23" i="9"/>
  <c r="BJ127" i="9"/>
  <c r="H17" i="8"/>
  <c r="G35" i="9"/>
  <c r="BS35" i="9" s="1"/>
  <c r="J117" i="9"/>
  <c r="AX158" i="9"/>
  <c r="BA158" i="9" s="1"/>
  <c r="BS158" i="9" s="1"/>
  <c r="L123" i="9"/>
  <c r="L53" i="9"/>
  <c r="L49" i="9"/>
  <c r="L52" i="9"/>
  <c r="L51" i="9"/>
  <c r="D11" i="4"/>
  <c r="R55" i="18"/>
  <c r="R54" i="18" s="1"/>
  <c r="L55" i="9"/>
  <c r="P24" i="20"/>
  <c r="P25" i="20" s="1"/>
  <c r="H25" i="20"/>
  <c r="J87" i="9"/>
  <c r="H32" i="9"/>
  <c r="C106" i="9"/>
  <c r="G106" i="9" s="1"/>
  <c r="BS106" i="9" s="1"/>
  <c r="J99" i="9"/>
  <c r="H19" i="21"/>
  <c r="H20" i="21" s="1"/>
  <c r="R40" i="18"/>
  <c r="D505" i="4"/>
  <c r="L48" i="9"/>
  <c r="I87" i="9"/>
  <c r="L47" i="9"/>
  <c r="R45" i="22"/>
  <c r="AC45" i="22" s="1"/>
  <c r="Q18" i="18"/>
  <c r="R18" i="18" s="1"/>
  <c r="D12" i="27" s="1"/>
  <c r="D522" i="4"/>
  <c r="J18" i="18"/>
  <c r="G72" i="9"/>
  <c r="BS72" i="9" s="1"/>
  <c r="K87" i="9"/>
  <c r="L68" i="9"/>
  <c r="D85" i="4"/>
  <c r="L85" i="9"/>
  <c r="L81" i="9"/>
  <c r="L84" i="9"/>
  <c r="C82" i="10" s="1"/>
  <c r="L80" i="9"/>
  <c r="L76" i="9"/>
  <c r="H87" i="9"/>
  <c r="G108" i="5"/>
  <c r="G76" i="9"/>
  <c r="BS76" i="9" s="1"/>
  <c r="L56" i="9"/>
  <c r="L126" i="9"/>
  <c r="L90" i="9"/>
  <c r="L112" i="9"/>
  <c r="L100" i="9"/>
  <c r="L50" i="9"/>
  <c r="L59" i="9"/>
  <c r="I99" i="9"/>
  <c r="H65" i="9"/>
  <c r="L54" i="9"/>
  <c r="L64" i="9"/>
  <c r="L61" i="9"/>
  <c r="L57" i="9"/>
  <c r="N46" i="22"/>
  <c r="H18" i="20"/>
  <c r="O18" i="20"/>
  <c r="O25" i="20"/>
  <c r="K26" i="20"/>
  <c r="R42" i="22"/>
  <c r="AC42" i="22" s="1"/>
  <c r="R40" i="22"/>
  <c r="AC40" i="22" s="1"/>
  <c r="P46" i="22"/>
  <c r="R62" i="22"/>
  <c r="AC62" i="22" s="1"/>
  <c r="R49" i="22"/>
  <c r="AC49" i="22" s="1"/>
  <c r="R33" i="22"/>
  <c r="AC33" i="22" s="1"/>
  <c r="R34" i="22"/>
  <c r="AC34" i="22" s="1"/>
  <c r="R31" i="22"/>
  <c r="AC31" i="22" s="1"/>
  <c r="P36" i="22"/>
  <c r="P37" i="22" s="1"/>
  <c r="P38" i="22" s="1"/>
  <c r="G32" i="4"/>
  <c r="L94" i="9"/>
  <c r="G54" i="4"/>
  <c r="G94" i="9"/>
  <c r="BS94" i="9" s="1"/>
  <c r="L86" i="9"/>
  <c r="L82" i="9"/>
  <c r="R55" i="22"/>
  <c r="AC55" i="22" s="1"/>
  <c r="R53" i="18"/>
  <c r="D18" i="27" s="1"/>
  <c r="K117" i="9"/>
  <c r="AX100" i="9"/>
  <c r="C16" i="8"/>
  <c r="C46" i="8" s="1"/>
  <c r="L83" i="9"/>
  <c r="L75" i="9"/>
  <c r="D117" i="9"/>
  <c r="I117" i="9"/>
  <c r="I71" i="9"/>
  <c r="L60" i="9"/>
  <c r="G91" i="9"/>
  <c r="BS91" i="9" s="1"/>
  <c r="H25" i="8"/>
  <c r="D108" i="9"/>
  <c r="D99" i="9" s="1"/>
  <c r="R26" i="22"/>
  <c r="AC26" i="22" s="1"/>
  <c r="M26" i="20"/>
  <c r="D46" i="8"/>
  <c r="R48" i="18"/>
  <c r="L66" i="9"/>
  <c r="G19" i="21"/>
  <c r="G20" i="21" s="1"/>
  <c r="L111" i="9"/>
  <c r="L26" i="20"/>
  <c r="L77" i="9"/>
  <c r="L88" i="9"/>
  <c r="L79" i="9"/>
  <c r="F71" i="9"/>
  <c r="G53" i="9"/>
  <c r="BS53" i="9" s="1"/>
  <c r="L91" i="9"/>
  <c r="D18" i="18"/>
  <c r="P18" i="18"/>
  <c r="P74" i="18" s="1"/>
  <c r="P75" i="18" s="1"/>
  <c r="R66" i="18"/>
  <c r="F11" i="4"/>
  <c r="F99" i="4" s="1"/>
  <c r="J71" i="9"/>
  <c r="L58" i="9"/>
  <c r="L78" i="9"/>
  <c r="L73" i="9"/>
  <c r="L62" i="9"/>
  <c r="H71" i="9"/>
  <c r="F45" i="9"/>
  <c r="G73" i="9"/>
  <c r="BS73" i="9" s="1"/>
  <c r="C65" i="9"/>
  <c r="G517" i="4"/>
  <c r="E87" i="9"/>
  <c r="G48" i="9"/>
  <c r="BS48" i="9" s="1"/>
  <c r="G64" i="9"/>
  <c r="BS64" i="9" s="1"/>
  <c r="G54" i="9"/>
  <c r="BS54" i="9" s="1"/>
  <c r="G49" i="9"/>
  <c r="BS49" i="9" s="1"/>
  <c r="D71" i="9"/>
  <c r="G58" i="9"/>
  <c r="BS58" i="9" s="1"/>
  <c r="F65" i="9"/>
  <c r="G542" i="4"/>
  <c r="G541" i="4" s="1"/>
  <c r="E45" i="9"/>
  <c r="G475" i="4"/>
  <c r="G448" i="4" s="1"/>
  <c r="G61" i="9"/>
  <c r="BS61" i="9" s="1"/>
  <c r="D87" i="9"/>
  <c r="D45" i="9"/>
  <c r="G510" i="4"/>
  <c r="G505" i="4" s="1"/>
  <c r="D68" i="4"/>
  <c r="G68" i="4" s="1"/>
  <c r="L72" i="9"/>
  <c r="G68" i="9"/>
  <c r="BS68" i="9" s="1"/>
  <c r="G57" i="9"/>
  <c r="BS57" i="9" s="1"/>
  <c r="G38" i="4"/>
  <c r="G86" i="9"/>
  <c r="BS86" i="9" s="1"/>
  <c r="J45" i="9"/>
  <c r="G88" i="9"/>
  <c r="BS88" i="9" s="1"/>
  <c r="F87" i="9"/>
  <c r="K45" i="9"/>
  <c r="I45" i="9"/>
  <c r="G12" i="4"/>
  <c r="L46" i="9"/>
  <c r="H45" i="9"/>
  <c r="C505" i="4"/>
  <c r="D448" i="4"/>
  <c r="E448" i="4"/>
  <c r="E544" i="4" s="1"/>
  <c r="G128" i="5"/>
  <c r="G66" i="9"/>
  <c r="BS66" i="9" s="1"/>
  <c r="E11" i="4"/>
  <c r="E99" i="4" s="1"/>
  <c r="K65" i="9"/>
  <c r="F448" i="4"/>
  <c r="F544" i="4" s="1"/>
  <c r="R19" i="18"/>
  <c r="C18" i="18"/>
  <c r="C74" i="18" s="1"/>
  <c r="R53" i="22"/>
  <c r="AC53" i="22" s="1"/>
  <c r="R56" i="22"/>
  <c r="AC56" i="22" s="1"/>
  <c r="J46" i="22"/>
  <c r="R28" i="22"/>
  <c r="AC28" i="22" s="1"/>
  <c r="N36" i="22"/>
  <c r="N37" i="22" s="1"/>
  <c r="N38" i="22" s="1"/>
  <c r="N26" i="20"/>
  <c r="R9" i="18"/>
  <c r="R39" i="22"/>
  <c r="AC39" i="22" s="1"/>
  <c r="K85" i="5"/>
  <c r="E40" i="9"/>
  <c r="F40" i="9"/>
  <c r="H22" i="8"/>
  <c r="F46" i="8"/>
  <c r="G46" i="8"/>
  <c r="H24" i="8"/>
  <c r="E46" i="8"/>
  <c r="G92" i="9"/>
  <c r="BS92" i="9" s="1"/>
  <c r="Q26" i="20"/>
  <c r="P18" i="20"/>
  <c r="P19" i="20"/>
  <c r="P20" i="20" s="1"/>
  <c r="G89" i="5" l="1"/>
  <c r="K89" i="5" s="1"/>
  <c r="G73" i="5"/>
  <c r="K73" i="5" s="1"/>
  <c r="D124" i="10"/>
  <c r="N172" i="9"/>
  <c r="R126" i="9"/>
  <c r="M48" i="5"/>
  <c r="O74" i="18"/>
  <c r="O75" i="18" s="1"/>
  <c r="G174" i="9" s="1"/>
  <c r="G87" i="9"/>
  <c r="BS87" i="9" s="1"/>
  <c r="BE28" i="22"/>
  <c r="BE40" i="22"/>
  <c r="F19" i="5"/>
  <c r="G19" i="5"/>
  <c r="C16" i="9" s="1"/>
  <c r="BE34" i="22"/>
  <c r="BE33" i="22"/>
  <c r="C44" i="9"/>
  <c r="BE53" i="22"/>
  <c r="BE45" i="22"/>
  <c r="AP71" i="22"/>
  <c r="F14" i="9"/>
  <c r="AW79" i="22"/>
  <c r="BE49" i="22"/>
  <c r="BE42" i="22"/>
  <c r="BE48" i="22"/>
  <c r="AM71" i="22"/>
  <c r="AM73" i="22" s="1"/>
  <c r="D544" i="4"/>
  <c r="C66" i="10"/>
  <c r="C62" i="10"/>
  <c r="C74" i="10"/>
  <c r="C56" i="10"/>
  <c r="BE44" i="9"/>
  <c r="K35" i="5"/>
  <c r="AZ38" i="22"/>
  <c r="AZ73" i="22" s="1"/>
  <c r="AQ63" i="22"/>
  <c r="BE62" i="22"/>
  <c r="AQ27" i="22"/>
  <c r="BE26" i="22"/>
  <c r="AY71" i="22"/>
  <c r="AY73" i="22" s="1"/>
  <c r="AX79" i="22" s="1"/>
  <c r="G103" i="5"/>
  <c r="K103" i="5" s="1"/>
  <c r="K108" i="5"/>
  <c r="C108" i="10"/>
  <c r="BA82" i="22"/>
  <c r="G67" i="5"/>
  <c r="K67" i="5" s="1"/>
  <c r="C84" i="10"/>
  <c r="S27" i="9"/>
  <c r="C75" i="18"/>
  <c r="C47" i="10"/>
  <c r="C52" i="10"/>
  <c r="C70" i="10"/>
  <c r="C64" i="10"/>
  <c r="C86" i="10"/>
  <c r="C55" i="10"/>
  <c r="C59" i="10"/>
  <c r="C92" i="10"/>
  <c r="D90" i="10" s="1"/>
  <c r="C104" i="10"/>
  <c r="D103" i="10" s="1"/>
  <c r="C89" i="10"/>
  <c r="Q74" i="18"/>
  <c r="Q75" i="18" s="1"/>
  <c r="BQ174" i="9" s="1"/>
  <c r="BQ176" i="9" s="1"/>
  <c r="C21" i="13"/>
  <c r="D21" i="13" s="1"/>
  <c r="Q71" i="6"/>
  <c r="Q73" i="6" s="1"/>
  <c r="D74" i="18"/>
  <c r="D75" i="18" s="1"/>
  <c r="G45" i="9"/>
  <c r="BS45" i="9" s="1"/>
  <c r="G108" i="9"/>
  <c r="BA54" i="22"/>
  <c r="BA25" i="22"/>
  <c r="BA36" i="22"/>
  <c r="BA37" i="22" s="1"/>
  <c r="AO71" i="22"/>
  <c r="AO73" i="22" s="1"/>
  <c r="AQ46" i="22"/>
  <c r="AQ10" i="22"/>
  <c r="AP11" i="22"/>
  <c r="AQ54" i="22"/>
  <c r="AQ14" i="22"/>
  <c r="BE14" i="22" s="1"/>
  <c r="AP24" i="22"/>
  <c r="AQ36" i="22"/>
  <c r="K128" i="5"/>
  <c r="K143" i="5"/>
  <c r="K126" i="5"/>
  <c r="K68" i="5"/>
  <c r="K48" i="5"/>
  <c r="D24" i="27"/>
  <c r="D10" i="27"/>
  <c r="P15" i="21"/>
  <c r="Q15" i="21" s="1"/>
  <c r="P18" i="21"/>
  <c r="Q18" i="21" s="1"/>
  <c r="O19" i="21"/>
  <c r="O20" i="21" s="1"/>
  <c r="I38" i="22"/>
  <c r="I73" i="22" s="1"/>
  <c r="W36" i="22"/>
  <c r="W37" i="22" s="1"/>
  <c r="X31" i="22"/>
  <c r="BE31" i="22" s="1"/>
  <c r="X10" i="22"/>
  <c r="AG10" i="22" s="1"/>
  <c r="W70" i="22"/>
  <c r="W71" i="22" s="1"/>
  <c r="X63" i="22"/>
  <c r="R63" i="22"/>
  <c r="R59" i="22"/>
  <c r="AC59" i="22" s="1"/>
  <c r="AE59" i="22" s="1"/>
  <c r="X59" i="22"/>
  <c r="BE59" i="22" s="1"/>
  <c r="X54" i="22"/>
  <c r="R54" i="22"/>
  <c r="AC54" i="22" s="1"/>
  <c r="AE54" i="22" s="1"/>
  <c r="N47" i="22"/>
  <c r="N71" i="22" s="1"/>
  <c r="N73" i="22" s="1"/>
  <c r="P47" i="22"/>
  <c r="P71" i="22" s="1"/>
  <c r="P73" i="22" s="1"/>
  <c r="J47" i="22"/>
  <c r="J71" i="22" s="1"/>
  <c r="J73" i="22" s="1"/>
  <c r="U38" i="22"/>
  <c r="U73" i="22" s="1"/>
  <c r="X27" i="22"/>
  <c r="AG27" i="22" s="1"/>
  <c r="R27" i="22"/>
  <c r="AC27" i="22" s="1"/>
  <c r="M25" i="22"/>
  <c r="AQ23" i="22"/>
  <c r="BE23" i="22" s="1"/>
  <c r="AG14" i="22"/>
  <c r="R24" i="22"/>
  <c r="W24" i="22"/>
  <c r="W25" i="22" s="1"/>
  <c r="BC13" i="22"/>
  <c r="C46" i="10"/>
  <c r="C51" i="10"/>
  <c r="D161" i="10"/>
  <c r="E160" i="10" s="1"/>
  <c r="D16" i="10"/>
  <c r="L71" i="9"/>
  <c r="K44" i="9"/>
  <c r="C71" i="10"/>
  <c r="C88" i="10"/>
  <c r="C44" i="10"/>
  <c r="C76" i="10"/>
  <c r="C143" i="10"/>
  <c r="D139" i="10" s="1"/>
  <c r="C73" i="10"/>
  <c r="L92" i="9"/>
  <c r="C81" i="10"/>
  <c r="C45" i="10"/>
  <c r="C80" i="10"/>
  <c r="G11" i="4"/>
  <c r="D99" i="4"/>
  <c r="M89" i="5"/>
  <c r="C99" i="9"/>
  <c r="G99" i="9" s="1"/>
  <c r="J74" i="18"/>
  <c r="J75" i="18" s="1"/>
  <c r="BK174" i="9" s="1"/>
  <c r="C58" i="10"/>
  <c r="C53" i="10"/>
  <c r="C49" i="10"/>
  <c r="C57" i="10"/>
  <c r="C50" i="10"/>
  <c r="C60" i="10"/>
  <c r="C48" i="10"/>
  <c r="C54" i="10"/>
  <c r="G33" i="9"/>
  <c r="BS33" i="9" s="1"/>
  <c r="C32" i="9"/>
  <c r="BC9" i="22"/>
  <c r="AQ9" i="22"/>
  <c r="BE9" i="22" s="1"/>
  <c r="BC19" i="22"/>
  <c r="BC28" i="22"/>
  <c r="BC31" i="22"/>
  <c r="BC33" i="22"/>
  <c r="BC23" i="22"/>
  <c r="BC34" i="22"/>
  <c r="BC40" i="22"/>
  <c r="BC26" i="22"/>
  <c r="BA39" i="22"/>
  <c r="BA46" i="22" s="1"/>
  <c r="BA47" i="22" s="1"/>
  <c r="R36" i="22"/>
  <c r="AC36" i="22" s="1"/>
  <c r="R39" i="18"/>
  <c r="D97" i="10"/>
  <c r="L99" i="9"/>
  <c r="H26" i="20"/>
  <c r="L13" i="21"/>
  <c r="H44" i="9"/>
  <c r="D33" i="10"/>
  <c r="BD108" i="9"/>
  <c r="AX157" i="9"/>
  <c r="BA157" i="9" s="1"/>
  <c r="BS157" i="9" s="1"/>
  <c r="L18" i="21"/>
  <c r="L10" i="21"/>
  <c r="J19" i="21"/>
  <c r="J20" i="21" s="1"/>
  <c r="L9" i="21"/>
  <c r="L15" i="21"/>
  <c r="L87" i="9"/>
  <c r="K19" i="21"/>
  <c r="K20" i="21" s="1"/>
  <c r="L16" i="21"/>
  <c r="L11" i="21"/>
  <c r="L14" i="21"/>
  <c r="L12" i="21"/>
  <c r="L32" i="9"/>
  <c r="L65" i="9"/>
  <c r="O26" i="20"/>
  <c r="C83" i="10"/>
  <c r="AX99" i="9"/>
  <c r="BA136" i="9"/>
  <c r="BS136" i="9" s="1"/>
  <c r="R46" i="22"/>
  <c r="K40" i="9"/>
  <c r="K38" i="9" s="1"/>
  <c r="J44" i="9"/>
  <c r="E44" i="9"/>
  <c r="H16" i="8"/>
  <c r="I20" i="21"/>
  <c r="I44" i="9"/>
  <c r="F44" i="9"/>
  <c r="BJ126" i="9"/>
  <c r="BK126" i="9" s="1"/>
  <c r="D44" i="9"/>
  <c r="G65" i="9"/>
  <c r="BS65" i="9" s="1"/>
  <c r="G71" i="9"/>
  <c r="BS71" i="9" s="1"/>
  <c r="L45" i="9"/>
  <c r="J40" i="9"/>
  <c r="J38" i="9" s="1"/>
  <c r="D11" i="9"/>
  <c r="D10" i="9" s="1"/>
  <c r="P26" i="20"/>
  <c r="G30" i="5" l="1"/>
  <c r="C27" i="9" s="1"/>
  <c r="G33" i="5"/>
  <c r="C30" i="9" s="1"/>
  <c r="H81" i="18"/>
  <c r="N174" i="9"/>
  <c r="R174" i="9" s="1"/>
  <c r="AW174" i="9"/>
  <c r="R172" i="9"/>
  <c r="AW126" i="9"/>
  <c r="BS126" i="9" s="1"/>
  <c r="G47" i="5"/>
  <c r="F18" i="12"/>
  <c r="D19" i="14"/>
  <c r="N74" i="18"/>
  <c r="N75" i="18" s="1"/>
  <c r="D85" i="10"/>
  <c r="G44" i="9"/>
  <c r="BS44" i="9" s="1"/>
  <c r="F30" i="5"/>
  <c r="F29" i="5" s="1"/>
  <c r="M73" i="5"/>
  <c r="AO86" i="22"/>
  <c r="BE39" i="22"/>
  <c r="BE27" i="22"/>
  <c r="AO87" i="22"/>
  <c r="U75" i="22"/>
  <c r="BE10" i="22"/>
  <c r="AW80" i="22"/>
  <c r="AW81" i="22" s="1"/>
  <c r="AW82" i="22" s="1"/>
  <c r="AB16" i="9"/>
  <c r="AF16" i="9" s="1"/>
  <c r="AJ16" i="9" s="1"/>
  <c r="AX80" i="22"/>
  <c r="AX81" i="22" s="1"/>
  <c r="AX82" i="22" s="1"/>
  <c r="F33" i="5"/>
  <c r="BE108" i="9"/>
  <c r="BS108" i="9" s="1"/>
  <c r="BD99" i="9"/>
  <c r="E17" i="5"/>
  <c r="E14" i="5" s="1"/>
  <c r="F17" i="5"/>
  <c r="F14" i="5" s="1"/>
  <c r="AR63" i="22"/>
  <c r="BE63" i="22"/>
  <c r="AQ47" i="22"/>
  <c r="AQ37" i="22"/>
  <c r="BA70" i="22"/>
  <c r="BA71" i="22" s="1"/>
  <c r="BE54" i="22"/>
  <c r="D14" i="5"/>
  <c r="S30" i="9"/>
  <c r="W30" i="9" s="1"/>
  <c r="S41" i="9"/>
  <c r="K44" i="5"/>
  <c r="D43" i="5"/>
  <c r="W27" i="9"/>
  <c r="S26" i="9"/>
  <c r="D29" i="5"/>
  <c r="M38" i="22"/>
  <c r="M73" i="22" s="1"/>
  <c r="R74" i="18"/>
  <c r="R75" i="18" s="1"/>
  <c r="I54" i="14" s="1"/>
  <c r="D43" i="10"/>
  <c r="D42" i="27"/>
  <c r="C31" i="10"/>
  <c r="D30" i="10" s="1"/>
  <c r="BA183" i="9"/>
  <c r="E71" i="6"/>
  <c r="E73" i="6" s="1"/>
  <c r="BK183" i="9"/>
  <c r="S71" i="6"/>
  <c r="S73" i="6" s="1"/>
  <c r="BQ183" i="9"/>
  <c r="BQ184" i="9" s="1"/>
  <c r="G154" i="5"/>
  <c r="D44" i="27"/>
  <c r="P73" i="6"/>
  <c r="BA38" i="22"/>
  <c r="AQ70" i="22"/>
  <c r="AR54" i="22"/>
  <c r="AP25" i="22"/>
  <c r="AQ11" i="22"/>
  <c r="AQ24" i="22"/>
  <c r="M103" i="5"/>
  <c r="U71" i="6"/>
  <c r="U73" i="6" s="1"/>
  <c r="D16" i="27"/>
  <c r="D26" i="27" s="1"/>
  <c r="W38" i="22"/>
  <c r="W73" i="22" s="1"/>
  <c r="N20" i="21"/>
  <c r="U21" i="21" s="1"/>
  <c r="P11" i="21"/>
  <c r="Q11" i="21" s="1"/>
  <c r="Q19" i="21" s="1"/>
  <c r="Q20" i="21" s="1"/>
  <c r="R47" i="22"/>
  <c r="AC47" i="22" s="1"/>
  <c r="AC46" i="22"/>
  <c r="R25" i="22"/>
  <c r="AC25" i="22" s="1"/>
  <c r="AC24" i="22"/>
  <c r="R70" i="22"/>
  <c r="AC63" i="22"/>
  <c r="AE63" i="22" s="1"/>
  <c r="AG63" i="22"/>
  <c r="X70" i="22"/>
  <c r="AG54" i="22"/>
  <c r="AG59" i="22"/>
  <c r="R37" i="22"/>
  <c r="X24" i="22"/>
  <c r="AG24" i="22" s="1"/>
  <c r="H11" i="9"/>
  <c r="X11" i="22"/>
  <c r="D63" i="10"/>
  <c r="L44" i="9"/>
  <c r="M47" i="5"/>
  <c r="BK172" i="9"/>
  <c r="BK176" i="9" s="1"/>
  <c r="BJ172" i="9"/>
  <c r="D32" i="14" s="1"/>
  <c r="F42" i="12"/>
  <c r="D37" i="14"/>
  <c r="I37" i="14" s="1"/>
  <c r="L183" i="9"/>
  <c r="AX172" i="9"/>
  <c r="M172" i="9"/>
  <c r="BA81" i="22"/>
  <c r="L19" i="21"/>
  <c r="L20" i="21" s="1"/>
  <c r="C120" i="10"/>
  <c r="D118" i="10" s="1"/>
  <c r="C19" i="13"/>
  <c r="G32" i="9"/>
  <c r="BS32" i="9" s="1"/>
  <c r="AQ81" i="22"/>
  <c r="X46" i="22"/>
  <c r="BE46" i="22" s="1"/>
  <c r="X36" i="22"/>
  <c r="X37" i="22" s="1"/>
  <c r="BC46" i="22"/>
  <c r="H46" i="8"/>
  <c r="BC36" i="22"/>
  <c r="K19" i="5"/>
  <c r="L19" i="5" s="1"/>
  <c r="D105" i="10"/>
  <c r="E96" i="10" s="1"/>
  <c r="D69" i="10"/>
  <c r="G16" i="9"/>
  <c r="D172" i="9"/>
  <c r="E11" i="9"/>
  <c r="E10" i="9" s="1"/>
  <c r="E172" i="9" s="1"/>
  <c r="I11" i="9"/>
  <c r="I10" i="9" s="1"/>
  <c r="I172" i="9" s="1"/>
  <c r="D12" i="14" s="1"/>
  <c r="AO88" i="22" l="1"/>
  <c r="BA73" i="22"/>
  <c r="AB27" i="9"/>
  <c r="AK27" i="9" s="1"/>
  <c r="R176" i="9"/>
  <c r="N176" i="9"/>
  <c r="R184" i="9"/>
  <c r="AQ71" i="22"/>
  <c r="AX86" i="22"/>
  <c r="C12" i="13"/>
  <c r="N81" i="18"/>
  <c r="H45" i="12"/>
  <c r="BS174" i="9"/>
  <c r="BE37" i="22"/>
  <c r="AP38" i="22"/>
  <c r="AP73" i="22" s="1"/>
  <c r="G17" i="5" s="1"/>
  <c r="K17" i="5" s="1"/>
  <c r="L17" i="5" s="1"/>
  <c r="C14" i="9"/>
  <c r="BE36" i="22"/>
  <c r="F32" i="5"/>
  <c r="AB30" i="9"/>
  <c r="AK30" i="9" s="1"/>
  <c r="AO30" i="9" s="1"/>
  <c r="AW30" i="9" s="1"/>
  <c r="F55" i="20"/>
  <c r="Q33" i="21"/>
  <c r="Q35" i="21" s="1"/>
  <c r="BE99" i="9"/>
  <c r="BD172" i="9"/>
  <c r="K43" i="5"/>
  <c r="AR24" i="22"/>
  <c r="BE24" i="22"/>
  <c r="BE11" i="22"/>
  <c r="AR11" i="22"/>
  <c r="S40" i="9"/>
  <c r="W41" i="9"/>
  <c r="AK41" i="9"/>
  <c r="AB26" i="9"/>
  <c r="AF27" i="9"/>
  <c r="AJ27" i="9" s="1"/>
  <c r="S29" i="9"/>
  <c r="AK16" i="9"/>
  <c r="AO16" i="9" s="1"/>
  <c r="S11" i="9"/>
  <c r="W29" i="9"/>
  <c r="AA29" i="9" s="1"/>
  <c r="AA30" i="9"/>
  <c r="E12" i="14"/>
  <c r="I12" i="14" s="1"/>
  <c r="F11" i="12"/>
  <c r="AK14" i="9"/>
  <c r="AF14" i="9"/>
  <c r="AB11" i="9"/>
  <c r="AA27" i="9"/>
  <c r="W26" i="9"/>
  <c r="E14" i="14"/>
  <c r="AK26" i="9"/>
  <c r="AO27" i="9"/>
  <c r="AW27" i="9" s="1"/>
  <c r="H49" i="12"/>
  <c r="BS183" i="9"/>
  <c r="D36" i="27"/>
  <c r="E42" i="10"/>
  <c r="BK184" i="9"/>
  <c r="BA172" i="9"/>
  <c r="K47" i="5"/>
  <c r="BC94" i="22"/>
  <c r="BA94" i="22"/>
  <c r="AQ25" i="22"/>
  <c r="P19" i="21"/>
  <c r="P20" i="21" s="1"/>
  <c r="R38" i="22"/>
  <c r="AC38" i="22" s="1"/>
  <c r="AC37" i="22"/>
  <c r="R71" i="22"/>
  <c r="AC71" i="22" s="1"/>
  <c r="AC70" i="22"/>
  <c r="AG70" i="22"/>
  <c r="BC47" i="22"/>
  <c r="AG46" i="22"/>
  <c r="X47" i="22"/>
  <c r="AG47" i="22" s="1"/>
  <c r="AG36" i="22"/>
  <c r="BC38" i="22"/>
  <c r="BC24" i="22"/>
  <c r="AG11" i="22"/>
  <c r="X25" i="22"/>
  <c r="AG37" i="22" s="1"/>
  <c r="BC25" i="22"/>
  <c r="L14" i="9"/>
  <c r="F36" i="12"/>
  <c r="E173" i="10"/>
  <c r="G183" i="9"/>
  <c r="I32" i="14"/>
  <c r="D18" i="14"/>
  <c r="G525" i="4"/>
  <c r="G123" i="5" s="1"/>
  <c r="G121" i="5" s="1"/>
  <c r="C15" i="13"/>
  <c r="F40" i="12"/>
  <c r="C523" i="4"/>
  <c r="C86" i="4"/>
  <c r="C85" i="4" s="1"/>
  <c r="C99" i="4" s="1"/>
  <c r="G88" i="4"/>
  <c r="H119" i="9"/>
  <c r="L16" i="9"/>
  <c r="C40" i="9"/>
  <c r="J11" i="9"/>
  <c r="J10" i="9" s="1"/>
  <c r="J172" i="9" s="1"/>
  <c r="D14" i="14" s="1"/>
  <c r="F13" i="5" l="1"/>
  <c r="F152" i="5" s="1"/>
  <c r="F156" i="5" s="1"/>
  <c r="AF30" i="9"/>
  <c r="AJ30" i="9" s="1"/>
  <c r="AB29" i="9"/>
  <c r="AB10" i="9" s="1"/>
  <c r="AB172" i="9" s="1"/>
  <c r="BA184" i="9"/>
  <c r="R187" i="9" s="1"/>
  <c r="BA176" i="9"/>
  <c r="BE172" i="9"/>
  <c r="BS99" i="9"/>
  <c r="D38" i="27" s="1"/>
  <c r="AW16" i="9"/>
  <c r="BS16" i="9" s="1"/>
  <c r="C14" i="10" s="1"/>
  <c r="BE47" i="22"/>
  <c r="C11" i="9"/>
  <c r="G14" i="9"/>
  <c r="D22" i="14"/>
  <c r="I22" i="14" s="1"/>
  <c r="F23" i="12"/>
  <c r="G16" i="12" s="1"/>
  <c r="H15" i="12" s="1"/>
  <c r="AQ38" i="22"/>
  <c r="BE25" i="22"/>
  <c r="BA80" i="22"/>
  <c r="AK29" i="9"/>
  <c r="AF26" i="9"/>
  <c r="AJ26" i="9" s="1"/>
  <c r="S10" i="9"/>
  <c r="S172" i="9" s="1"/>
  <c r="AF29" i="9"/>
  <c r="AJ29" i="9" s="1"/>
  <c r="AK40" i="9"/>
  <c r="AO41" i="9"/>
  <c r="AW41" i="9" s="1"/>
  <c r="BS41" i="9" s="1"/>
  <c r="AA16" i="9"/>
  <c r="W11" i="9"/>
  <c r="AA11" i="9" s="1"/>
  <c r="W40" i="9"/>
  <c r="AA40" i="9" s="1"/>
  <c r="AA41" i="9"/>
  <c r="F13" i="12"/>
  <c r="AO29" i="9"/>
  <c r="AW29" i="9" s="1"/>
  <c r="AJ14" i="9"/>
  <c r="AF11" i="9"/>
  <c r="AO26" i="9"/>
  <c r="AW26" i="9" s="1"/>
  <c r="AA26" i="9"/>
  <c r="AO14" i="9"/>
  <c r="AW14" i="9" s="1"/>
  <c r="AK11" i="9"/>
  <c r="O73" i="6"/>
  <c r="C24" i="13"/>
  <c r="C29" i="13" s="1"/>
  <c r="K121" i="5"/>
  <c r="K123" i="5"/>
  <c r="X71" i="22"/>
  <c r="R73" i="22"/>
  <c r="AC73" i="22" s="1"/>
  <c r="X38" i="22"/>
  <c r="AG38" i="22" s="1"/>
  <c r="AG25" i="22"/>
  <c r="I18" i="14"/>
  <c r="G39" i="12"/>
  <c r="H38" i="12" s="1"/>
  <c r="G120" i="5"/>
  <c r="D35" i="14"/>
  <c r="D34" i="14" s="1"/>
  <c r="D33" i="14" s="1"/>
  <c r="D30" i="14"/>
  <c r="C118" i="9"/>
  <c r="C522" i="4"/>
  <c r="C544" i="4" s="1"/>
  <c r="G523" i="4"/>
  <c r="L119" i="9"/>
  <c r="H118" i="9"/>
  <c r="H117" i="9" s="1"/>
  <c r="G86" i="4"/>
  <c r="H40" i="9"/>
  <c r="I14" i="14"/>
  <c r="AO11" i="9" l="1"/>
  <c r="AW11" i="9" s="1"/>
  <c r="BE184" i="9"/>
  <c r="BE176" i="9"/>
  <c r="BS14" i="9"/>
  <c r="C12" i="10" s="1"/>
  <c r="D17" i="14"/>
  <c r="D16" i="14" s="1"/>
  <c r="G20" i="12"/>
  <c r="AQ73" i="22"/>
  <c r="X75" i="22" s="1"/>
  <c r="BE38" i="22"/>
  <c r="AG71" i="22"/>
  <c r="X73" i="22"/>
  <c r="L13" i="5" s="1"/>
  <c r="AK10" i="9"/>
  <c r="AK172" i="9" s="1"/>
  <c r="AO40" i="9"/>
  <c r="AW40" i="9" s="1"/>
  <c r="BS40" i="9" s="1"/>
  <c r="C39" i="10"/>
  <c r="D38" i="10" s="1"/>
  <c r="W10" i="9"/>
  <c r="AA10" i="9" s="1"/>
  <c r="AJ11" i="9"/>
  <c r="AF10" i="9"/>
  <c r="AF172" i="9" s="1"/>
  <c r="C117" i="9"/>
  <c r="G117" i="9" s="1"/>
  <c r="BS117" i="9" s="1"/>
  <c r="G118" i="9"/>
  <c r="BS118" i="9" s="1"/>
  <c r="BC27" i="22"/>
  <c r="BC37" i="22"/>
  <c r="G522" i="4"/>
  <c r="G544" i="4" s="1"/>
  <c r="I35" i="14"/>
  <c r="I34" i="14" s="1"/>
  <c r="I33" i="14" s="1"/>
  <c r="K120" i="5"/>
  <c r="L117" i="9"/>
  <c r="L118" i="9"/>
  <c r="C116" i="10"/>
  <c r="D115" i="10" s="1"/>
  <c r="E114" i="10" s="1"/>
  <c r="G85" i="4"/>
  <c r="D29" i="14"/>
  <c r="AO10" i="9" l="1"/>
  <c r="AW10" i="9" s="1"/>
  <c r="AQ80" i="22"/>
  <c r="X77" i="22"/>
  <c r="X78" i="22" s="1"/>
  <c r="W172" i="9"/>
  <c r="AA172" i="9" s="1"/>
  <c r="AA184" i="9" s="1"/>
  <c r="F56" i="20"/>
  <c r="P56" i="20" s="1"/>
  <c r="F54" i="20"/>
  <c r="AO39" i="9"/>
  <c r="AW39" i="9" s="1"/>
  <c r="BS39" i="9" s="1"/>
  <c r="AJ10" i="9"/>
  <c r="AO172" i="9"/>
  <c r="AO176" i="9" s="1"/>
  <c r="M13" i="5"/>
  <c r="D40" i="27"/>
  <c r="AG73" i="22"/>
  <c r="G99" i="4"/>
  <c r="G101" i="4" s="1"/>
  <c r="M120" i="5"/>
  <c r="AW172" i="9" l="1"/>
  <c r="AJ172" i="9"/>
  <c r="AJ184" i="9" s="1"/>
  <c r="AF176" i="9"/>
  <c r="AO38" i="9"/>
  <c r="AW38" i="9" s="1"/>
  <c r="BS38" i="9" s="1"/>
  <c r="G16" i="14"/>
  <c r="AW176" i="9" l="1"/>
  <c r="D12" i="13"/>
  <c r="AW184" i="9"/>
  <c r="AW188" i="9"/>
  <c r="G35" i="12"/>
  <c r="H34" i="12" s="1"/>
  <c r="G31" i="14"/>
  <c r="I31" i="14" l="1"/>
  <c r="I30" i="14" s="1"/>
  <c r="I29" i="14" s="1"/>
  <c r="G30" i="14"/>
  <c r="G29" i="14" s="1"/>
  <c r="G38" i="14" s="1"/>
  <c r="D19" i="13" l="1"/>
  <c r="I19" i="14" l="1"/>
  <c r="I17" i="14" l="1"/>
  <c r="I16" i="14" s="1"/>
  <c r="L12" i="9"/>
  <c r="H26" i="9"/>
  <c r="L27" i="9"/>
  <c r="L26" i="9" s="1"/>
  <c r="H29" i="9"/>
  <c r="L30" i="9"/>
  <c r="L29" i="9" s="1"/>
  <c r="H10" i="9" l="1"/>
  <c r="H172" i="9" s="1"/>
  <c r="D11" i="14" l="1"/>
  <c r="D10" i="14" s="1"/>
  <c r="E29" i="5"/>
  <c r="D32" i="5"/>
  <c r="E32" i="5" l="1"/>
  <c r="C14" i="5"/>
  <c r="C13" i="5" s="1"/>
  <c r="C152" i="5" s="1"/>
  <c r="E13" i="5" l="1"/>
  <c r="AQ87" i="22"/>
  <c r="AQ91" i="22" s="1"/>
  <c r="K17" i="9"/>
  <c r="D13" i="5" l="1"/>
  <c r="L17" i="9"/>
  <c r="K11" i="9"/>
  <c r="K10" i="9" s="1"/>
  <c r="K172" i="9" s="1"/>
  <c r="D15" i="14" s="1"/>
  <c r="D152" i="5" l="1"/>
  <c r="D156" i="5" s="1"/>
  <c r="D13" i="14"/>
  <c r="D9" i="14" s="1"/>
  <c r="D38" i="14" s="1"/>
  <c r="L11" i="9"/>
  <c r="L10" i="9" l="1"/>
  <c r="L172" i="9" l="1"/>
  <c r="L184" i="9" l="1"/>
  <c r="G17" i="9" l="1"/>
  <c r="BS17" i="9" s="1"/>
  <c r="G12" i="9"/>
  <c r="BS12" i="9" s="1"/>
  <c r="BA87" i="22"/>
  <c r="BC87" i="22" s="1"/>
  <c r="G32" i="5"/>
  <c r="K32" i="5" s="1"/>
  <c r="C29" i="9"/>
  <c r="C15" i="10" l="1"/>
  <c r="C10" i="10"/>
  <c r="G11" i="9"/>
  <c r="BS11" i="9" s="1"/>
  <c r="G29" i="5"/>
  <c r="K30" i="5"/>
  <c r="L30" i="5" s="1"/>
  <c r="G30" i="9"/>
  <c r="BS30" i="9" s="1"/>
  <c r="F11" i="9"/>
  <c r="F10" i="9" s="1"/>
  <c r="F172" i="9" s="1"/>
  <c r="F14" i="12" s="1"/>
  <c r="G12" i="12" s="1"/>
  <c r="K33" i="5"/>
  <c r="L33" i="5" s="1"/>
  <c r="K29" i="5" l="1"/>
  <c r="D9" i="10"/>
  <c r="N21" i="5"/>
  <c r="K20" i="5"/>
  <c r="L20" i="5" s="1"/>
  <c r="N13" i="5"/>
  <c r="G29" i="9"/>
  <c r="BS29" i="9" s="1"/>
  <c r="C28" i="10"/>
  <c r="D27" i="10" s="1"/>
  <c r="E15" i="14"/>
  <c r="K15" i="5"/>
  <c r="L15" i="5" s="1"/>
  <c r="G14" i="5"/>
  <c r="G27" i="9"/>
  <c r="BS27" i="9" s="1"/>
  <c r="C26" i="9"/>
  <c r="C10" i="9" s="1"/>
  <c r="C172" i="9" s="1"/>
  <c r="F10" i="12" s="1"/>
  <c r="G9" i="12" s="1"/>
  <c r="H8" i="12" s="1"/>
  <c r="G13" i="5" l="1"/>
  <c r="G152" i="5" s="1"/>
  <c r="E152" i="5"/>
  <c r="AJ187" i="9" s="1"/>
  <c r="AJ188" i="9" s="1"/>
  <c r="K14" i="5"/>
  <c r="E11" i="14"/>
  <c r="C25" i="10"/>
  <c r="G26" i="9"/>
  <c r="BS26" i="9" s="1"/>
  <c r="E13" i="14"/>
  <c r="I15" i="14"/>
  <c r="I13" i="14" s="1"/>
  <c r="E156" i="5" l="1"/>
  <c r="G10" i="9"/>
  <c r="BS10" i="9" s="1"/>
  <c r="BS172" i="9" s="1"/>
  <c r="K13" i="5"/>
  <c r="G156" i="5"/>
  <c r="D24" i="10"/>
  <c r="F43" i="12"/>
  <c r="I11" i="14"/>
  <c r="I10" i="14" s="1"/>
  <c r="I9" i="14" s="1"/>
  <c r="I38" i="14" s="1"/>
  <c r="I56" i="14" s="1"/>
  <c r="E10" i="14"/>
  <c r="E9" i="14" s="1"/>
  <c r="E38" i="14" s="1"/>
  <c r="G172" i="9" l="1"/>
  <c r="G176" i="9" s="1"/>
  <c r="BS176" i="9"/>
  <c r="G43" i="12"/>
  <c r="H43" i="12"/>
  <c r="K152" i="5"/>
  <c r="BC88" i="22"/>
  <c r="BC89" i="22" s="1"/>
  <c r="E8" i="10"/>
  <c r="H51" i="12" l="1"/>
  <c r="H54" i="12"/>
  <c r="D34" i="27"/>
  <c r="D15" i="13"/>
  <c r="D24" i="13" s="1"/>
  <c r="G184" i="9"/>
  <c r="D50" i="27" l="1"/>
  <c r="BS184" i="9"/>
  <c r="C157" i="10" l="1"/>
  <c r="D155" i="10" s="1"/>
  <c r="E154" i="10" s="1"/>
  <c r="C147" i="10"/>
  <c r="C145" i="10"/>
  <c r="C149" i="10"/>
  <c r="C148" i="10"/>
  <c r="C146" i="10"/>
  <c r="C150" i="10"/>
  <c r="C151" i="10"/>
  <c r="C152" i="10"/>
  <c r="C168" i="10" l="1"/>
  <c r="D144" i="10"/>
  <c r="E123" i="10" l="1"/>
  <c r="E168" i="10" s="1"/>
  <c r="E174" i="10" s="1"/>
  <c r="D16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CONTABILIDAD</author>
  </authors>
  <commentList>
    <comment ref="D7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$5675, estan prestados al 25% para salarios.
</t>
        </r>
      </text>
    </comment>
    <comment ref="E7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$64,390 Estan prestados al 25% para pago de salarios, en realidad el saldo es $201.10</t>
        </r>
      </text>
    </comment>
    <comment ref="D99" authorId="0" shapeId="0" xr:uid="{33F03F22-588D-45BF-9D27-042358ABBAA0}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$5675, estan prestados al 25% para salarios.
</t>
        </r>
      </text>
    </comment>
    <comment ref="E99" authorId="0" shapeId="0" xr:uid="{55DD6D05-B927-463A-8A8A-0CEA104D6DF2}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$64,390 Estan prestados al 25% para pago de salarios, en realidad el saldo es $201.10</t>
        </r>
      </text>
    </comment>
    <comment ref="H99" authorId="0" shapeId="0" xr:uid="{69600ABF-F25E-4A53-8472-7CEDA2EEEB7F}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$5675, estan prestados al 25% para salarios.
</t>
        </r>
      </text>
    </comment>
    <comment ref="K99" authorId="0" shapeId="0" xr:uid="{A56A7873-5684-4142-9C1B-D1066C00803C}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$124,720, están prestados al fondo 25%
para salarios.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NAVEGANTE</author>
  </authors>
  <commentList>
    <comment ref="B10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 los proyectos en ejecución</t>
        </r>
      </text>
    </comment>
  </commentList>
</comments>
</file>

<file path=xl/sharedStrings.xml><?xml version="1.0" encoding="utf-8"?>
<sst xmlns="http://schemas.openxmlformats.org/spreadsheetml/2006/main" count="2621" uniqueCount="966">
  <si>
    <t>FODES</t>
  </si>
  <si>
    <t>Fondos Propios</t>
  </si>
  <si>
    <t>Prestamos Externos</t>
  </si>
  <si>
    <t>Prestamos Internos</t>
  </si>
  <si>
    <t>Total</t>
  </si>
  <si>
    <t xml:space="preserve">IMPUESTOS  </t>
  </si>
  <si>
    <t>TASAS Y DERECHOS</t>
  </si>
  <si>
    <t>Aseo Público</t>
  </si>
  <si>
    <t>VENTA DE BIENES Y SERVICIOS</t>
  </si>
  <si>
    <t>INGRESOS FINANCIEROS Y OTROS</t>
  </si>
  <si>
    <t>MULTAS E INTERESES POR MORA</t>
  </si>
  <si>
    <t xml:space="preserve">TRANSFERENCIAS CORRIENTES  </t>
  </si>
  <si>
    <t>TRANSFERENCIAS DE CAPITAL</t>
  </si>
  <si>
    <t>SALDOS DE AÑOS ANTERIORES</t>
  </si>
  <si>
    <t>Concepto</t>
  </si>
  <si>
    <t>Cargo o Puesto</t>
  </si>
  <si>
    <t>Anual</t>
  </si>
  <si>
    <t>Prestaciones</t>
  </si>
  <si>
    <t>Aguinaldo</t>
  </si>
  <si>
    <t>ISSS</t>
  </si>
  <si>
    <t>0101</t>
  </si>
  <si>
    <t>0102</t>
  </si>
  <si>
    <t>UACI</t>
  </si>
  <si>
    <t>Ordenanza</t>
  </si>
  <si>
    <t>0201</t>
  </si>
  <si>
    <t>TOTAL</t>
  </si>
  <si>
    <t>Contrato</t>
  </si>
  <si>
    <t>ADQUISICIONES DE BIENES Y SERVICIOS</t>
  </si>
  <si>
    <t>BIENES DE USO Y CONSUMO</t>
  </si>
  <si>
    <t>PRODUCTOS ALIMENTICIOS P/PERSONAS</t>
  </si>
  <si>
    <t>PRODUCTOS AGROPECUARIOS Y FORESTAL</t>
  </si>
  <si>
    <t>PRODUCTOS TEXTILES Y VESTUARIOS</t>
  </si>
  <si>
    <t>PRODUCTOS 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</si>
  <si>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</si>
  <si>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</si>
  <si>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</si>
  <si>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</si>
  <si>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</si>
  <si>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MINERALES NO METALICOS Y PROD.DERIVADOS</t>
  </si>
  <si>
    <t>MINERALES METALICOS Y PRODUCTOS DERV.</t>
  </si>
  <si>
    <t>MATERIALES DE OFICINA</t>
  </si>
  <si>
    <t>MATERIALES INFORMATICOS</t>
  </si>
  <si>
    <t>LIBROS, TEXTOS, UTILES DE ENSEÑANZA Y PUBLICACIONES</t>
  </si>
  <si>
    <t>MATERIALES DE DEFENSA Y SEGURIDAD PUBLICA</t>
  </si>
  <si>
    <t>HERRAMIENTAS, REPUESTOS Y ACCESORIOS</t>
  </si>
  <si>
    <t>MATERIALES ELECTRICOS</t>
  </si>
  <si>
    <t>ESPECIES MUNICIPALES DIVERSAS</t>
  </si>
  <si>
    <t>BIENES DE USO Y CONSUMO DIVERSO</t>
  </si>
  <si>
    <t>SERVICIOS BASICOS</t>
  </si>
  <si>
    <t>SERVICIOS DE ENERGIA ELECTRICA</t>
  </si>
  <si>
    <t>SERVICIOS DE AGUA</t>
  </si>
  <si>
    <t>SERVICIOS DE TELECOMUNICACIONES</t>
  </si>
  <si>
    <t>SERVICIOS DE CORREOS</t>
  </si>
  <si>
    <t>ALUMBRADO PUBLICO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</si>
  <si>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</si>
  <si>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</si>
  <si>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</si>
  <si>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</si>
  <si>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TRANSPORTES, FLETES Y ALMACENAMIENTOS</t>
  </si>
  <si>
    <t>SERVICIOS DE PUBLICIDAD</t>
  </si>
  <si>
    <t>SERVICIOS DE VIGILANCIA</t>
  </si>
  <si>
    <t>SERVICIOS LIMPIEZA Y FUMIGACIONES</t>
  </si>
  <si>
    <t>SERVICIOS DE LABORATORIO</t>
  </si>
  <si>
    <t>SERVICIOS DE ALIMENTACION</t>
  </si>
  <si>
    <t>SERVICIOS EDUCATIVOS</t>
  </si>
  <si>
    <t>IMPRESIONES, PUBLICACIONES Y REPRODUCCIONES.</t>
  </si>
  <si>
    <t>ATENCIONES OFICIALES</t>
  </si>
  <si>
    <t>ARRENDAMIENTO DE BIENES MUEBLES</t>
  </si>
  <si>
    <t>ARRENDAMIENTO DE BIENES INMUEBLES</t>
  </si>
  <si>
    <t>SERVICIOS GENERALES Y ARRENDAMIENTOS DIVERSOS</t>
  </si>
  <si>
    <t>PASAJES Y VIATICOS</t>
  </si>
  <si>
    <t>PASAJES AL INTERIOR</t>
  </si>
  <si>
    <t>PASAJES AL EXTERIOR</t>
  </si>
  <si>
    <t>VIATICOS POR COMISION INTERNA</t>
  </si>
  <si>
    <t>VIATICOS POR COMISION EXTERNA</t>
  </si>
  <si>
    <t xml:space="preserve">CONSULTORIAS, ESTUDIOS E INVESTIGACIONES  </t>
  </si>
  <si>
    <t>SERVICIOS MEDICOS</t>
  </si>
  <si>
    <t>SERVICIOS JURIDICOS</t>
  </si>
  <si>
    <t>SERVICIOS DE CONTABILIDAD Y AUDITORIA</t>
  </si>
  <si>
    <t>SERVICIOS DE CAPACITACION</t>
  </si>
  <si>
    <t>DESARROLLOS INFORMATICOS</t>
  </si>
  <si>
    <t>ESTUDIOS E INVESTIGACIONES</t>
  </si>
  <si>
    <t>CONSULTORIAS, ESTUDIOS E INVESTIGACIONES DIVERSAS</t>
  </si>
  <si>
    <t>GASTOS FINANCIEROS Y OTROS</t>
  </si>
  <si>
    <t>INTERESES Y COMISIONES DE EMPRESTITOS INTERNOS</t>
  </si>
  <si>
    <t>DE EMPRESAS PUBLICAS NO FINANCIERAS</t>
  </si>
  <si>
    <t>DE EMPRESAS PUBLICAS FINANCIERAS</t>
  </si>
  <si>
    <t>DE EMPRESAS PRIVADA FINANCIERAS</t>
  </si>
  <si>
    <t>SEGUROS, COMISIONES Y GTOS.BANCARIOS</t>
  </si>
  <si>
    <t>PRIMAS Y GASTOS SEGURO PERSONAS</t>
  </si>
  <si>
    <t>PRIMAS Y GASTOS DE SEGUROS DE BIENES</t>
  </si>
  <si>
    <t>COMISION Y GASTOS BANCARIOS</t>
  </si>
  <si>
    <t>OTROS GASTOS NO CLASIFICADOS</t>
  </si>
  <si>
    <t>DIFERENCIAS CAMBIARIAS</t>
  </si>
  <si>
    <t>SENTENCIAS JUDICIALES</t>
  </si>
  <si>
    <t>GASTOS DIVERSOS</t>
  </si>
  <si>
    <t>TRANSFERENCIAS CORRIENTES</t>
  </si>
  <si>
    <t>TRANSFERENCIAS CORRIENTES AL SECTOR PUBLICO</t>
  </si>
  <si>
    <t>ORGANISMOS SIN FINES DE LUCRO</t>
  </si>
  <si>
    <t>TRANSFERENCIAS CORRIENTES AL SECTOR PRIVADO</t>
  </si>
  <si>
    <t>A PERSONAS NATURALES.</t>
  </si>
  <si>
    <t>Adquisición de Bienes y Servicios</t>
  </si>
  <si>
    <t>Por Fuente de Financiamiento</t>
  </si>
  <si>
    <t>CONCEPTO</t>
  </si>
  <si>
    <t>FODES 25% - FF1</t>
  </si>
  <si>
    <t>0201 Servicios Municipales</t>
  </si>
  <si>
    <t>SUB TOTAL</t>
  </si>
  <si>
    <t>A PERSONAS NATURALES</t>
  </si>
  <si>
    <t>EXPRESION PRESUPUESTARIA POR LINEA DE TRABAJO</t>
  </si>
  <si>
    <t>RUBRO, CUENTA, OBJETO ESPECIFICO Y FUENTE DE FINANCIAMIENTO</t>
  </si>
  <si>
    <t>AREA DE GESTION:                         1 CONDUCCION ADMINISTRATIVA</t>
  </si>
  <si>
    <t>UNIDAD PRESUPUESTARIA:         01 ADMINISTRACION MUNICIPAL</t>
  </si>
  <si>
    <t>LINEA DE TRABAJO:                 0101 DIRECCION Y ADMINISTRACION MUNICIPAL</t>
  </si>
  <si>
    <t>EXPRESION PRESUPUESTARIA</t>
  </si>
  <si>
    <t>Fuentes de Financiamiento</t>
  </si>
  <si>
    <t>CODIGO</t>
  </si>
  <si>
    <t>ESPECIFICO</t>
  </si>
  <si>
    <t>Fondo General 25% FF1</t>
  </si>
  <si>
    <t>Fondos Propios   FF2</t>
  </si>
  <si>
    <t>Donaciones</t>
  </si>
  <si>
    <t>REMUNERACIONES</t>
  </si>
  <si>
    <t>REMUNERACIONES PERMANENTES</t>
  </si>
  <si>
    <t>51101</t>
  </si>
  <si>
    <t>SUELDOS</t>
  </si>
  <si>
    <t>SALARIOS POR JORNAL</t>
  </si>
  <si>
    <t>AGUINALDOS</t>
  </si>
  <si>
    <t>SOBRESUELDOS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</si>
  <si>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</si>
  <si>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</si>
  <si>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</si>
  <si>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</si>
  <si>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</si>
  <si>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</si>
  <si>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</si>
  <si>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SUELDOS POR JORNAL</t>
  </si>
  <si>
    <t>51203</t>
  </si>
  <si>
    <t>51207</t>
  </si>
  <si>
    <t>513</t>
  </si>
  <si>
    <t>REMUNERACIONES EXTRAORDINARIAS</t>
  </si>
  <si>
    <t>HORAS EXTRAORDINARIAS</t>
  </si>
  <si>
    <t>BENEFICIOS EXTRAORDINARIOS</t>
  </si>
  <si>
    <t>CONTRIBUCIONES PATRONALES A INST. SEG. SOC. PUB.</t>
  </si>
  <si>
    <t>51401</t>
  </si>
  <si>
    <t>POR REMUNERACIONES PERMANENTES</t>
  </si>
  <si>
    <t>51402</t>
  </si>
  <si>
    <t>POR REMUNERACIONES EVENTUALES</t>
  </si>
  <si>
    <t>CONTRIBUCIONES PATRONALES A INST. SEG. SOC. PRIV.</t>
  </si>
  <si>
    <t>51501</t>
  </si>
  <si>
    <t>51502</t>
  </si>
  <si>
    <t>516</t>
  </si>
  <si>
    <t>GASTOS DE REPRESENTACION</t>
  </si>
  <si>
    <t>POR PRESTACION SERV.EN EL PAIS</t>
  </si>
  <si>
    <t>POR PRESTACION SERV.EN EL EXTERIOR</t>
  </si>
  <si>
    <t>INDEMNIZACIONES</t>
  </si>
  <si>
    <t>AL PERSONAL DE SERVICIOS PERMANENTES</t>
  </si>
  <si>
    <t>AL PERSONAL DE SERVICIOS EVENTUALES</t>
  </si>
  <si>
    <t>COMISIONES POR SERVICIOS PERSONALES</t>
  </si>
  <si>
    <t>COMISIONES POR RECUPERACION DE CARTERAS</t>
  </si>
  <si>
    <t>REMUNERACIONES DIVERSAS</t>
  </si>
  <si>
    <t>HONORARIOS</t>
  </si>
  <si>
    <t>61</t>
  </si>
  <si>
    <t>INVERSIONES EN ACTIVOS FIJOS</t>
  </si>
  <si>
    <t>611</t>
  </si>
  <si>
    <t>BIENES MUEBLES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</si>
  <si>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</si>
  <si>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</si>
  <si>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</si>
  <si>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</si>
  <si>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</si>
  <si>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</si>
  <si>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</si>
  <si>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EQUIPOS INFORMATICOS</t>
  </si>
  <si>
    <t>61105</t>
  </si>
  <si>
    <t>VEHICULOS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</si>
  <si>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</si>
  <si>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</si>
  <si>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</si>
  <si>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</si>
  <si>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</si>
  <si>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</si>
  <si>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CUENTAS POR PAGAR DE AÑOS ANTERIORES GASTOS CORRIENTES</t>
  </si>
  <si>
    <t>ASIGNACIONES POR APLICAR</t>
  </si>
  <si>
    <t>ASIGNACIONES POR APLICAR GASTOS CORRIENTES</t>
  </si>
  <si>
    <t>TOTALES</t>
  </si>
  <si>
    <t>0202 Servicios Municipales</t>
  </si>
  <si>
    <t>CONSOLIDADO DE PROYECTOS DE INVERSION SOCIAL</t>
  </si>
  <si>
    <t>Codigo Presup</t>
  </si>
  <si>
    <t>Codigo del Proyecto</t>
  </si>
  <si>
    <t>CONCEPTO DE EGRESOS</t>
  </si>
  <si>
    <t>FUENTES DE FINANCIAMIENTO</t>
  </si>
  <si>
    <t>Fondo General</t>
  </si>
  <si>
    <t>BIENES INMUEBLES</t>
  </si>
  <si>
    <t>ESTUDIOS DE PRE-INVERSION</t>
  </si>
  <si>
    <t>PROYECTOS DE CONSTRUCCIONES</t>
  </si>
  <si>
    <t>PROYECTOS DE AMPLIACIONES</t>
  </si>
  <si>
    <t>PROGRAMAS DE INVERSION SOCIAL</t>
  </si>
  <si>
    <t>PROYECTOS Y PROGRAMAS DE INVERSION DIVERSAS</t>
  </si>
  <si>
    <t>INFRAESTRUCTURAS</t>
  </si>
  <si>
    <t>VIALES</t>
  </si>
  <si>
    <t>DE SALUD Y SANEAMIENTO AMBIENTAL</t>
  </si>
  <si>
    <t>DE EDUCACION Y RECREACION</t>
  </si>
  <si>
    <t>DE VIVIENDA Y OFICINA</t>
  </si>
  <si>
    <t>ELECTRICAS Y COMUNICACIONES</t>
  </si>
  <si>
    <t>DE PRODUCCION DE BIENES Y SERVICIOS</t>
  </si>
  <si>
    <t>SUPERVICIOS DE INFRAESTRUCTURA</t>
  </si>
  <si>
    <t>OBRAS DE INFRAESTRUCTURA DIVERSAS</t>
  </si>
  <si>
    <t>CONSOLIDADO DE PROYECTOS DE INVERSION ECONOMICA</t>
  </si>
  <si>
    <t>CODIGOS</t>
  </si>
  <si>
    <t>PRESUP.</t>
  </si>
  <si>
    <t>De empresas pùblicas no financiera</t>
  </si>
  <si>
    <t>De empresas pùblicas financiera</t>
  </si>
  <si>
    <t>PRIMAS Y GASTOS POR SEGUROS Y COMISIONES BANCARIAS</t>
  </si>
  <si>
    <t>Comisiones y Gastos Bancarios</t>
  </si>
  <si>
    <t>AMORTIZACION DEL ENDEUDAMIENTO PUBLICO</t>
  </si>
  <si>
    <t>AMORTIZACION DE EMPRESTITOS INTERNOS</t>
  </si>
  <si>
    <t>FF2: FONDOS PROPIOS</t>
  </si>
  <si>
    <t>FF5: DONACIONES</t>
  </si>
  <si>
    <t>FODES 25%</t>
  </si>
  <si>
    <t>DES.SOC</t>
  </si>
  <si>
    <t>DES.ECON.</t>
  </si>
  <si>
    <t>DEUDA PUB.</t>
  </si>
  <si>
    <t>(AG 3)</t>
  </si>
  <si>
    <t>(AG 4)</t>
  </si>
  <si>
    <t>(AG  5)</t>
  </si>
  <si>
    <t>0301</t>
  </si>
  <si>
    <t>0302</t>
  </si>
  <si>
    <t>0401</t>
  </si>
  <si>
    <t>0501</t>
  </si>
  <si>
    <t>Proy.Dsarr.Social</t>
  </si>
  <si>
    <t>DE EMPRESAS PRIVADAS FINANCIERAS</t>
  </si>
  <si>
    <t>ASOCIACIONES MUNICIPALES</t>
  </si>
  <si>
    <t>612</t>
  </si>
  <si>
    <t>61201</t>
  </si>
  <si>
    <t>TERRENOS</t>
  </si>
  <si>
    <t>61202</t>
  </si>
  <si>
    <t>EDIFICIOS E INSTALACIONES</t>
  </si>
  <si>
    <t>61299</t>
  </si>
  <si>
    <t>INMUEBLES DIVERSOS</t>
  </si>
  <si>
    <t>DETALLE DE EGRESOS</t>
  </si>
  <si>
    <t>Especifico</t>
  </si>
  <si>
    <t>DETALLE</t>
  </si>
  <si>
    <t>SUB-TOTAL</t>
  </si>
  <si>
    <t>DE MUNICIPALIDES</t>
  </si>
  <si>
    <t>BECAS</t>
  </si>
  <si>
    <t>0202</t>
  </si>
  <si>
    <t>616</t>
  </si>
  <si>
    <t>61602</t>
  </si>
  <si>
    <t>Salud y Medio ambiente (Disposicion Final de Desechos Solidos)</t>
  </si>
  <si>
    <t>DE MUNICIPALIDADES</t>
  </si>
  <si>
    <t>PRESUPUESTO MUNICIPAL POR AREAS DE GESTION</t>
  </si>
  <si>
    <t>CUADRO RESUMEN</t>
  </si>
  <si>
    <t>PRESUPUESTO DE INGRESOS</t>
  </si>
  <si>
    <t>CLASIFICACIONES POR RUBRO DE INGRESOS</t>
  </si>
  <si>
    <t>ENDEUDAMIENTO PUBLICO</t>
  </si>
  <si>
    <t>PRESUPUESTO DE EGRESOS</t>
  </si>
  <si>
    <t>CLASIFICACIONES POR RUBRO DE EGRESOS</t>
  </si>
  <si>
    <t>PRESUPUESTO DE EGRESOS POR ESTRUCTURA PRESUPUESTARIA</t>
  </si>
  <si>
    <t>AREA</t>
  </si>
  <si>
    <t>UNID</t>
  </si>
  <si>
    <t>LINEA</t>
  </si>
  <si>
    <t>GESTION</t>
  </si>
  <si>
    <t>PRES</t>
  </si>
  <si>
    <t>TRAB.</t>
  </si>
  <si>
    <t>1</t>
  </si>
  <si>
    <t>CONDUCCION ADMINISTRATIVA</t>
  </si>
  <si>
    <t>01</t>
  </si>
  <si>
    <t>ADMINISTRACION MUNICIPAL</t>
  </si>
  <si>
    <t>DIRECCION Y ADMINISTRACION SUPERIOR</t>
  </si>
  <si>
    <t>ADMINISTRACION FINANCIERA MUNICIPAL</t>
  </si>
  <si>
    <t>02</t>
  </si>
  <si>
    <t>SERVICIOS MUNICIPALES</t>
  </si>
  <si>
    <t>DESARROLLO SOCIAL</t>
  </si>
  <si>
    <t>03</t>
  </si>
  <si>
    <t>INVERSION E INSFRAESTRUCTURA SOCIAL</t>
  </si>
  <si>
    <t>PROYECTOS DE USO PRIVATIVOS</t>
  </si>
  <si>
    <t>PROYECTOS DE DESARROLLO SOCIAL</t>
  </si>
  <si>
    <t>APOYO AL DESARROLLO ECONOMICO</t>
  </si>
  <si>
    <t>04</t>
  </si>
  <si>
    <t>INVERSION E INSFRAESTRUCTURA ECONOMICA</t>
  </si>
  <si>
    <t>PROYECTO DE DESARROLLO ECONOMICO</t>
  </si>
  <si>
    <t>DEUDA PUBLICA</t>
  </si>
  <si>
    <t>05</t>
  </si>
  <si>
    <t>FINANCIAMIENTO MUNICIPAL</t>
  </si>
  <si>
    <t>AMORTIZACIÓN DEL ENDEUDAMIENTO PUBLICO</t>
  </si>
  <si>
    <t>CUADRO RESUMEN POR FUENTE DE FINANCIAMIENTO</t>
  </si>
  <si>
    <t>N°</t>
  </si>
  <si>
    <t>FUENTE</t>
  </si>
  <si>
    <t>INGRESOS</t>
  </si>
  <si>
    <t>EGRESOS</t>
  </si>
  <si>
    <t>FONDOS PROPIOS</t>
  </si>
  <si>
    <t>PRESTAMOS EXTERNOS</t>
  </si>
  <si>
    <t>PRESTAMOS INTERNOS</t>
  </si>
  <si>
    <t>EGRESOS POR ESTRUCTURA PRESUPUESTARIA Y FUENTE DE FINANCIAMIENTO</t>
  </si>
  <si>
    <t>COD</t>
  </si>
  <si>
    <t>ESTRUCTURA PRESUPUESTARIA</t>
  </si>
  <si>
    <t>FF1</t>
  </si>
  <si>
    <t>FF2</t>
  </si>
  <si>
    <t>FF3</t>
  </si>
  <si>
    <t>FF4</t>
  </si>
  <si>
    <t>FF5</t>
  </si>
  <si>
    <t>DIRECCION Y ADMINISTRACION</t>
  </si>
  <si>
    <t>3</t>
  </si>
  <si>
    <t>PROYECTOS DE USO PRIVATIVO</t>
  </si>
  <si>
    <t>4</t>
  </si>
  <si>
    <t>5</t>
  </si>
  <si>
    <t>TOTAL…</t>
  </si>
  <si>
    <t>DIRECCION Y ADMINISTRACION MUNICIPAL</t>
  </si>
  <si>
    <t>Servicios Internos</t>
  </si>
  <si>
    <t>Servicios Externos</t>
  </si>
  <si>
    <t>AREA DE GESTION 3: DESARROLLO SOCIAL</t>
  </si>
  <si>
    <t>INVERSION PARA EL DESARROLLO SOCIAL</t>
  </si>
  <si>
    <t>Infraestructura Social</t>
  </si>
  <si>
    <t>Programas de Desarrollo Social</t>
  </si>
  <si>
    <t>AREA DE GESTION 4: APOYO AL DESARROLLO ECONOMICO</t>
  </si>
  <si>
    <t>INVERSION PARA EL DESARROLLO ECONOMICO</t>
  </si>
  <si>
    <t>AREA DE GESTION 5: DEUDA PUBLICA</t>
  </si>
  <si>
    <t>PRESUPUESTO INSTITUCIONAL DE  EGRESOS</t>
  </si>
  <si>
    <r>
      <t xml:space="preserve">AREA DE GESTION: </t>
    </r>
    <r>
      <rPr>
        <b/>
        <sz val="10"/>
        <rFont val="Bookman Old Style"/>
        <family val="1"/>
      </rPr>
      <t>3 DESARROLLO SOCIAL</t>
    </r>
  </si>
  <si>
    <r>
      <t>UNIDAD PRESUPUESTARIA:</t>
    </r>
    <r>
      <rPr>
        <b/>
        <sz val="10"/>
        <rFont val="Bookman Old Style"/>
        <family val="1"/>
      </rPr>
      <t xml:space="preserve"> 3 INVERSION PARA EL DESARROLLO SOCIAL</t>
    </r>
  </si>
  <si>
    <r>
      <t xml:space="preserve">LINEA DE TRABAJO: </t>
    </r>
    <r>
      <rPr>
        <b/>
        <sz val="10"/>
        <rFont val="Bookman Old Style"/>
        <family val="1"/>
      </rPr>
      <t>03 INVERSION E INFRAESTRUCTURA SOCIAL</t>
    </r>
  </si>
  <si>
    <r>
      <t xml:space="preserve">AREA DE GESTION: </t>
    </r>
    <r>
      <rPr>
        <b/>
        <sz val="10"/>
        <rFont val="Bookman Old Style"/>
        <family val="1"/>
      </rPr>
      <t>4 DESARROLLO ECONOMICO</t>
    </r>
  </si>
  <si>
    <r>
      <t>UNIDAD PRESUPUESTARIA:</t>
    </r>
    <r>
      <rPr>
        <b/>
        <sz val="10"/>
        <rFont val="Bookman Old Style"/>
        <family val="1"/>
      </rPr>
      <t xml:space="preserve"> 4 INVERSION PARA EL DESARROLLO ECONOMICO</t>
    </r>
  </si>
  <si>
    <r>
      <t xml:space="preserve">LINEA DE TRABAJO: </t>
    </r>
    <r>
      <rPr>
        <b/>
        <sz val="10"/>
        <rFont val="Bookman Old Style"/>
        <family val="1"/>
      </rPr>
      <t>04 INVERSION E INFRAESTRUCTURA ECONOMICA</t>
    </r>
  </si>
  <si>
    <t>AREA DE GESTION: 5 DEUDA PUBLICA</t>
  </si>
  <si>
    <t>UNIDAD PRESUPUESTARIA: 05 FINANCIAMIENTO MUNICIPAL</t>
  </si>
  <si>
    <t>Rubro</t>
  </si>
  <si>
    <t>IMPUESTOS</t>
  </si>
  <si>
    <t>IMPUESTO MUNICIPALES</t>
  </si>
  <si>
    <t>TASAS</t>
  </si>
  <si>
    <t>DERECHOS</t>
  </si>
  <si>
    <t>OTROS INGRESOS NO CALIFICADOS</t>
  </si>
  <si>
    <t>TRANSFERENCIAS CORRIENTES DEL SECTOR PÚBLICO</t>
  </si>
  <si>
    <t>TRANSFERENCIAS DE CAPITAL DEL SECTOR PÚBLICO</t>
  </si>
  <si>
    <t>ENDEUDAMIENTO PÚBLICO</t>
  </si>
  <si>
    <t>CONTRATACION DE EMPRÉSTITOS INTERNOS</t>
  </si>
  <si>
    <t>SALDOS INICIALES DE CAJA Y BANCO</t>
  </si>
  <si>
    <t>CUENTAS POR COBRAR DE AÑOS ANTERIORES</t>
  </si>
  <si>
    <t>TOTAL GENERAL</t>
  </si>
  <si>
    <t>Sistema de Remuneración</t>
  </si>
  <si>
    <t>Línea de Trabajo</t>
  </si>
  <si>
    <t>Honorarios</t>
  </si>
  <si>
    <t>Aportes por Contribuciones Patronales</t>
  </si>
  <si>
    <t>Aporte Patronal INSAFORP</t>
  </si>
  <si>
    <t>Dietas</t>
  </si>
  <si>
    <t>Beneficio Adicional</t>
  </si>
  <si>
    <t>Seg. Soc. Priv.</t>
  </si>
  <si>
    <t>Seguridad Social Pública (SSP)</t>
  </si>
  <si>
    <t>AFP´s</t>
  </si>
  <si>
    <t>INPEP</t>
  </si>
  <si>
    <t>IPSFA</t>
  </si>
  <si>
    <t>Total SSP</t>
  </si>
  <si>
    <t>Auditor Interno</t>
  </si>
  <si>
    <t>Sub-Total Línea de Trabajo 0202</t>
  </si>
  <si>
    <t>Tesorero</t>
  </si>
  <si>
    <t>Contador</t>
  </si>
  <si>
    <t>Aux. Cont.</t>
  </si>
  <si>
    <t>Jefe Presupuesto</t>
  </si>
  <si>
    <t>Aux. Presp.</t>
  </si>
  <si>
    <t>Enc. Ctas. Ctes.</t>
  </si>
  <si>
    <t>Cuentas Corrientes</t>
  </si>
  <si>
    <t>Enc. Catastro</t>
  </si>
  <si>
    <t>Catastro</t>
  </si>
  <si>
    <t>Jefe UACI</t>
  </si>
  <si>
    <t>Sub-Total Línea de Trabajo 0102</t>
  </si>
  <si>
    <t>Enc. Reg. Est. Fam.</t>
  </si>
  <si>
    <t>Sub-Total Línea de Trabajo 0201</t>
  </si>
  <si>
    <t>Enc. Servicios Generales</t>
  </si>
  <si>
    <t>Recolector</t>
  </si>
  <si>
    <t>Jefe CAM</t>
  </si>
  <si>
    <t xml:space="preserve"> Gran Total Líneas de Trabajo</t>
  </si>
  <si>
    <t>NOMBRE</t>
  </si>
  <si>
    <t>CARGO</t>
  </si>
  <si>
    <t>Sub-Total Línea de Trabajo 0101</t>
  </si>
  <si>
    <t>No.</t>
  </si>
  <si>
    <t>Depto.</t>
  </si>
  <si>
    <t>N° de Plazas</t>
  </si>
  <si>
    <t>Linea de Trabajo</t>
  </si>
  <si>
    <t>Centro de Respon.</t>
  </si>
  <si>
    <t>SALARIO</t>
  </si>
  <si>
    <t>Aportes Por Contribuciones Patronales</t>
  </si>
  <si>
    <t>Mensual</t>
  </si>
  <si>
    <t>AFP's</t>
  </si>
  <si>
    <t>Alcalde Municipal</t>
  </si>
  <si>
    <t>Sindico</t>
  </si>
  <si>
    <t>Sub-total Centro de Responsabilidad 0101</t>
  </si>
  <si>
    <t>Enc. De Ctas. Ctes. Y Colecturìa.</t>
  </si>
  <si>
    <t>Sub-total Centro de Responsabilidad 0102</t>
  </si>
  <si>
    <t>Jefe del Registro Est. Familiar</t>
  </si>
  <si>
    <t>REF</t>
  </si>
  <si>
    <t>Sub-total Centro de Responsabilidad 0201</t>
  </si>
  <si>
    <t>CMAC</t>
  </si>
  <si>
    <t xml:space="preserve">Agentes </t>
  </si>
  <si>
    <t>Barrendero</t>
  </si>
  <si>
    <t>Motorista</t>
  </si>
  <si>
    <t>Fontaneros y Valvuleros</t>
  </si>
  <si>
    <t>TOTAL LINEAS</t>
  </si>
  <si>
    <t>FISDL</t>
  </si>
  <si>
    <t>ARRENDAMIENTOS DE BIENES</t>
  </si>
  <si>
    <t>Clinica Municipal</t>
  </si>
  <si>
    <t>PFGL/FISDL</t>
  </si>
  <si>
    <t>Encargado de Comunicaciones</t>
  </si>
  <si>
    <t>De Empresas Públicas Financieras</t>
  </si>
  <si>
    <t>PLANILLA DE DIETAS</t>
  </si>
  <si>
    <t>INSTITUCION: ALCALDIA MUNICIPAL DE VILLA EL CARMEN, DEPARTAMENTO DE CUSCATLAN</t>
  </si>
  <si>
    <r>
      <t xml:space="preserve">INSTITUCION: </t>
    </r>
    <r>
      <rPr>
        <b/>
        <sz val="10"/>
        <rFont val="Bookman Old Style"/>
        <family val="1"/>
      </rPr>
      <t>ALCALDIA MUNICIPAL DE VILLA EL CARMEN, DEPARTAMENTO DE CUSCATLAN</t>
    </r>
  </si>
  <si>
    <r>
      <t xml:space="preserve">INSTITUCION:  </t>
    </r>
    <r>
      <rPr>
        <b/>
        <sz val="10"/>
        <rFont val="Bookman Old Style"/>
        <family val="1"/>
      </rPr>
      <t>ALCALDIA MUNICIPAL DE VILLA EL CARMEN, DEPARTAMENTO DE CUSCATLAN</t>
    </r>
  </si>
  <si>
    <t>INSTITUCION: ALCALDIA MUNICIPAL DE VILLA EL CARMEN, DPTO. DE CUSCATLAN.</t>
  </si>
  <si>
    <t>Sub-total Centro de Responsabilidad 0202</t>
  </si>
  <si>
    <t>0402</t>
  </si>
  <si>
    <t>INGRESOS POR PRESTACION DE SERV. PUBLICOS</t>
  </si>
  <si>
    <t>Infraestructura para el Desarrollo Económico</t>
  </si>
  <si>
    <t>Dirección y Administración Superior</t>
  </si>
  <si>
    <t>Administración Financiera y tributaria</t>
  </si>
  <si>
    <t>En Dólares de los Estados Unidos de América</t>
  </si>
  <si>
    <t xml:space="preserve">AREA DE GESTIÓN </t>
  </si>
  <si>
    <t>CONDUCIÓN ADMINISTRATIVA   (AG 1)</t>
  </si>
  <si>
    <t>0503</t>
  </si>
  <si>
    <t>Amortización de la Deuda Pública</t>
  </si>
  <si>
    <t>Comisiones y Gtos. Bancarios</t>
  </si>
  <si>
    <t>.</t>
  </si>
  <si>
    <t>FF1:</t>
  </si>
  <si>
    <t>DONACIONES</t>
  </si>
  <si>
    <t>FF4: PRESTAMO INTERNO</t>
  </si>
  <si>
    <t>0201                                    Servicios Internos</t>
  </si>
  <si>
    <t>0202                                    Servicios Externos</t>
  </si>
  <si>
    <t>En dólares de Estados Unidos de America</t>
  </si>
  <si>
    <t>FONDOS PFGL</t>
  </si>
  <si>
    <t>COMISIONES Y GASTOS BANCARIOS</t>
  </si>
  <si>
    <t>ADMINISTRACION FINANCIERA Y TRIBUTARIA</t>
  </si>
  <si>
    <t>SERVICIOS INTERNOS</t>
  </si>
  <si>
    <t>SERVICIOS EXTERNOS</t>
  </si>
  <si>
    <t>0102                                      Admón. Financiera Municipal</t>
  </si>
  <si>
    <t>0101                                                                        Dirección y Admón. Municipal</t>
  </si>
  <si>
    <t>De Empresas Públicas Financiera</t>
  </si>
  <si>
    <t>TOTAL INVERSIÓN</t>
  </si>
  <si>
    <t>Alba Maritza Juárez de Torres</t>
  </si>
  <si>
    <t>MENSUAL</t>
  </si>
  <si>
    <t>ANUAL</t>
  </si>
  <si>
    <t>IMPUESTOS, TASAS Y DERECHOS</t>
  </si>
  <si>
    <t>2008..xls]Consolidado'!Z144</t>
  </si>
  <si>
    <t>TRANSF. CTES. AL SECTOR PUBLICO (COMURES, CDA, INSAFORP)</t>
  </si>
  <si>
    <t>TRANSF. CTES. AL SECTOR PUBLICO (INSAFORP)</t>
  </si>
  <si>
    <t>Proyectos y Programas de Inversión Diversos</t>
  </si>
  <si>
    <t>Obras de Infraestructura Diversas</t>
  </si>
  <si>
    <t>CONSULTORÍAS, ESTUDIOS E INVESTIGACIONES DIVERSAS</t>
  </si>
  <si>
    <t>TRANSF. CTES. AL SECTOR PUBLICO</t>
  </si>
  <si>
    <t>Total Anual +
Beneficio Adicional.</t>
  </si>
  <si>
    <t>CONSOLIDADO DEL ENDEUDAMIENTO PÚBLICO</t>
  </si>
  <si>
    <t>Proyectos de desarrollo social</t>
  </si>
  <si>
    <t>Proyectos de Desarrollo  Económico</t>
  </si>
  <si>
    <t>Proyectos de desarrollo económico</t>
  </si>
  <si>
    <t>LINEA DE TRABAJO: 05 AMORTIZACIÓN DEL ENDEUDAMIENTO PÚBLICO</t>
  </si>
  <si>
    <t>DE INSTITUCIONES DESCENTRALIZADAS NO EMPRESARIALES</t>
  </si>
  <si>
    <t>0102 Administración Financiera Municipal</t>
  </si>
  <si>
    <t>DE COMERCIO</t>
  </si>
  <si>
    <t>INDUSTRIA</t>
  </si>
  <si>
    <t>DE SERVICIOS</t>
  </si>
  <si>
    <t>MAQUINAS TRAGANIQUEL</t>
  </si>
  <si>
    <t xml:space="preserve">TRANSPORTE </t>
  </si>
  <si>
    <t>VIALIDAD</t>
  </si>
  <si>
    <t>IMPUESTOS MUNICIPALES DIVERSOS</t>
  </si>
  <si>
    <t>POR SERVICIOS DE CERTIFICACIÓN O VISADO</t>
  </si>
  <si>
    <t>POR EXPEDICIÓN DE DOCUMENTOS DE IDENTIFICACIÓN</t>
  </si>
  <si>
    <t>ALUMBRADO PÚBLICO</t>
  </si>
  <si>
    <t>ASEO PÚBLICO</t>
  </si>
  <si>
    <t>CASETAS TELEFÓNICAS</t>
  </si>
  <si>
    <t>CEMENTERIOS MUNICIPALES</t>
  </si>
  <si>
    <t>FIESTAS</t>
  </si>
  <si>
    <t>MERCADOS</t>
  </si>
  <si>
    <t>PAVIMENTACIÓN</t>
  </si>
  <si>
    <t>POSTES TORRES Y ANTENAS</t>
  </si>
  <si>
    <t>RASTRO Y TIANGUE</t>
  </si>
  <si>
    <t>TASAS DIVERSAS</t>
  </si>
  <si>
    <t>PERMISOS Y LICENCIAS MUNICIPALES</t>
  </si>
  <si>
    <t>COTEJO DE FIERROS</t>
  </si>
  <si>
    <t>SERVICIOS BÁSICOS</t>
  </si>
  <si>
    <t>SERVICIOS DIVERSOS</t>
  </si>
  <si>
    <t>RENTABILIDAD DE DEPÓSITOS A PLAZO</t>
  </si>
  <si>
    <t>MULTAS POR MORA DE IMPUESTOS</t>
  </si>
  <si>
    <t>INTERESES POR MORA DE IMPUESTOS</t>
  </si>
  <si>
    <t>MULTA POR DECLARACIÓN EXTEMPORÁNEA</t>
  </si>
  <si>
    <t>MULTAS POR  REGISTRO CIVIL</t>
  </si>
  <si>
    <t xml:space="preserve">OTRAS MULTAS MUNICIPALES </t>
  </si>
  <si>
    <t>ARRENDAMIENTOS DE BIENES INMUEBLES</t>
  </si>
  <si>
    <t>RENTABILIDAD DE CUENTAS BANCARIAS</t>
  </si>
  <si>
    <t xml:space="preserve">TRANSFERENCIAS CORRIENTES DEL SECTOR PÚBLICO  </t>
  </si>
  <si>
    <t>TRANSFERENCIA CORRIENTE DEL SECTOR PRIVADO</t>
  </si>
  <si>
    <t>DE PERSONAS NATURALES</t>
  </si>
  <si>
    <t>VENTA DE ACTIVO FIJO</t>
  </si>
  <si>
    <t>VENTA DE BIENES INMUEBLES</t>
  </si>
  <si>
    <t>VENTA DE TERRENOS</t>
  </si>
  <si>
    <t xml:space="preserve">TRANSFERENCIAS DE CAPITAL DEL SECTOR PÚBLICO </t>
  </si>
  <si>
    <t>TOTAL RUBRO</t>
  </si>
  <si>
    <t>COD. PRESUP.</t>
  </si>
  <si>
    <t>FONDO GENERAL</t>
  </si>
  <si>
    <t>SUB- TOTAL</t>
  </si>
  <si>
    <t>Código Presup</t>
  </si>
  <si>
    <t>Código del Proyecto</t>
  </si>
  <si>
    <t>Presupuesto Municipal, Por Areas de Gestión</t>
  </si>
  <si>
    <t>COMPOSICION</t>
  </si>
  <si>
    <t>LINEA DE TRAB.</t>
  </si>
  <si>
    <t>UNID. PRES.</t>
  </si>
  <si>
    <t>Despacho</t>
  </si>
  <si>
    <t>Sindicatura</t>
  </si>
  <si>
    <t>Auditoria</t>
  </si>
  <si>
    <t>Secretaria</t>
  </si>
  <si>
    <t>Comunicaciones</t>
  </si>
  <si>
    <t>Tesoreria</t>
  </si>
  <si>
    <t>Contabilidad</t>
  </si>
  <si>
    <t>Agua Potable</t>
  </si>
  <si>
    <t>APORTES POR CONTRIBUCIONES PATRONALES</t>
  </si>
  <si>
    <t>Cod.</t>
  </si>
  <si>
    <t>Fondos Propios - FF2</t>
  </si>
  <si>
    <t>Concepto de Egresos</t>
  </si>
  <si>
    <t>Fuentes de Financiamientos</t>
  </si>
  <si>
    <t>Total Inversión</t>
  </si>
  <si>
    <t>Totales</t>
  </si>
  <si>
    <t>SALDO INICIAL EN BANCO</t>
  </si>
  <si>
    <t xml:space="preserve">PRESTACIONES </t>
  </si>
  <si>
    <t>Plaza</t>
  </si>
  <si>
    <t>Unidad</t>
  </si>
  <si>
    <t>DES. ECON.</t>
  </si>
  <si>
    <t>CÓDIGO</t>
  </si>
  <si>
    <t>EN DÓLARES DE LOS ESTADOS UNIDOS DE AMERICA</t>
  </si>
  <si>
    <t>Proy. de uso privativos</t>
  </si>
  <si>
    <t>Proyectos de Desarrollo  Social</t>
  </si>
  <si>
    <t>TRANSF. CTES. AL SECTOR PUB. (COMURES, CDA, INSAFORP)</t>
  </si>
  <si>
    <t>Unidad Ambiental</t>
  </si>
  <si>
    <t>Enc. De Catastro</t>
  </si>
  <si>
    <t>FEBRERO</t>
  </si>
  <si>
    <t>MARZO</t>
  </si>
  <si>
    <t>ABRIL</t>
  </si>
  <si>
    <t>JUNIO</t>
  </si>
  <si>
    <t>JULIO</t>
  </si>
  <si>
    <t>AGOSTO</t>
  </si>
  <si>
    <t>SEPTIEMBRE</t>
  </si>
  <si>
    <t>OCTUBRE</t>
  </si>
  <si>
    <t>DICIEMBRE</t>
  </si>
  <si>
    <t>Enc. de UACI</t>
  </si>
  <si>
    <t>Asesor Jurídico</t>
  </si>
  <si>
    <t>BENEFICIO ADICIONAL</t>
  </si>
  <si>
    <t>Por Plaza</t>
  </si>
  <si>
    <t>Ingresos</t>
  </si>
  <si>
    <t>Beneficios adicionales</t>
  </si>
  <si>
    <t>0502</t>
  </si>
  <si>
    <t>Amort.  Endeud. Púb.</t>
  </si>
  <si>
    <t>Amort.  Intereses</t>
  </si>
  <si>
    <t>CUENTAS POR PAGAR DE AÑOS ANT. GTOS. CTES.</t>
  </si>
  <si>
    <t>AMORTIZACIÓN DE INTERESES</t>
  </si>
  <si>
    <t>51102</t>
  </si>
  <si>
    <t>MEDICOS HOSPITALARIOS</t>
  </si>
  <si>
    <t>INSAFORP</t>
  </si>
  <si>
    <t>AFP</t>
  </si>
  <si>
    <t>No. MESES</t>
  </si>
  <si>
    <t>PRODUCTOS  DE CUERO Y CAUCHO</t>
  </si>
  <si>
    <t>Proy. Des. Econ.</t>
  </si>
  <si>
    <t>DES. SOC.</t>
  </si>
  <si>
    <t>Intereses por prestamos.</t>
  </si>
  <si>
    <t>Jefe del CMAC (Ad-honorem)</t>
  </si>
  <si>
    <t>Adm. del Proyecto de Agua Potable</t>
  </si>
  <si>
    <t>Jeje Operador</t>
  </si>
  <si>
    <t>AGUINALDO</t>
  </si>
  <si>
    <t xml:space="preserve">Dietas </t>
  </si>
  <si>
    <t>Gastos de Representación</t>
  </si>
  <si>
    <t>Salarios</t>
  </si>
  <si>
    <t>50% del 25% FODES</t>
  </si>
  <si>
    <t>Horas Extras</t>
  </si>
  <si>
    <t>Indemnizaciones</t>
  </si>
  <si>
    <t>BONIFICA-
CIONES</t>
  </si>
  <si>
    <t>Diferencia Ingresos -Egresos</t>
  </si>
  <si>
    <t>615 99</t>
  </si>
  <si>
    <t>616 99</t>
  </si>
  <si>
    <t>Total Línea de Trabajo</t>
  </si>
  <si>
    <t>SALDO INICIAL EN CAJA</t>
  </si>
  <si>
    <t>1er. Reg. Propietario</t>
  </si>
  <si>
    <t>Oscar Armando Díaz Mejía</t>
  </si>
  <si>
    <t>2do.  Reg. Propietario</t>
  </si>
  <si>
    <t>José Tomas Sánchez García</t>
  </si>
  <si>
    <t>3er.   Reg. Suplente</t>
  </si>
  <si>
    <t>4to  Reg. Propietario</t>
  </si>
  <si>
    <t>5to. Reg. Propietario</t>
  </si>
  <si>
    <t>6to. Reg. Propietario</t>
  </si>
  <si>
    <t>1er.   Reg. Suplente</t>
  </si>
  <si>
    <t>4o  Reg. Suplente</t>
  </si>
  <si>
    <t>Operador</t>
  </si>
  <si>
    <t>Auxiliar de Tesoreria</t>
  </si>
  <si>
    <t>Bonif.</t>
  </si>
  <si>
    <t>TRANSF. CTES. AL SECTOR PUB. (COMURES, CDA, ASOMUC)</t>
  </si>
  <si>
    <t>Préstamos Internos</t>
  </si>
  <si>
    <t>3er.   Reg. Propietario</t>
  </si>
  <si>
    <t>AREA DE GESTION 1: CONDUCCIÓN ADMINISTRATIVA</t>
  </si>
  <si>
    <t>Cuentas por Pagar de Años Anteriores Gastos de Capital</t>
  </si>
  <si>
    <t>Productos Químicos</t>
  </si>
  <si>
    <t>A Personas Naturales</t>
  </si>
  <si>
    <t>CUENTAS POR PAGAR DE AÑOS ANTERIORES GASTOS DE CAPITAL</t>
  </si>
  <si>
    <t>TRANSF. CTES. AL SECTOR PUBLICO (COMURES, CDA, ASOMUC)</t>
  </si>
  <si>
    <t>Todos aquellos proyectos tangibles e intangibles ejecutados por la Alcaldía, utilizando diferentes fuentes de financiamiento orientados a fortalecer el capital humano a fin de mejorar la calidad de vida de los habitantes del municipio con el propósito de que se incorporen activamente a la economía local, ademas todas las acciones que conllevan a la prevencion de la violencia, y fomento de la equidad de genero.</t>
  </si>
  <si>
    <t>Todos aquellos proyectos tangibles ejecutados por la Alcaldía  utilizando diferentes fuentes de financiamiento orientados a fortalecer  el apoyo a la producción de bienes y servicios y el desarrollo de la infraestructura para mejorar el desempeño y distribución de la producción del municipio.</t>
  </si>
  <si>
    <t>Todas aquellas erogaciones destinadas a amortizar  el endeudamiento financiero municipal así como los gastos inherentes a la misma en concepto de intereses, comisiones, etc, por el uso del ahorro nacional.</t>
  </si>
  <si>
    <t>INVERSION 75%</t>
  </si>
  <si>
    <t>INVERSION 2%</t>
  </si>
  <si>
    <t xml:space="preserve"> Encargado de Presupuesto</t>
  </si>
  <si>
    <t>Presupuesto</t>
  </si>
  <si>
    <t>Servicios varios</t>
  </si>
  <si>
    <t>U. de la Mujer</t>
  </si>
  <si>
    <t>2% FODES</t>
  </si>
  <si>
    <t>(AG 4) 2%</t>
  </si>
  <si>
    <t>(AG 3 ) 2%</t>
  </si>
  <si>
    <t>FONDOS FISDL</t>
  </si>
  <si>
    <t>Fondo General
75% FODES</t>
  </si>
  <si>
    <t>Fondo General
2% FODES</t>
  </si>
  <si>
    <t>Cuentas por Pagar de Años Anteriores</t>
  </si>
  <si>
    <t>FODES 75%</t>
  </si>
  <si>
    <t>FODES 2%</t>
  </si>
  <si>
    <t>Fondo General 75%</t>
  </si>
  <si>
    <t>FONDOS EMERGENCIA GOES</t>
  </si>
  <si>
    <t>Cementerios</t>
  </si>
  <si>
    <t>3501</t>
  </si>
  <si>
    <t>3502</t>
  </si>
  <si>
    <t>Asistencia a los Hogares</t>
  </si>
  <si>
    <t xml:space="preserve">AG 3 </t>
  </si>
  <si>
    <t>F. Emergencia 3501</t>
  </si>
  <si>
    <t>F. Emergencia 3502</t>
  </si>
  <si>
    <t>0303</t>
  </si>
  <si>
    <t>35</t>
  </si>
  <si>
    <t>3504</t>
  </si>
  <si>
    <t>PANDEMIA COVID -19</t>
  </si>
  <si>
    <t>Atención a la Salud.</t>
  </si>
  <si>
    <t>Todas aquellas acciones, proyectos o programas, ejecutados con el fin de contener la propagacion del COVID-19, y mitigar el impacto del mismo, en los horgares y la economia local.</t>
  </si>
  <si>
    <t>Asistencia a los Hogares.</t>
  </si>
  <si>
    <t>Recuperación  Económica</t>
  </si>
  <si>
    <t>Rehabilitacion de Caminos</t>
  </si>
  <si>
    <t>3603</t>
  </si>
  <si>
    <t>Rehabilitacion de Infraestructura</t>
  </si>
  <si>
    <t xml:space="preserve">ENERO </t>
  </si>
  <si>
    <t xml:space="preserve">MAYO </t>
  </si>
  <si>
    <t xml:space="preserve">NOVIEMBRE </t>
  </si>
  <si>
    <t>CAPITAL</t>
  </si>
  <si>
    <t>INTERES</t>
  </si>
  <si>
    <t>MES</t>
  </si>
  <si>
    <t>Recuperación Económica</t>
  </si>
  <si>
    <t>F. Emergencia 3504</t>
  </si>
  <si>
    <t>F. Emergencia 3601</t>
  </si>
  <si>
    <t>F. Emergencia 3603</t>
  </si>
  <si>
    <t>FONDOS DE EMERGENICIA T. AMANDA</t>
  </si>
  <si>
    <t>AG 3  0302</t>
  </si>
  <si>
    <t>ATENCIÓN A LA SALUD</t>
  </si>
  <si>
    <t>ASISTENCIA  A LOS HOGARES</t>
  </si>
  <si>
    <t>RECUPERACIÓN ECONOMICA</t>
  </si>
  <si>
    <t>Atención a la Salud</t>
  </si>
  <si>
    <t>PANDEMIA DEL COVID- 19</t>
  </si>
  <si>
    <t>5% Preinversión FODES 2019.</t>
  </si>
  <si>
    <t>Asistente de Despacho Municipal</t>
  </si>
  <si>
    <t>Oficial de Acceso a la Información Pública</t>
  </si>
  <si>
    <t>Encargado de Recursos Humanos</t>
  </si>
  <si>
    <t>RRHH</t>
  </si>
  <si>
    <t>UAIP</t>
  </si>
  <si>
    <t>Proyección Social</t>
  </si>
  <si>
    <t>Enc. de U. de la Mujer</t>
  </si>
  <si>
    <t>Enc. de U. de la Niñez y Adolesc.</t>
  </si>
  <si>
    <t>Niñez y Adolesc.</t>
  </si>
  <si>
    <t>Total Centro de Responsabilidad 0101</t>
  </si>
  <si>
    <t>Auxiliar de Contabilidad</t>
  </si>
  <si>
    <t>Total Centro de Responsabilidad 0102</t>
  </si>
  <si>
    <t>Enc. De La Oficina Municipal de Apoyo a las Personas con Discapacidad.</t>
  </si>
  <si>
    <t>Encargado de Activo Fijo</t>
  </si>
  <si>
    <t>Motorista Municipal</t>
  </si>
  <si>
    <t>OMADIS.</t>
  </si>
  <si>
    <t>Casa de la Cultura</t>
  </si>
  <si>
    <t>Activo Fijo</t>
  </si>
  <si>
    <t>Total Centro de Responsabilidad 0201</t>
  </si>
  <si>
    <t>Encargado Unidad Ambiental</t>
  </si>
  <si>
    <t>Jefe de Serv. Mpales y Generales</t>
  </si>
  <si>
    <t>Colaborador de Serv. Gen. Municipales</t>
  </si>
  <si>
    <t>Serv. Generales</t>
  </si>
  <si>
    <t>Total Linea 01:</t>
  </si>
  <si>
    <t>Total Linea 02:</t>
  </si>
  <si>
    <t>Total Centro de Responsabilidad 0202</t>
  </si>
  <si>
    <t>2do.   Reg. Suplente</t>
  </si>
  <si>
    <t>Víctor Manuel Ramírez Martínez</t>
  </si>
  <si>
    <t>Delmy Jeanette González Deras</t>
  </si>
  <si>
    <t>Claudia del Carmen González González</t>
  </si>
  <si>
    <t>Margarita Reyna Pérez Jirón</t>
  </si>
  <si>
    <t>Maritza del Carmen Lovos Crespín</t>
  </si>
  <si>
    <t>Israel Antonio Pérez López</t>
  </si>
  <si>
    <t>Sarbelio Valentin Callejas Monge</t>
  </si>
  <si>
    <t>VALOR POR SESION ORDINARIA /MES</t>
  </si>
  <si>
    <t>SESIONES AL MES</t>
  </si>
  <si>
    <t>INGRESOS DIVERSOS</t>
  </si>
  <si>
    <t xml:space="preserve">Todos aquellos proyectos tangibles ejecutados por la Alcaldía  utilizando diferentes fuentes de financiamiento orientados a fortalecer  el apoyo a la producción de bienes y servicios y el desarrollo de la infraestructura para mejorar el desempeño y distribución de la producción del municipio. </t>
  </si>
  <si>
    <t>Institución: Alcaldia Municipal de El Carmen, Departamento de Cuscatlan</t>
  </si>
  <si>
    <t>ISNA</t>
  </si>
  <si>
    <t>OBLIGACIONES Y TRANSF. GENERALES DEL ESTADO</t>
  </si>
  <si>
    <t>LIBRE DISPONIBILIDAD</t>
  </si>
  <si>
    <t>LIBRE DISPONIBILIDAD DL8</t>
  </si>
  <si>
    <t>LIBRE DISPONIBILIDAD 1.5%</t>
  </si>
  <si>
    <t>Contratación de Médico Comunitario y Compra de Insumos Para Prevención de Contagio de COVID-19 Para Villa El Carmen, CuscatlÁn/ Fondos Emergencias GOES.</t>
  </si>
  <si>
    <t>FODES LIBRE DISPONIBILIDAD</t>
  </si>
  <si>
    <t>Productos Farmacéuticos y Medicinales</t>
  </si>
  <si>
    <t>Año 2022</t>
  </si>
  <si>
    <t>FF1: FONDO GENERAL</t>
  </si>
  <si>
    <t>FODES LIBRE DISPONIB. DL.8</t>
  </si>
  <si>
    <t>FODES LIBRE DISPONIB. 1.5%</t>
  </si>
  <si>
    <t>FODES LIBRE DISPONIBILIDA 1.5%</t>
  </si>
  <si>
    <t>FODES LIBRE DISPONIBILIDA DL.8 - FF1</t>
  </si>
  <si>
    <t>FODES LIBRE DISPONIBILIDA 1.5% - FF1</t>
  </si>
  <si>
    <t>DIFERENCIAS</t>
  </si>
  <si>
    <t>Servicios de Energía Eléctrica</t>
  </si>
  <si>
    <t>Alumbrado Público</t>
  </si>
  <si>
    <t>ALCALDIA MUNICIPALDE EL CARMEN, DEPTO. DE CUSCATLAN.</t>
  </si>
  <si>
    <t>Teléfonos: 2372-4419 Y 2379-5910.</t>
  </si>
  <si>
    <t>tesoreriaelcarmenc@gmail.com</t>
  </si>
  <si>
    <t>No. DE CUENTA</t>
  </si>
  <si>
    <t>NOMBRE DE LA CUENTA</t>
  </si>
  <si>
    <t>ACTUAL</t>
  </si>
  <si>
    <t>ISR</t>
  </si>
  <si>
    <t>1% IVA RET.</t>
  </si>
  <si>
    <t>CORRIENTE</t>
  </si>
  <si>
    <t>BANCO DE FOMENTO AGROPECUARIO (BFA)</t>
  </si>
  <si>
    <t>100-170-700218-2</t>
  </si>
  <si>
    <t>ALCALDIA MUNICIPAL DE VILLA EL CARMEN, CUSCATLAN/FONDOS PROPIOS.</t>
  </si>
  <si>
    <t>100-170-700219-0</t>
  </si>
  <si>
    <t>ALCALDIA MUNICIPAL DE VILLA EL CARMEN, CUSCATLAN/25% FODES.</t>
  </si>
  <si>
    <t>100-170-700220-4</t>
  </si>
  <si>
    <t>ALCALDIA MUNICIPAL DE VILLA EL CARMEN, CUSCATLAN/75% FODES.</t>
  </si>
  <si>
    <t>100-170-700555-6</t>
  </si>
  <si>
    <t>ALCALDIA MUNICIPAL DE VILLA EL CARMEN, CUSCATLAN/FONDOS AJENOS EN CUSTODIA.</t>
  </si>
  <si>
    <t>100-170-700633-1</t>
  </si>
  <si>
    <t>ALCALDIA MUNICIPAL DE VILLA EL CARMEN, CUSCATLAN/5% FIESTAS PATRONALES FONDOS PROPIOS</t>
  </si>
  <si>
    <t>100-170-700874-1</t>
  </si>
  <si>
    <t>ALCALDIA MUNICIPAL DE VILLA  EL CARMEN, CUSCATLAN/5% PREINVERSION FODES 2019/FODES.</t>
  </si>
  <si>
    <t>100-170-700956-0</t>
  </si>
  <si>
    <t>EL CARMEN/12I-UNE/PAPSES-IP 2019/AT EEP PES IP-2019.</t>
  </si>
  <si>
    <t>100-170-701006-1</t>
  </si>
  <si>
    <t>ALCALDIA MUNICIPAL DE VILLA EL CARMEN, CUSCATLAN/2% FODES.</t>
  </si>
  <si>
    <t>100-170-701013-4</t>
  </si>
  <si>
    <t>ALCALDIA MUNICIPAL DE VILLA EL CARMEN, CUSCATLAN/ NIÑEZ, ADOLESCENCIA Y JUVENTUD 2020/FODES.</t>
  </si>
  <si>
    <t>100-170-701141-6</t>
  </si>
  <si>
    <t>ALCALDIA MUNICIPAL DE EL CARMEN, CUSCATLAN/ FONDO DE EMERGENCIA, RECUPERACIÓN Y RECONSTRUCCIÓN ECONÓMICA DEL PAÍS, POR LOS EFECTOS DE LA PANDEMIA A CAUSA DEL COVID-19/GOES.</t>
  </si>
  <si>
    <t>100-170-701188-2</t>
  </si>
  <si>
    <t>ALCALDIA MUNICIPAL DE EL CARMEN, CUSCATLAN/ CONVENIO PARA LA ATENCION DE NIÑAS Y NIÑOS ISNA/ALCALDIA.</t>
  </si>
  <si>
    <t>100-170-701193-9</t>
  </si>
  <si>
    <t>ALCALDIA MUNICIPAL DE EL CARMEN, CUSCATLAN/ FODES LIBRE DISPONIBILIDAD DL.No.8.</t>
  </si>
  <si>
    <t>100-170-701195-5</t>
  </si>
  <si>
    <t>ALCALDIA MUNICIPAL DE EL CARMEN, CUSCATLAN/ FODES FUNCIONAMIENTO LIBRE DISPONIBILIDAD DL. N° 8.</t>
  </si>
  <si>
    <t>100-170-701236-6</t>
  </si>
  <si>
    <t>ALCALDIA MUNICIPAL DE EL CARMEN, CUSCATLAN/ CONTRATACION DE MEDICO COMUNITARIO Y COMPRA DE INSUMOS PARA PREVENCION DE CONTAGIO DE COVID-19 PARA VILLA EL CARMEN, CUSCATLAN/ FONDOS EMERGENCIAS GOES.</t>
  </si>
  <si>
    <t>100-170-701282-0</t>
  </si>
  <si>
    <t>ALCALDIA MUNICIPAL DE EL CARMEN, CUSCATLAN/ CONSTRUCCION DE TUMULOS SOBRE CALLE PRINCIPAL DE EL CARMEN, CUSCATLAN/ FODES LIBRE DISPONIBILIDAD</t>
  </si>
  <si>
    <t>DE AHORRO</t>
  </si>
  <si>
    <t>BANCO HIPOTECARIO</t>
  </si>
  <si>
    <t>00460014217</t>
  </si>
  <si>
    <t>ALCALDIA MUNICIPAL DE EL CARMEN, CUSCATLAN/ COSTRUCCION DE POLIDEPORTIVO FASE 4, MUNICIPIO DE VILLA EL CARMEN, DEPARTAMENTO DE CUSCATLAN./ FONDOS PRESTAMO REF. AA1079491.</t>
  </si>
  <si>
    <t>00460014225</t>
  </si>
  <si>
    <t>ALCALDIA MUNICIPAL DE EL CARMEN, CUSCATLAN/ INSTALACION DE ALUMBRADO PUBLICO EN DIFERENTES SECTORES DEL MUNICIPIO, VILLA EL CARMEN, CUSCATLAN./ FONDOS PRESTAMO REF. AA1079491.</t>
  </si>
  <si>
    <t>01290275799</t>
  </si>
  <si>
    <t>ALCALDIA MUNICIPAL DE VILLA EL CARMEN, CUSCATLAN/CREDITO REF. No. AA1079491/ FONDOS PRESTAMOS.</t>
  </si>
  <si>
    <t>TOTALES…</t>
  </si>
  <si>
    <t>Lic. Carmen Magdaleno Alvarado Hernández</t>
  </si>
  <si>
    <t>Tesorero Municipal Ad-honorem</t>
  </si>
  <si>
    <t>Mantenimientos y Reparaciones de Bienes Muebles</t>
  </si>
  <si>
    <t>Productos Alimenticios para Personas</t>
  </si>
  <si>
    <t>Bienes de Uso y Consumo Diversos</t>
  </si>
  <si>
    <t>Productos Textiles y Vestuarios</t>
  </si>
  <si>
    <t>CTAS. POR PAGAR DE AÑOS ANT. GTOS. CTES.</t>
  </si>
  <si>
    <t>CTAS. POR PAGAR DE AÑOS ANT. GTOS. DE CAPITAL.</t>
  </si>
  <si>
    <t>FODES FUNCIONAMIENTO LIBRE DISPONIBILIDAD</t>
  </si>
  <si>
    <t>DESARROLLO SOCIAL   (AG 3)</t>
  </si>
  <si>
    <t>Deferencia Ingresos - Egresos</t>
  </si>
  <si>
    <t>AMORT. DEL ENDEUDAMIENTO PUB.</t>
  </si>
  <si>
    <t xml:space="preserve">FONDO GENERAL </t>
  </si>
  <si>
    <t>(FODES/FISDL/F. E,MERG/ISNA)</t>
  </si>
  <si>
    <t>CONDUCCION ADMINISTRATIVA  (AG 1)</t>
  </si>
  <si>
    <t>AREA DE GESTIÓN  (AG 1)</t>
  </si>
  <si>
    <t>FODES 1.5 LIBRE DISPONIBILIDAD</t>
  </si>
  <si>
    <t>FUNCIO-
NAMIENTO</t>
  </si>
  <si>
    <t>ALCALDIA MUNICIPAL DE EL CARMEN, DEPARTAMENTO DE CUSCATLAN</t>
  </si>
  <si>
    <t>ALCALDIA MUNCIPAL DE EL CARMEN, DEPARTAMENTO DE CUSCATLAN</t>
  </si>
  <si>
    <t>Alcaldía Municipal de El Carmen, Departamento de Cuscatlán</t>
  </si>
  <si>
    <t>0101 Dirección y Administración Municipal</t>
  </si>
  <si>
    <t>Salud y Medio ambiente (Disposición Final de Desechos Solidos)</t>
  </si>
  <si>
    <t>Alcaldía Municipal de Villa El Carmen, Departamento de Cuscatlán</t>
  </si>
  <si>
    <t>Institución: Alcaldìa Municipal de El Carmen, Departamento de Cuscatlan</t>
  </si>
  <si>
    <t>Institucion: ALCALDIA MUNICIPAL DE EL CARMEN DEPARTAMENTO DE CUSCATLAN</t>
  </si>
  <si>
    <t>Alcaldia Municipal de EL Carmen, Departamento de Cuscatlan</t>
  </si>
  <si>
    <t>INSTITUCIÓN: ALCALDIA MUNICIPAL DE EL CARMEN, DEPARTAMENTO DE CUSCATLAN</t>
  </si>
  <si>
    <t xml:space="preserve">Todos aquellos proyectos tangibles e intangibles ejecutados por la Alcaldía, utilizando diferentes fuentes de financiamiento orientados a fortalecer el capital humano a fin de mejorar la calidad de vida de los habitantes del municipio con el propósito de que se incorporen activamente a la economía local, ademas todas las acciones que conllevan a la prevencion de la violencia, y fomento de la equidad de gener.
</t>
  </si>
  <si>
    <t>Registro del Estado Familiar, Ordenanzas, Clínica Municipal, Casa de la cultura, Oficina Municipal de Apoyo a las Personas con Discapacidad, Motorista.</t>
  </si>
  <si>
    <t>Concejo, Alcalde, Sindicatura, Asistente de Despacho Municipal, Secretaría Municipal,  Auditoria Interna, Proyección Social, Motorista, UDEL, UGDA, Comunicaciones, Unidad de Acceso a la Información Publica, Proyección Social, Unidad Municipal de la Mujer, Unidad de la Niñez Adolescencia y Juventud.</t>
  </si>
  <si>
    <t>CMAC, Servicios Generales Municipales, Agua Potable, Unidad Municipal Ambiental, Cementerios, Aseo Público.</t>
  </si>
  <si>
    <t>ALCALDIA MUNICIPAL DE EL CARMEN
DEPARTAMENTO DE CUSCATLAN
PLANILLA POR CONTRATO
AÑO: 2023</t>
  </si>
  <si>
    <t>AÑO 2023</t>
  </si>
  <si>
    <t>Proyección de Recursos Humanos para el Año 2023</t>
  </si>
  <si>
    <t>Secretaría Municipal</t>
  </si>
  <si>
    <t>Enc. Consultorio Medico Municipal</t>
  </si>
  <si>
    <t xml:space="preserve">Encargado de Casa de la Cultura </t>
  </si>
  <si>
    <t>Vladimir, Miguel, Juan</t>
  </si>
  <si>
    <t>Duglas</t>
  </si>
  <si>
    <t>Beneficios Adicionales</t>
  </si>
  <si>
    <t>UGDA</t>
  </si>
  <si>
    <t>Omar Josue Pineda Rodríguez</t>
  </si>
  <si>
    <t>José Gilberto Alvarez Pérez</t>
  </si>
  <si>
    <t>Rosario</t>
  </si>
  <si>
    <t>Wilber Rixiery Moz Castellanos</t>
  </si>
  <si>
    <t>René</t>
  </si>
  <si>
    <t>Irene</t>
  </si>
  <si>
    <t>Jonathan, Kevin, Juan</t>
  </si>
  <si>
    <t>José German Ramírez Angel</t>
  </si>
  <si>
    <t>Roberto Carlos Reyes Cañas</t>
  </si>
  <si>
    <t xml:space="preserve">José Alfredo Mena/ Danilo Renato </t>
  </si>
  <si>
    <t>Wil Fredy Martínez Arce</t>
  </si>
  <si>
    <t>Armando Reyes Lainez</t>
  </si>
  <si>
    <t>Juan Santos Vásquez Segura</t>
  </si>
  <si>
    <t>Florentino/ Belloso/ Geovani</t>
  </si>
  <si>
    <t>30% del Salario en Periodo de Vacación</t>
  </si>
  <si>
    <t>Al 100%</t>
  </si>
  <si>
    <t>Rodrigo</t>
  </si>
  <si>
    <t>Carmen Irene Avelino Abarca</t>
  </si>
  <si>
    <t>Maria Ana Lilian Palacios Pérez</t>
  </si>
  <si>
    <t>Rafael Antonio Mejía López</t>
  </si>
  <si>
    <t>Yullianna Yasmin Olmedo de Guillen</t>
  </si>
  <si>
    <t>Ruby Magdalena González Rivas</t>
  </si>
  <si>
    <t>Carmen Magdaleno Alvarado Hernández</t>
  </si>
  <si>
    <t>Guillermo Antonio Ortiz Mejía</t>
  </si>
  <si>
    <t>Jaime Napoleón López Cruz</t>
  </si>
  <si>
    <t>José Orlando Rodríguez Pérez</t>
  </si>
  <si>
    <t>Jorge Luis Palacios</t>
  </si>
  <si>
    <t>Emyr Melendez Arévalo</t>
  </si>
  <si>
    <t>Zoila Cruz de Vides</t>
  </si>
  <si>
    <t>Carolina Albina Morejon Hernández</t>
  </si>
  <si>
    <t>María  Carmen Vásquez Pérez</t>
  </si>
  <si>
    <t>José Pedro  López Cruz</t>
  </si>
  <si>
    <t>Salvador Ovidio Evangelista Hernández.</t>
  </si>
  <si>
    <t>Daniel Santos Palacios</t>
  </si>
  <si>
    <t>Adriana María Hernández Jimenez</t>
  </si>
  <si>
    <t>María Estebana Torres Abarca</t>
  </si>
  <si>
    <t>Incremento</t>
  </si>
  <si>
    <t>FAM</t>
  </si>
  <si>
    <t>Arrendamientos de Bienes Inmuebles</t>
  </si>
  <si>
    <t>Saldos Iniciales en Bancos</t>
  </si>
  <si>
    <t>Fiestas Patronales</t>
  </si>
  <si>
    <t>PROGRAMACIÓN DE INGRESOS AÑO 2023</t>
  </si>
  <si>
    <t>0</t>
  </si>
  <si>
    <t>12</t>
  </si>
  <si>
    <t>11</t>
  </si>
  <si>
    <t>EJERCICIO FISCAL: 2 0 2 3</t>
  </si>
  <si>
    <t>UACI, Tesorería, Presupuesto, Contabilidad, Catastro, Cuentas Corrientes, Colecturía. Activo Fijo, Encargado de Bodega.</t>
  </si>
  <si>
    <t>Año 2023</t>
  </si>
  <si>
    <t>EJERCICIO FINANCIERO FISCAL: 2023</t>
  </si>
  <si>
    <r>
      <t xml:space="preserve">EJERCICIO FINANCIERO FISCAL:  </t>
    </r>
    <r>
      <rPr>
        <b/>
        <sz val="10"/>
        <rFont val="Bookman Old Style"/>
        <family val="1"/>
      </rPr>
      <t xml:space="preserve"> DEL 01 ENERO AL 31 DE DICIEMBRE DE 2023</t>
    </r>
  </si>
  <si>
    <t>FONDO DE APOYO MUNICIPAL</t>
  </si>
  <si>
    <t>Mejoramiento, Mantenimiento y Reparaciones del Proyecto Municipal de Agua Potable, Municipio de El Carmen 2023 FAM.</t>
  </si>
  <si>
    <t>Deporte, Recreación y Aprovechamiento del Tiempo Libre para El Fomento de Cultura de Paz, Municipio de El Carmen 2023 FAM.</t>
  </si>
  <si>
    <t>Fortalecimiento y Promoción de Las Habilidades de la Niñez, Adolescencia y Juventud 2023 FAM.</t>
  </si>
  <si>
    <t>Fortalecimiento  de las Capacidades y Habilidades de Las Mujeres, Municipio de El Carmen 2023 FAM.</t>
  </si>
  <si>
    <t>Apoyo a Personas de Escasos Recursos Economicos, Municipio De El Carmen 2023 FAM.</t>
  </si>
  <si>
    <t>Mantenimiento a camión compactador</t>
  </si>
  <si>
    <t>Llantas y neumáticos</t>
  </si>
  <si>
    <t>Mantenimiento de vehículos</t>
  </si>
  <si>
    <t>Pago de energía eléctrica</t>
  </si>
  <si>
    <t>Servicios de energía eléctrica</t>
  </si>
  <si>
    <t>EJERCICIO FINANCIERO FISCAL: DEL 01 DE ENERO AL 31 DE DICIEMBRE DE 2023</t>
  </si>
  <si>
    <t>EJERCICIO FISCAL 2023</t>
  </si>
  <si>
    <t>ALCALDIA MUNICIPAL DE EL CARMEN, DEPARTAMENTO DE CUSCATLAN,  PRESUPUESTO DE EGRESOS APROBADO PARA EL AÑO 2023</t>
  </si>
  <si>
    <t>Saldos Iniciales DL 8</t>
  </si>
  <si>
    <t>FORMA DE PAGO SALARIOS AÑO 2023</t>
  </si>
  <si>
    <t>INTANGIBLES</t>
  </si>
  <si>
    <t>DERECHOS DE PROPIEDAD INTELECTUAL</t>
  </si>
  <si>
    <t>Declaratoria de Capital</t>
  </si>
  <si>
    <t>Niñez</t>
  </si>
  <si>
    <t>Rep. Sist. De agua</t>
  </si>
  <si>
    <t>Deporte</t>
  </si>
  <si>
    <t>Apoyo a pes. Esc. Rec. Ec.</t>
  </si>
  <si>
    <t>FAM
5107
Programas de Apoyo Social Diversos</t>
  </si>
  <si>
    <t>FAM
5001
Servicios de Energìa Eléctrica</t>
  </si>
  <si>
    <t>FAM
5004
Servicios de Alumbrado Público</t>
  </si>
  <si>
    <t>FAM
5002
Servicios de Agua</t>
  </si>
  <si>
    <t>FAM
5005
Recolección de Desechos</t>
  </si>
  <si>
    <t>TOTAL FAM</t>
  </si>
  <si>
    <t>Sueldos</t>
  </si>
  <si>
    <t>Transportes, Fletes y Almacenamientos</t>
  </si>
  <si>
    <t>Productos de Cuero y Caucho</t>
  </si>
  <si>
    <t>Herramientas, Repuestos y Accesorios</t>
  </si>
  <si>
    <t>Minerales no Metálicos y Productos Derivados</t>
  </si>
  <si>
    <t>A personas naturales</t>
  </si>
  <si>
    <t>Maquinarias y Equipos</t>
  </si>
  <si>
    <t>Bienes de uso y consumo diversos</t>
  </si>
  <si>
    <t>Servicios Generales y Arrendamientos Diversos</t>
  </si>
  <si>
    <t>AREA DE GESTION</t>
  </si>
  <si>
    <t>5001</t>
  </si>
  <si>
    <t>Servicios de Energìa Eléctrica</t>
  </si>
  <si>
    <t>5002</t>
  </si>
  <si>
    <t>Servicios de Agua</t>
  </si>
  <si>
    <t>5004</t>
  </si>
  <si>
    <t>Servicios de Alumbrado Público</t>
  </si>
  <si>
    <t>5005</t>
  </si>
  <si>
    <t>Recolección de Desechos</t>
  </si>
  <si>
    <t>5007</t>
  </si>
  <si>
    <t>Programas de Apoyo Social Diversos</t>
  </si>
  <si>
    <t>PAGO SERVICIO DE LA DEUDA DL 206</t>
  </si>
  <si>
    <t>DIRECCION GENERAL DE TESORERIA</t>
  </si>
  <si>
    <t>Ejercicio Financiero Fiscal: 2023</t>
  </si>
  <si>
    <t>A Organismos sin fines de lucro</t>
  </si>
  <si>
    <t>614</t>
  </si>
  <si>
    <t>61403</t>
  </si>
  <si>
    <t>50</t>
  </si>
  <si>
    <t>SERVICIOS DE ENERGÌA ELÉCTRICA</t>
  </si>
  <si>
    <t>SERVICIOS DE ALUMBRADO PÚBLICO</t>
  </si>
  <si>
    <t>RECOLECCIÓN DE DESECHOS</t>
  </si>
  <si>
    <t>PROGRAMAS DE APOYO SOCIAL DIVERSOS</t>
  </si>
  <si>
    <t>Fecha: 31 DE DICIEMBRE DE 2022.</t>
  </si>
  <si>
    <t>DETALLE DE SALDOS  EN CUENTAS CORRIENTES Y DE AHORRO AL 31 DE DICIEMBRE DE 2022.</t>
  </si>
  <si>
    <t>SALDO
REAL</t>
  </si>
  <si>
    <t>100-170-701303-6</t>
  </si>
  <si>
    <t>ALCALDIA MUNICIPAL DE EL CARMEN, CUSCATLAN/ FODES LIBRE DISPONIBILIDAD/ MH</t>
  </si>
  <si>
    <t>100-170-701305-2</t>
  </si>
  <si>
    <t>ALCALDIA MUNICIPAL DE EL CARMEN, CUSCATLAN/ FORTALECIMIENTO A LAS CAPACIDADES DE LAS MUJERES DE VILLA EL CARMEN 2022/ FODES LIBRE DISPONIBILIDAD.</t>
  </si>
  <si>
    <t>100-170-701306-0</t>
  </si>
  <si>
    <t>ALCALDIA MUNICIPAL DE EL CARMEN, CUSCATLAN/ FORTALECIMIENTO AL DEPORTE EN PREVENCION DE LA VIOLENCIA Y FOMENTO DE LA CULTURA DE PAZ 2022/ FODES LIBRE DISPONIBILIDAD.</t>
  </si>
  <si>
    <t>100-170-701307-9</t>
  </si>
  <si>
    <t>ALCALDIA MUNICIPAL DE EL CARMEN, CUSCATLAN/ PROGRAMA DE LA NIÑEZ, ADOLESCENCIA Y JUVENTUD 2022/ FODES LIBRE DISPONIBILIDAD.</t>
  </si>
  <si>
    <t>100-170-701308-7</t>
  </si>
  <si>
    <t>ALCALDIA MUNICIPAL DE EL CARMEN, CUSCATLAN/ CONSULTORIO MEDICO Y FORTALECIMIENTO A LA SALUD 2022/ FODES LIBRE DISPONIBILIDAD.</t>
  </si>
  <si>
    <t>100-170-701309-5</t>
  </si>
  <si>
    <t>ALCALDIA MUNICIPAL DE EL CARMEN, CUSCATLAN/ APOYO A PERSONAS DE ESCASOS RECURSOS ECONOMICOS 2022/ FODES LIBRE DISPONIBILIDAD.</t>
  </si>
  <si>
    <t>100-170-701310-9</t>
  </si>
  <si>
    <t>ALCALDIA MUNICIPAL DE EL CARMEN, CUSCATLAN/ TRATAMIENTO Y DISPOSICION FINAL DE DESECHOS SOLIDOS 2022/ FODES LIBRE DISPONIBILIDAD.</t>
  </si>
  <si>
    <t>100-170-701327-3</t>
  </si>
  <si>
    <t>ALCALDIA MUNICIPAL DE EL CARMEN, CUSCATLAN/ APOYO A LOS VIVERISTAS DE DIFERENTES SECTORES DEL MUNICIPIO 2022/ FODES LIBRE DISPONIBILIDAD.</t>
  </si>
  <si>
    <t>100-170-701328-1</t>
  </si>
  <si>
    <t>ALCALDIA MUNICIPAL DE EL CARMEN, CUSCATLAN/ REPARACIONES, MEJORAS Y MANTENIMIENTO AL EDIFICIO Y PARQUE MUNICIPAL 2022/ FODES LIBRE DISPONIBILIDAD.</t>
  </si>
  <si>
    <t>100-170-701355-9</t>
  </si>
  <si>
    <t>ALCALDIA MUNICIPAL DE EL CARMEN, CUSCATLAN/ DONACIONES.</t>
  </si>
  <si>
    <t>100-170-701356-7</t>
  </si>
  <si>
    <t>ALCALDIA MUNICIPAL DE EL CARMEN, CUSCATLAN/ CONMEMORACION DE 150 AÑOS DE FUNDACION DEL MUNICIPIO DE EL CARMEN, DEPARTAMENTO DE CUSCATLAN, EN EL MARCO DE LAS FIESTAS PATRONALES 2022. /FODES L. DISP.</t>
  </si>
  <si>
    <t>100-170-701368-0</t>
  </si>
  <si>
    <t>FONDO DE APOYO MUNICIPAL PARA ATENDER PROYECTOS, ACTIVIDADES SOCIALES O DE SERVICIOS/ MINISTERIO DE HACIENDA.</t>
  </si>
  <si>
    <t>100-170-701369-9</t>
  </si>
  <si>
    <t>DECLARATORIA DE CAPITAL DE LA REPUBLICA DE EL SALVADOR POR UN DIA, A LA VILLA EL CARMEN, MUNICIPIO DEL DEPARTAMENTO DE CUSCATLAN.</t>
  </si>
  <si>
    <t>100-170-701383-4</t>
  </si>
  <si>
    <t>APOYO A PERSONAS DE ESCASOS RECURSOS ECONÓMICOS, MUNICIPIO DE EL CARMEN 2022 FAM.</t>
  </si>
  <si>
    <t>100-170-701384-2</t>
  </si>
  <si>
    <t>MEJORAMIENTO, MANTENIMIENTO Y REPARACIONES DEL PROYECTO MUNICIPAL DE AGUA POTABLE, MUNICIPIO DE EL CARMEN 2022 FAM.</t>
  </si>
  <si>
    <t>100-170-701385-0</t>
  </si>
  <si>
    <t>DEPORTE, RECREACIÓN Y APROVECHAMIENTO DEL TIEMPO LIBRE PARA EL FOMENTO DE CULTURA DE PAZ, MUNICIPIO DE EL CARMEN 2022 FAM.</t>
  </si>
  <si>
    <t>100-170-701392-3</t>
  </si>
  <si>
    <t>ALCALDIA MUNICIPAL DE EL CARMEN, CUSCATLAN/ CELEBRACION DE FIESTAS NAVIDEÑAS 2022 FAM.</t>
  </si>
  <si>
    <t>100-170-701393-1</t>
  </si>
  <si>
    <t>ALCALDIA MUNICIPAL DE EL CARMEN, CUSCATLAN/ FORTALECIMIENTO Y PROMOCION DE LAS HABILIDADES DE LA NIÑEZ, ADOLESCENCIA Y JUVENTUD 2022/ FAM.</t>
  </si>
  <si>
    <t>5107</t>
  </si>
  <si>
    <t>51</t>
  </si>
  <si>
    <t>APOYO SOCIAL</t>
  </si>
  <si>
    <t>Fondo de apoyo municipal para atender proyectos actividades sociales o de servicios.</t>
  </si>
  <si>
    <t>En dólares de Estados Unidos de América</t>
  </si>
  <si>
    <t>PAGO DE LA DEUDA PUB. MPAL. DL 204</t>
  </si>
  <si>
    <t>José Alberto Deras, Julio Rivera</t>
  </si>
  <si>
    <t>LIBROS, TEXTOS, UTILES DE ENSEÑ. Y PUB.</t>
  </si>
  <si>
    <t>MANTENIMIENTO Y REP. DE BIENES MUEBLES</t>
  </si>
  <si>
    <t>MANTENIMIENTO Y REP. DE VEHICULOS</t>
  </si>
  <si>
    <t>MANTENIMIENTO Y REP. BIENES INMUEBLES</t>
  </si>
  <si>
    <t>IMPRESIONES, PUBLICACIONES Y REPROD.</t>
  </si>
  <si>
    <t>SERVICIOS GEN. Y ARRENDAMIENTOS DIV.</t>
  </si>
  <si>
    <t>FONDOS EMERG. COVID-19</t>
  </si>
  <si>
    <t>TOTAL
GENERAL</t>
  </si>
  <si>
    <r>
      <t xml:space="preserve">EJERCICIO FINANCIERO FISCAL:  </t>
    </r>
    <r>
      <rPr>
        <b/>
        <sz val="10"/>
        <rFont val="Bookman Old Style"/>
        <family val="1"/>
      </rPr>
      <t>DEL 01 DE ENERO AL 31 DE DICIEMBRE DE 2023</t>
    </r>
  </si>
  <si>
    <t>Aumentar en cuota real Libre disponibilidad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</si>
</sst>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[$€-2]* #,##0.00_-;\-[$€-2]* #,##0.00_-;_-[$€-2]* &quot;-&quot;??_-"/>
    <numFmt numFmtId="168" formatCode="_([$$-409]* #,##0.00_);_([$$-409]* \(#,##0.00\);_([$$-409]* &quot;-&quot;??_);_(@_)"/>
    <numFmt numFmtId="169" formatCode="_-[$$-409]* #,##0.00_ ;_-[$$-409]* \-#,##0.00\ ;_-[$$-409]* &quot;-&quot;??_ ;_-@_ "/>
    <numFmt numFmtId="170" formatCode="_-* #,##0.00\ _P_t_s_-;\-* #,##0.00\ _P_t_s_-;_-* &quot;-&quot;??\ _P_t_s_-;_-@_-"/>
    <numFmt numFmtId="171" formatCode="#,##0.0000"/>
    <numFmt numFmtId="172" formatCode="_-[$$-440A]* #,##0.00_ ;_-[$$-440A]* \-#,##0.00\ ;_-[$$-440A]* &quot;-&quot;??_ ;_-@_ "/>
    <numFmt numFmtId="173" formatCode="_([$$-440A]* #,##0.00_);_([$$-440A]* \(#,##0.00\);_([$$-440A]* &quot;-&quot;??_);_(@_)"/>
    <numFmt numFmtId="174" formatCode="0.0000"/>
    <numFmt numFmtId="175" formatCode="_-[$$-440A]* #,##0.00_-;\-[$$-440A]* #,##0.00_-;_-[$$-440A]* &quot;-&quot;??_-;_-@_-"/>
    <numFmt numFmtId="176" formatCode="0.000"/>
    <numFmt numFmtId="177" formatCode="#,##0.000000000"/>
    <numFmt numFmtId="178" formatCode="_-[$$-440A]* #,##0.000_ ;_-[$$-440A]* \-#,##0.000\ ;_-[$$-440A]* &quot;-&quot;??_ ;_-@_ "/>
    <numFmt numFmtId="179" formatCode="_(&quot;$&quot;* #,##0.0000_);_(&quot;$&quot;* \(#,##0.0000\);_(&quot;$&quot;* &quot;-&quot;????_);_(@_)"/>
    <numFmt numFmtId="180" formatCode="_([$$-440A]* #,##0.00000_);_([$$-440A]* \(#,##0.00000\);_([$$-440A]* &quot;-&quot;??_);_(@_)"/>
  </numFmts>
  <fonts count="7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8"/>
      <name val="Bookman Old Style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sz val="10"/>
      <name val="Century Gothic"/>
      <family val="2"/>
    </font>
    <font>
      <i/>
      <sz val="8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2"/>
      <name val="Calisto MT"/>
      <family val="1"/>
    </font>
    <font>
      <b/>
      <sz val="9"/>
      <name val="Century Gothic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2"/>
      <name val="Arial Narrow"/>
      <family val="2"/>
    </font>
    <font>
      <b/>
      <sz val="9"/>
      <name val="Bookman Old Style"/>
      <family val="1"/>
    </font>
    <font>
      <b/>
      <sz val="10"/>
      <name val="Calisto MT"/>
      <family val="1"/>
    </font>
    <font>
      <sz val="10"/>
      <name val="Calisto MT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b/>
      <sz val="9"/>
      <color theme="0"/>
      <name val="Bookman Old Style"/>
      <family val="1"/>
    </font>
    <font>
      <sz val="7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0"/>
      <name val="Arial"/>
      <family val="2"/>
    </font>
    <font>
      <sz val="7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56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4" borderId="0" applyNumberFormat="0" applyBorder="0" applyAlignment="0" applyProtection="0"/>
    <xf numFmtId="0" fontId="25" fillId="16" borderId="1" applyNumberFormat="0" applyAlignment="0" applyProtection="0"/>
    <xf numFmtId="0" fontId="26" fillId="17" borderId="2" applyNumberFormat="0" applyAlignment="0" applyProtection="0"/>
    <xf numFmtId="0" fontId="27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9" fillId="7" borderId="1" applyNumberFormat="0" applyAlignment="0" applyProtection="0"/>
    <xf numFmtId="167" fontId="4" fillId="0" borderId="0" applyFont="0" applyFill="0" applyBorder="0" applyAlignment="0" applyProtection="0"/>
    <xf numFmtId="0" fontId="30" fillId="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22" borderId="0" applyNumberFormat="0" applyBorder="0" applyAlignment="0" applyProtection="0"/>
    <xf numFmtId="0" fontId="6" fillId="23" borderId="4" applyNumberFormat="0" applyFont="0" applyAlignment="0" applyProtection="0"/>
    <xf numFmtId="0" fontId="32" fillId="16" borderId="5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28" fillId="0" borderId="8" applyNumberFormat="0" applyFill="0" applyAlignment="0" applyProtection="0"/>
    <xf numFmtId="0" fontId="38" fillId="0" borderId="9" applyNumberFormat="0" applyFill="0" applyAlignment="0" applyProtection="0"/>
    <xf numFmtId="0" fontId="3" fillId="0" borderId="0"/>
    <xf numFmtId="165" fontId="3" fillId="0" borderId="0" applyFont="0" applyFill="0" applyBorder="0" applyAlignment="0" applyProtection="0"/>
    <xf numFmtId="0" fontId="4" fillId="0" borderId="0"/>
    <xf numFmtId="0" fontId="4" fillId="23" borderId="4" applyNumberFormat="0" applyFont="0" applyAlignment="0" applyProtection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0" fontId="1" fillId="0" borderId="0"/>
  </cellStyleXfs>
  <cellXfs count="1614">
    <xf numFmtId="0" fontId="0" fillId="0" borderId="0" xfId="0"/>
    <xf numFmtId="44" fontId="0" fillId="0" borderId="0" xfId="0" applyNumberFormat="1"/>
    <xf numFmtId="168" fontId="0" fillId="0" borderId="0" xfId="0" applyNumberFormat="1"/>
    <xf numFmtId="43" fontId="0" fillId="0" borderId="0" xfId="0" applyNumberFormat="1"/>
    <xf numFmtId="168" fontId="5" fillId="0" borderId="0" xfId="0" applyNumberFormat="1" applyFont="1"/>
    <xf numFmtId="4" fontId="5" fillId="0" borderId="0" xfId="31" applyNumberFormat="1" applyFont="1"/>
    <xf numFmtId="4" fontId="6" fillId="0" borderId="22" xfId="31" applyNumberFormat="1" applyFont="1" applyBorder="1"/>
    <xf numFmtId="0" fontId="6" fillId="0" borderId="0" xfId="0" applyFont="1"/>
    <xf numFmtId="4" fontId="6" fillId="0" borderId="26" xfId="31" applyNumberFormat="1" applyFont="1" applyBorder="1"/>
    <xf numFmtId="4" fontId="6" fillId="0" borderId="27" xfId="31" applyNumberFormat="1" applyFont="1" applyBorder="1"/>
    <xf numFmtId="4" fontId="6" fillId="0" borderId="21" xfId="31" applyNumberFormat="1" applyFont="1" applyBorder="1"/>
    <xf numFmtId="4" fontId="0" fillId="0" borderId="0" xfId="0" applyNumberFormat="1"/>
    <xf numFmtId="4" fontId="4" fillId="0" borderId="0" xfId="31" applyNumberFormat="1"/>
    <xf numFmtId="49" fontId="4" fillId="0" borderId="0" xfId="31" applyNumberFormat="1" applyAlignment="1">
      <alignment horizontal="left"/>
    </xf>
    <xf numFmtId="168" fontId="5" fillId="0" borderId="0" xfId="31" applyNumberFormat="1" applyFont="1"/>
    <xf numFmtId="43" fontId="5" fillId="0" borderId="0" xfId="36" applyFont="1"/>
    <xf numFmtId="44" fontId="0" fillId="0" borderId="0" xfId="37" applyFont="1"/>
    <xf numFmtId="43" fontId="0" fillId="0" borderId="0" xfId="33" applyFont="1"/>
    <xf numFmtId="166" fontId="0" fillId="0" borderId="0" xfId="0" applyNumberFormat="1"/>
    <xf numFmtId="49" fontId="5" fillId="0" borderId="4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0" fillId="0" borderId="20" xfId="0" applyBorder="1"/>
    <xf numFmtId="49" fontId="0" fillId="0" borderId="0" xfId="0" applyNumberFormat="1"/>
    <xf numFmtId="0" fontId="19" fillId="0" borderId="47" xfId="0" applyFont="1" applyBorder="1" applyAlignment="1">
      <alignment horizontal="center" vertical="center"/>
    </xf>
    <xf numFmtId="0" fontId="19" fillId="0" borderId="30" xfId="0" applyFont="1" applyBorder="1" applyAlignment="1">
      <alignment horizontal="left" vertical="justify" wrapText="1"/>
    </xf>
    <xf numFmtId="0" fontId="0" fillId="0" borderId="0" xfId="0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39" fillId="0" borderId="0" xfId="0" applyFont="1"/>
    <xf numFmtId="164" fontId="39" fillId="0" borderId="0" xfId="0" applyNumberFormat="1" applyFont="1" applyAlignment="1">
      <alignment horizontal="center"/>
    </xf>
    <xf numFmtId="0" fontId="15" fillId="0" borderId="20" xfId="0" applyFont="1" applyBorder="1"/>
    <xf numFmtId="0" fontId="5" fillId="0" borderId="47" xfId="0" applyFont="1" applyBorder="1" applyAlignment="1">
      <alignment horizontal="center" vertical="center" wrapText="1"/>
    </xf>
    <xf numFmtId="0" fontId="45" fillId="0" borderId="55" xfId="0" applyFont="1" applyBorder="1" applyAlignment="1">
      <alignment horizontal="center" wrapText="1"/>
    </xf>
    <xf numFmtId="0" fontId="6" fillId="0" borderId="10" xfId="0" applyFont="1" applyBorder="1" applyAlignment="1">
      <alignment vertical="center" wrapText="1"/>
    </xf>
    <xf numFmtId="164" fontId="6" fillId="0" borderId="46" xfId="0" applyNumberFormat="1" applyFont="1" applyBorder="1" applyAlignment="1">
      <alignment horizontal="center"/>
    </xf>
    <xf numFmtId="164" fontId="6" fillId="0" borderId="63" xfId="0" applyNumberFormat="1" applyFont="1" applyBorder="1" applyAlignment="1">
      <alignment horizontal="center"/>
    </xf>
    <xf numFmtId="44" fontId="39" fillId="0" borderId="0" xfId="0" applyNumberFormat="1" applyFont="1"/>
    <xf numFmtId="164" fontId="6" fillId="0" borderId="36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4" fontId="5" fillId="0" borderId="36" xfId="0" applyNumberFormat="1" applyFont="1" applyBorder="1" applyAlignment="1">
      <alignment horizontal="center"/>
    </xf>
    <xf numFmtId="0" fontId="6" fillId="0" borderId="12" xfId="0" applyFont="1" applyBorder="1" applyAlignment="1">
      <alignment vertical="center" wrapText="1"/>
    </xf>
    <xf numFmtId="164" fontId="5" fillId="0" borderId="52" xfId="0" applyNumberFormat="1" applyFont="1" applyBorder="1" applyAlignment="1">
      <alignment horizontal="center"/>
    </xf>
    <xf numFmtId="164" fontId="5" fillId="0" borderId="64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164" fontId="5" fillId="0" borderId="47" xfId="0" applyNumberFormat="1" applyFont="1" applyBorder="1" applyAlignment="1">
      <alignment horizontal="center"/>
    </xf>
    <xf numFmtId="0" fontId="5" fillId="0" borderId="0" xfId="0" applyFont="1"/>
    <xf numFmtId="168" fontId="7" fillId="0" borderId="66" xfId="35" applyNumberFormat="1" applyFont="1" applyBorder="1" applyAlignment="1">
      <alignment horizontal="center"/>
    </xf>
    <xf numFmtId="4" fontId="15" fillId="0" borderId="0" xfId="0" applyNumberFormat="1" applyFont="1"/>
    <xf numFmtId="0" fontId="15" fillId="0" borderId="0" xfId="0" applyFont="1"/>
    <xf numFmtId="0" fontId="7" fillId="0" borderId="65" xfId="0" applyFont="1" applyBorder="1"/>
    <xf numFmtId="4" fontId="6" fillId="0" borderId="0" xfId="0" applyNumberFormat="1" applyFont="1"/>
    <xf numFmtId="0" fontId="43" fillId="0" borderId="0" xfId="0" applyFont="1"/>
    <xf numFmtId="0" fontId="5" fillId="0" borderId="34" xfId="0" applyFont="1" applyBorder="1" applyAlignment="1">
      <alignment horizontal="center"/>
    </xf>
    <xf numFmtId="0" fontId="5" fillId="0" borderId="34" xfId="0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49" fontId="45" fillId="0" borderId="41" xfId="0" applyNumberFormat="1" applyFont="1" applyBorder="1" applyAlignment="1">
      <alignment horizontal="center"/>
    </xf>
    <xf numFmtId="49" fontId="45" fillId="0" borderId="33" xfId="0" applyNumberFormat="1" applyFont="1" applyBorder="1" applyAlignment="1">
      <alignment horizontal="center"/>
    </xf>
    <xf numFmtId="49" fontId="45" fillId="0" borderId="72" xfId="0" applyNumberFormat="1" applyFont="1" applyBorder="1" applyAlignment="1">
      <alignment horizontal="center"/>
    </xf>
    <xf numFmtId="49" fontId="45" fillId="0" borderId="44" xfId="0" applyNumberFormat="1" applyFont="1" applyBorder="1" applyAlignment="1">
      <alignment horizontal="center"/>
    </xf>
    <xf numFmtId="49" fontId="45" fillId="0" borderId="35" xfId="0" applyNumberFormat="1" applyFont="1" applyBorder="1" applyAlignment="1">
      <alignment horizontal="center"/>
    </xf>
    <xf numFmtId="49" fontId="45" fillId="0" borderId="31" xfId="0" applyNumberFormat="1" applyFont="1" applyBorder="1" applyAlignment="1">
      <alignment horizontal="center"/>
    </xf>
    <xf numFmtId="49" fontId="0" fillId="0" borderId="33" xfId="0" applyNumberFormat="1" applyBorder="1"/>
    <xf numFmtId="49" fontId="5" fillId="0" borderId="34" xfId="0" applyNumberFormat="1" applyFont="1" applyBorder="1"/>
    <xf numFmtId="49" fontId="0" fillId="0" borderId="34" xfId="0" applyNumberFormat="1" applyBorder="1"/>
    <xf numFmtId="0" fontId="5" fillId="0" borderId="32" xfId="0" applyFont="1" applyBorder="1" applyAlignment="1">
      <alignment horizontal="center"/>
    </xf>
    <xf numFmtId="49" fontId="43" fillId="0" borderId="0" xfId="0" applyNumberFormat="1" applyFont="1"/>
    <xf numFmtId="49" fontId="5" fillId="0" borderId="30" xfId="0" applyNumberFormat="1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49" fontId="0" fillId="0" borderId="34" xfId="0" applyNumberFormat="1" applyBorder="1" applyAlignment="1">
      <alignment horizontal="center"/>
    </xf>
    <xf numFmtId="49" fontId="0" fillId="0" borderId="30" xfId="0" applyNumberFormat="1" applyBorder="1"/>
    <xf numFmtId="0" fontId="11" fillId="0" borderId="0" xfId="0" applyFont="1" applyAlignment="1">
      <alignment horizontal="right"/>
    </xf>
    <xf numFmtId="0" fontId="15" fillId="0" borderId="20" xfId="0" applyFont="1" applyBorder="1" applyAlignment="1">
      <alignment wrapText="1"/>
    </xf>
    <xf numFmtId="0" fontId="47" fillId="0" borderId="0" xfId="0" applyFont="1" applyAlignment="1">
      <alignment horizontal="center"/>
    </xf>
    <xf numFmtId="168" fontId="0" fillId="26" borderId="0" xfId="0" applyNumberFormat="1" applyFill="1"/>
    <xf numFmtId="0" fontId="0" fillId="26" borderId="0" xfId="0" applyFill="1"/>
    <xf numFmtId="44" fontId="0" fillId="26" borderId="0" xfId="0" applyNumberFormat="1" applyFill="1"/>
    <xf numFmtId="44" fontId="43" fillId="0" borderId="0" xfId="37" applyFont="1"/>
    <xf numFmtId="44" fontId="17" fillId="0" borderId="33" xfId="37" applyFont="1" applyBorder="1" applyAlignment="1">
      <alignment horizontal="center"/>
    </xf>
    <xf numFmtId="44" fontId="5" fillId="0" borderId="34" xfId="37" applyFont="1" applyBorder="1" applyAlignment="1">
      <alignment horizontal="center" wrapText="1"/>
    </xf>
    <xf numFmtId="44" fontId="6" fillId="0" borderId="34" xfId="37" applyFont="1" applyBorder="1"/>
    <xf numFmtId="44" fontId="5" fillId="0" borderId="34" xfId="37" applyFont="1" applyBorder="1"/>
    <xf numFmtId="44" fontId="0" fillId="0" borderId="35" xfId="37" applyFont="1" applyBorder="1"/>
    <xf numFmtId="44" fontId="5" fillId="0" borderId="47" xfId="37" applyFont="1" applyBorder="1"/>
    <xf numFmtId="44" fontId="17" fillId="0" borderId="75" xfId="37" applyFont="1" applyBorder="1" applyAlignment="1">
      <alignment horizontal="center"/>
    </xf>
    <xf numFmtId="44" fontId="5" fillId="0" borderId="23" xfId="37" applyFont="1" applyBorder="1"/>
    <xf numFmtId="44" fontId="5" fillId="0" borderId="76" xfId="37" applyFont="1" applyBorder="1"/>
    <xf numFmtId="44" fontId="5" fillId="0" borderId="30" xfId="37" applyFont="1" applyBorder="1" applyAlignment="1">
      <alignment horizontal="center"/>
    </xf>
    <xf numFmtId="44" fontId="4" fillId="0" borderId="34" xfId="37" applyBorder="1"/>
    <xf numFmtId="44" fontId="5" fillId="0" borderId="30" xfId="37" applyFont="1" applyBorder="1"/>
    <xf numFmtId="44" fontId="5" fillId="0" borderId="72" xfId="37" applyFont="1" applyBorder="1" applyAlignment="1">
      <alignment horizontal="center"/>
    </xf>
    <xf numFmtId="44" fontId="5" fillId="0" borderId="33" xfId="37" applyFont="1" applyBorder="1" applyAlignment="1">
      <alignment horizontal="right"/>
    </xf>
    <xf numFmtId="44" fontId="5" fillId="0" borderId="34" xfId="37" applyFont="1" applyBorder="1" applyAlignment="1">
      <alignment horizontal="right"/>
    </xf>
    <xf numFmtId="44" fontId="6" fillId="0" borderId="34" xfId="37" applyFont="1" applyBorder="1" applyAlignment="1">
      <alignment horizontal="right"/>
    </xf>
    <xf numFmtId="44" fontId="6" fillId="0" borderId="35" xfId="37" applyFont="1" applyBorder="1" applyAlignment="1">
      <alignment horizontal="right"/>
    </xf>
    <xf numFmtId="44" fontId="5" fillId="0" borderId="35" xfId="37" applyFont="1" applyBorder="1" applyAlignment="1">
      <alignment horizontal="right"/>
    </xf>
    <xf numFmtId="44" fontId="5" fillId="0" borderId="30" xfId="37" applyFont="1" applyBorder="1" applyAlignment="1">
      <alignment horizontal="right"/>
    </xf>
    <xf numFmtId="44" fontId="6" fillId="0" borderId="22" xfId="37" applyFont="1" applyBorder="1"/>
    <xf numFmtId="44" fontId="6" fillId="0" borderId="21" xfId="37" applyFont="1" applyBorder="1"/>
    <xf numFmtId="44" fontId="5" fillId="0" borderId="22" xfId="37" applyFont="1" applyBorder="1"/>
    <xf numFmtId="44" fontId="5" fillId="0" borderId="21" xfId="37" applyFont="1" applyBorder="1"/>
    <xf numFmtId="44" fontId="0" fillId="0" borderId="22" xfId="37" applyFont="1" applyBorder="1"/>
    <xf numFmtId="44" fontId="0" fillId="0" borderId="21" xfId="37" applyFont="1" applyBorder="1"/>
    <xf numFmtId="44" fontId="14" fillId="0" borderId="22" xfId="37" applyFont="1" applyBorder="1"/>
    <xf numFmtId="44" fontId="14" fillId="0" borderId="21" xfId="37" applyFont="1" applyBorder="1"/>
    <xf numFmtId="44" fontId="0" fillId="0" borderId="29" xfId="37" applyFont="1" applyBorder="1"/>
    <xf numFmtId="44" fontId="0" fillId="0" borderId="77" xfId="37" applyFont="1" applyBorder="1"/>
    <xf numFmtId="44" fontId="5" fillId="0" borderId="32" xfId="37" applyFont="1" applyBorder="1"/>
    <xf numFmtId="164" fontId="6" fillId="0" borderId="0" xfId="0" applyNumberFormat="1" applyFont="1"/>
    <xf numFmtId="168" fontId="15" fillId="0" borderId="23" xfId="35" applyNumberFormat="1" applyFont="1" applyBorder="1"/>
    <xf numFmtId="168" fontId="7" fillId="0" borderId="66" xfId="35" applyNumberFormat="1" applyFont="1" applyBorder="1"/>
    <xf numFmtId="0" fontId="15" fillId="0" borderId="33" xfId="0" applyFont="1" applyBorder="1"/>
    <xf numFmtId="0" fontId="15" fillId="0" borderId="33" xfId="0" applyFont="1" applyBorder="1" applyAlignment="1">
      <alignment horizontal="center"/>
    </xf>
    <xf numFmtId="49" fontId="15" fillId="0" borderId="33" xfId="0" applyNumberFormat="1" applyFont="1" applyBorder="1" applyAlignment="1">
      <alignment horizontal="center"/>
    </xf>
    <xf numFmtId="168" fontId="15" fillId="0" borderId="33" xfId="35" applyNumberFormat="1" applyFont="1" applyBorder="1"/>
    <xf numFmtId="0" fontId="15" fillId="0" borderId="34" xfId="0" applyFont="1" applyBorder="1"/>
    <xf numFmtId="0" fontId="15" fillId="0" borderId="34" xfId="0" applyFont="1" applyBorder="1" applyAlignment="1">
      <alignment horizontal="center"/>
    </xf>
    <xf numFmtId="49" fontId="15" fillId="0" borderId="34" xfId="0" applyNumberFormat="1" applyFont="1" applyBorder="1" applyAlignment="1">
      <alignment horizontal="center"/>
    </xf>
    <xf numFmtId="168" fontId="15" fillId="26" borderId="34" xfId="35" applyNumberFormat="1" applyFont="1" applyFill="1" applyBorder="1" applyAlignment="1">
      <alignment horizontal="center"/>
    </xf>
    <xf numFmtId="168" fontId="15" fillId="0" borderId="34" xfId="35" applyNumberFormat="1" applyFont="1" applyBorder="1"/>
    <xf numFmtId="168" fontId="7" fillId="0" borderId="34" xfId="35" applyNumberFormat="1" applyFont="1" applyBorder="1"/>
    <xf numFmtId="0" fontId="15" fillId="0" borderId="78" xfId="0" applyFont="1" applyBorder="1"/>
    <xf numFmtId="0" fontId="7" fillId="0" borderId="78" xfId="0" applyFont="1" applyBorder="1" applyAlignment="1">
      <alignment horizontal="center"/>
    </xf>
    <xf numFmtId="49" fontId="15" fillId="0" borderId="78" xfId="0" applyNumberFormat="1" applyFont="1" applyBorder="1" applyAlignment="1">
      <alignment horizontal="center"/>
    </xf>
    <xf numFmtId="168" fontId="7" fillId="0" borderId="78" xfId="35" applyNumberFormat="1" applyFont="1" applyBorder="1" applyAlignment="1">
      <alignment horizontal="center"/>
    </xf>
    <xf numFmtId="168" fontId="7" fillId="0" borderId="78" xfId="35" applyNumberFormat="1" applyFont="1" applyBorder="1"/>
    <xf numFmtId="0" fontId="15" fillId="0" borderId="78" xfId="0" applyFont="1" applyBorder="1" applyAlignment="1">
      <alignment horizontal="center"/>
    </xf>
    <xf numFmtId="0" fontId="5" fillId="0" borderId="0" xfId="0" applyFont="1" applyAlignment="1">
      <alignment wrapText="1"/>
    </xf>
    <xf numFmtId="169" fontId="0" fillId="26" borderId="0" xfId="0" applyNumberFormat="1" applyFill="1"/>
    <xf numFmtId="168" fontId="5" fillId="26" borderId="0" xfId="0" applyNumberFormat="1" applyFont="1" applyFill="1"/>
    <xf numFmtId="0" fontId="18" fillId="0" borderId="31" xfId="0" applyFont="1" applyBorder="1" applyAlignment="1">
      <alignment horizontal="center"/>
    </xf>
    <xf numFmtId="0" fontId="47" fillId="0" borderId="0" xfId="0" applyFont="1" applyAlignment="1">
      <alignment horizontal="left"/>
    </xf>
    <xf numFmtId="49" fontId="48" fillId="0" borderId="3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49" fontId="6" fillId="0" borderId="20" xfId="0" applyNumberFormat="1" applyFont="1" applyBorder="1"/>
    <xf numFmtId="49" fontId="6" fillId="0" borderId="34" xfId="0" applyNumberFormat="1" applyFont="1" applyBorder="1"/>
    <xf numFmtId="49" fontId="6" fillId="0" borderId="44" xfId="0" applyNumberFormat="1" applyFont="1" applyBorder="1"/>
    <xf numFmtId="49" fontId="6" fillId="0" borderId="35" xfId="0" applyNumberFormat="1" applyFont="1" applyBorder="1"/>
    <xf numFmtId="0" fontId="53" fillId="0" borderId="0" xfId="0" applyFont="1"/>
    <xf numFmtId="169" fontId="5" fillId="26" borderId="0" xfId="0" applyNumberFormat="1" applyFont="1" applyFill="1"/>
    <xf numFmtId="4" fontId="10" fillId="0" borderId="0" xfId="31" applyNumberFormat="1" applyFont="1"/>
    <xf numFmtId="0" fontId="49" fillId="0" borderId="30" xfId="0" applyFont="1" applyBorder="1" applyAlignment="1">
      <alignment horizontal="center" wrapText="1"/>
    </xf>
    <xf numFmtId="0" fontId="49" fillId="0" borderId="53" xfId="0" applyFont="1" applyBorder="1" applyAlignment="1">
      <alignment horizontal="center" wrapText="1"/>
    </xf>
    <xf numFmtId="0" fontId="10" fillId="0" borderId="20" xfId="0" applyFont="1" applyBorder="1" applyAlignment="1">
      <alignment horizontal="left"/>
    </xf>
    <xf numFmtId="49" fontId="9" fillId="0" borderId="20" xfId="31" applyNumberFormat="1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49" fontId="10" fillId="0" borderId="20" xfId="31" applyNumberFormat="1" applyFont="1" applyBorder="1" applyAlignment="1">
      <alignment horizontal="left"/>
    </xf>
    <xf numFmtId="49" fontId="4" fillId="0" borderId="61" xfId="31" applyNumberFormat="1" applyBorder="1" applyAlignment="1">
      <alignment horizontal="left"/>
    </xf>
    <xf numFmtId="0" fontId="10" fillId="0" borderId="33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4" fontId="9" fillId="0" borderId="34" xfId="31" applyNumberFormat="1" applyFont="1" applyBorder="1"/>
    <xf numFmtId="4" fontId="10" fillId="0" borderId="34" xfId="31" applyNumberFormat="1" applyFont="1" applyBorder="1"/>
    <xf numFmtId="0" fontId="9" fillId="0" borderId="34" xfId="0" applyFont="1" applyBorder="1"/>
    <xf numFmtId="0" fontId="10" fillId="0" borderId="34" xfId="0" applyFont="1" applyBorder="1" applyAlignment="1">
      <alignment vertical="justify" wrapText="1"/>
    </xf>
    <xf numFmtId="0" fontId="10" fillId="0" borderId="34" xfId="0" applyFont="1" applyBorder="1"/>
    <xf numFmtId="0" fontId="8" fillId="0" borderId="34" xfId="0" applyFont="1" applyBorder="1"/>
    <xf numFmtId="4" fontId="5" fillId="0" borderId="30" xfId="31" applyNumberFormat="1" applyFont="1" applyBorder="1" applyAlignment="1">
      <alignment horizontal="center"/>
    </xf>
    <xf numFmtId="0" fontId="4" fillId="0" borderId="0" xfId="0" applyFont="1"/>
    <xf numFmtId="0" fontId="15" fillId="0" borderId="34" xfId="0" applyFont="1" applyBorder="1" applyAlignment="1">
      <alignment vertical="center"/>
    </xf>
    <xf numFmtId="0" fontId="15" fillId="0" borderId="34" xfId="0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168" fontId="15" fillId="0" borderId="34" xfId="35" applyNumberFormat="1" applyFont="1" applyBorder="1" applyAlignment="1">
      <alignment vertical="center"/>
    </xf>
    <xf numFmtId="43" fontId="0" fillId="26" borderId="0" xfId="0" applyNumberFormat="1" applyFill="1"/>
    <xf numFmtId="0" fontId="10" fillId="0" borderId="34" xfId="0" applyFont="1" applyBorder="1" applyAlignment="1">
      <alignment wrapText="1"/>
    </xf>
    <xf numFmtId="44" fontId="4" fillId="0" borderId="0" xfId="37"/>
    <xf numFmtId="44" fontId="52" fillId="0" borderId="0" xfId="37" applyFont="1"/>
    <xf numFmtId="44" fontId="18" fillId="0" borderId="31" xfId="37" applyFont="1" applyBorder="1" applyAlignment="1">
      <alignment horizontal="center"/>
    </xf>
    <xf numFmtId="44" fontId="21" fillId="0" borderId="30" xfId="37" applyFont="1" applyBorder="1" applyAlignment="1">
      <alignment horizontal="center" vertical="center" wrapText="1"/>
    </xf>
    <xf numFmtId="44" fontId="5" fillId="0" borderId="33" xfId="37" applyFont="1" applyBorder="1"/>
    <xf numFmtId="44" fontId="4" fillId="0" borderId="23" xfId="37" applyBorder="1"/>
    <xf numFmtId="44" fontId="6" fillId="0" borderId="23" xfId="37" applyFont="1" applyBorder="1"/>
    <xf numFmtId="49" fontId="52" fillId="0" borderId="0" xfId="31" applyNumberFormat="1" applyFont="1" applyAlignment="1">
      <alignment horizontal="left"/>
    </xf>
    <xf numFmtId="4" fontId="52" fillId="0" borderId="0" xfId="31" applyNumberFormat="1" applyFont="1"/>
    <xf numFmtId="168" fontId="57" fillId="0" borderId="0" xfId="0" applyNumberFormat="1" applyFont="1"/>
    <xf numFmtId="0" fontId="57" fillId="0" borderId="0" xfId="0" applyFont="1"/>
    <xf numFmtId="4" fontId="57" fillId="0" borderId="0" xfId="0" applyNumberFormat="1" applyFont="1"/>
    <xf numFmtId="44" fontId="57" fillId="0" borderId="0" xfId="37" applyFont="1" applyAlignment="1">
      <alignment horizontal="center"/>
    </xf>
    <xf numFmtId="44" fontId="57" fillId="0" borderId="0" xfId="0" applyNumberFormat="1" applyFont="1"/>
    <xf numFmtId="0" fontId="4" fillId="0" borderId="79" xfId="0" applyFont="1" applyBorder="1" applyAlignment="1">
      <alignment vertical="center" wrapText="1"/>
    </xf>
    <xf numFmtId="44" fontId="6" fillId="0" borderId="0" xfId="0" applyNumberFormat="1" applyFont="1"/>
    <xf numFmtId="0" fontId="58" fillId="0" borderId="0" xfId="0" applyFont="1" applyAlignment="1">
      <alignment horizontal="center"/>
    </xf>
    <xf numFmtId="171" fontId="0" fillId="0" borderId="0" xfId="0" applyNumberFormat="1"/>
    <xf numFmtId="164" fontId="5" fillId="0" borderId="28" xfId="0" applyNumberFormat="1" applyFont="1" applyBorder="1" applyAlignment="1">
      <alignment horizontal="center"/>
    </xf>
    <xf numFmtId="0" fontId="15" fillId="0" borderId="100" xfId="0" applyFont="1" applyBorder="1" applyAlignment="1">
      <alignment vertical="center" wrapText="1"/>
    </xf>
    <xf numFmtId="164" fontId="5" fillId="0" borderId="83" xfId="0" applyNumberFormat="1" applyFont="1" applyBorder="1" applyAlignment="1">
      <alignment horizontal="center" vertical="center"/>
    </xf>
    <xf numFmtId="164" fontId="6" fillId="0" borderId="81" xfId="0" applyNumberFormat="1" applyFont="1" applyBorder="1" applyAlignment="1">
      <alignment horizontal="center"/>
    </xf>
    <xf numFmtId="164" fontId="5" fillId="0" borderId="81" xfId="0" applyNumberFormat="1" applyFont="1" applyBorder="1" applyAlignment="1">
      <alignment horizontal="center"/>
    </xf>
    <xf numFmtId="164" fontId="5" fillId="0" borderId="110" xfId="0" applyNumberFormat="1" applyFont="1" applyBorder="1" applyAlignment="1">
      <alignment horizontal="center"/>
    </xf>
    <xf numFmtId="164" fontId="5" fillId="0" borderId="107" xfId="0" applyNumberFormat="1" applyFont="1" applyBorder="1" applyAlignment="1">
      <alignment horizontal="center"/>
    </xf>
    <xf numFmtId="164" fontId="6" fillId="0" borderId="104" xfId="0" applyNumberFormat="1" applyFont="1" applyBorder="1" applyAlignment="1">
      <alignment horizontal="center"/>
    </xf>
    <xf numFmtId="164" fontId="5" fillId="0" borderId="104" xfId="0" applyNumberFormat="1" applyFont="1" applyBorder="1" applyAlignment="1">
      <alignment horizontal="center"/>
    </xf>
    <xf numFmtId="164" fontId="5" fillId="0" borderId="79" xfId="0" applyNumberFormat="1" applyFont="1" applyBorder="1" applyAlignment="1">
      <alignment horizontal="center"/>
    </xf>
    <xf numFmtId="44" fontId="57" fillId="0" borderId="0" xfId="37" applyFont="1"/>
    <xf numFmtId="165" fontId="6" fillId="0" borderId="0" xfId="0" applyNumberFormat="1" applyFont="1"/>
    <xf numFmtId="44" fontId="15" fillId="0" borderId="33" xfId="37" applyFont="1" applyBorder="1" applyAlignment="1">
      <alignment horizontal="center"/>
    </xf>
    <xf numFmtId="44" fontId="15" fillId="0" borderId="34" xfId="37" applyFont="1" applyBorder="1" applyAlignment="1">
      <alignment horizontal="center"/>
    </xf>
    <xf numFmtId="44" fontId="15" fillId="0" borderId="34" xfId="37" applyFont="1" applyBorder="1" applyAlignment="1">
      <alignment horizontal="center" vertical="center"/>
    </xf>
    <xf numFmtId="168" fontId="4" fillId="0" borderId="0" xfId="0" applyNumberFormat="1" applyFont="1"/>
    <xf numFmtId="0" fontId="15" fillId="0" borderId="20" xfId="0" applyFont="1" applyBorder="1" applyAlignment="1">
      <alignment horizontal="left" vertical="center" wrapText="1"/>
    </xf>
    <xf numFmtId="0" fontId="15" fillId="0" borderId="20" xfId="0" applyFont="1" applyBorder="1" applyAlignment="1">
      <alignment vertical="center" wrapText="1"/>
    </xf>
    <xf numFmtId="168" fontId="15" fillId="0" borderId="33" xfId="35" applyNumberFormat="1" applyFont="1" applyBorder="1" applyAlignment="1">
      <alignment horizontal="center"/>
    </xf>
    <xf numFmtId="168" fontId="15" fillId="0" borderId="34" xfId="35" applyNumberFormat="1" applyFont="1" applyBorder="1" applyAlignment="1">
      <alignment horizontal="center"/>
    </xf>
    <xf numFmtId="168" fontId="15" fillId="0" borderId="34" xfId="35" applyNumberFormat="1" applyFont="1" applyBorder="1" applyAlignment="1">
      <alignment horizontal="center" vertical="center"/>
    </xf>
    <xf numFmtId="0" fontId="57" fillId="0" borderId="0" xfId="0" applyFont="1" applyAlignment="1">
      <alignment horizontal="center"/>
    </xf>
    <xf numFmtId="168" fontId="57" fillId="0" borderId="0" xfId="0" applyNumberFormat="1" applyFont="1" applyAlignment="1">
      <alignment horizontal="center"/>
    </xf>
    <xf numFmtId="44" fontId="57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5" fillId="0" borderId="8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164" fontId="6" fillId="0" borderId="72" xfId="0" applyNumberFormat="1" applyFont="1" applyBorder="1" applyAlignment="1">
      <alignment horizontal="center" vertical="center"/>
    </xf>
    <xf numFmtId="164" fontId="6" fillId="0" borderId="33" xfId="0" applyNumberFormat="1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 wrapText="1"/>
    </xf>
    <xf numFmtId="0" fontId="15" fillId="0" borderId="117" xfId="0" applyFont="1" applyBorder="1" applyAlignment="1">
      <alignment vertical="center" wrapText="1"/>
    </xf>
    <xf numFmtId="164" fontId="6" fillId="0" borderId="110" xfId="0" applyNumberFormat="1" applyFont="1" applyBorder="1" applyAlignment="1">
      <alignment horizontal="center" vertical="center"/>
    </xf>
    <xf numFmtId="164" fontId="6" fillId="0" borderId="79" xfId="0" applyNumberFormat="1" applyFont="1" applyBorder="1" applyAlignment="1">
      <alignment horizontal="center" vertical="center"/>
    </xf>
    <xf numFmtId="44" fontId="6" fillId="0" borderId="0" xfId="37" applyFont="1"/>
    <xf numFmtId="44" fontId="39" fillId="0" borderId="0" xfId="37" applyFont="1"/>
    <xf numFmtId="44" fontId="5" fillId="0" borderId="0" xfId="37" applyFont="1"/>
    <xf numFmtId="165" fontId="0" fillId="0" borderId="0" xfId="0" applyNumberFormat="1"/>
    <xf numFmtId="44" fontId="4" fillId="0" borderId="0" xfId="0" applyNumberFormat="1" applyFont="1"/>
    <xf numFmtId="4" fontId="8" fillId="0" borderId="0" xfId="31" applyNumberFormat="1" applyFont="1"/>
    <xf numFmtId="44" fontId="6" fillId="0" borderId="35" xfId="37" applyFont="1" applyBorder="1"/>
    <xf numFmtId="44" fontId="4" fillId="0" borderId="34" xfId="37" applyBorder="1" applyAlignment="1">
      <alignment horizontal="right"/>
    </xf>
    <xf numFmtId="44" fontId="4" fillId="0" borderId="35" xfId="37" applyBorder="1" applyAlignment="1">
      <alignment horizontal="right"/>
    </xf>
    <xf numFmtId="44" fontId="51" fillId="0" borderId="0" xfId="37" applyFont="1"/>
    <xf numFmtId="49" fontId="8" fillId="0" borderId="20" xfId="31" applyNumberFormat="1" applyFont="1" applyBorder="1" applyAlignment="1">
      <alignment horizontal="left"/>
    </xf>
    <xf numFmtId="4" fontId="8" fillId="0" borderId="34" xfId="31" applyNumberFormat="1" applyFont="1" applyBorder="1"/>
    <xf numFmtId="49" fontId="0" fillId="0" borderId="0" xfId="0" applyNumberFormat="1" applyAlignment="1">
      <alignment horizontal="center"/>
    </xf>
    <xf numFmtId="0" fontId="5" fillId="0" borderId="0" xfId="0" applyFont="1" applyAlignment="1">
      <alignment vertical="center" wrapText="1"/>
    </xf>
    <xf numFmtId="4" fontId="4" fillId="0" borderId="0" xfId="0" applyNumberFormat="1" applyFont="1"/>
    <xf numFmtId="49" fontId="0" fillId="0" borderId="86" xfId="0" applyNumberFormat="1" applyBorder="1" applyAlignment="1">
      <alignment horizontal="center"/>
    </xf>
    <xf numFmtId="49" fontId="0" fillId="0" borderId="48" xfId="0" applyNumberFormat="1" applyBorder="1" applyAlignment="1">
      <alignment horizontal="center"/>
    </xf>
    <xf numFmtId="49" fontId="4" fillId="0" borderId="48" xfId="0" applyNumberFormat="1" applyFont="1" applyBorder="1" applyAlignment="1">
      <alignment horizontal="center"/>
    </xf>
    <xf numFmtId="0" fontId="10" fillId="27" borderId="50" xfId="0" applyFont="1" applyFill="1" applyBorder="1" applyAlignment="1">
      <alignment vertical="center"/>
    </xf>
    <xf numFmtId="0" fontId="10" fillId="27" borderId="74" xfId="0" applyFont="1" applyFill="1" applyBorder="1" applyAlignment="1">
      <alignment vertical="center"/>
    </xf>
    <xf numFmtId="0" fontId="8" fillId="27" borderId="49" xfId="0" applyFont="1" applyFill="1" applyBorder="1" applyAlignment="1">
      <alignment vertical="center"/>
    </xf>
    <xf numFmtId="49" fontId="5" fillId="27" borderId="14" xfId="0" applyNumberFormat="1" applyFont="1" applyFill="1" applyBorder="1" applyAlignment="1">
      <alignment horizontal="center" vertical="center" wrapText="1"/>
    </xf>
    <xf numFmtId="168" fontId="7" fillId="27" borderId="79" xfId="35" applyNumberFormat="1" applyFont="1" applyFill="1" applyBorder="1" applyAlignment="1">
      <alignment horizontal="center"/>
    </xf>
    <xf numFmtId="168" fontId="7" fillId="27" borderId="30" xfId="35" applyNumberFormat="1" applyFont="1" applyFill="1" applyBorder="1" applyAlignment="1">
      <alignment horizontal="center"/>
    </xf>
    <xf numFmtId="168" fontId="7" fillId="27" borderId="78" xfId="35" applyNumberFormat="1" applyFont="1" applyFill="1" applyBorder="1" applyAlignment="1">
      <alignment horizontal="center"/>
    </xf>
    <xf numFmtId="168" fontId="7" fillId="27" borderId="78" xfId="35" applyNumberFormat="1" applyFont="1" applyFill="1" applyBorder="1"/>
    <xf numFmtId="0" fontId="5" fillId="27" borderId="71" xfId="0" applyFont="1" applyFill="1" applyBorder="1" applyAlignment="1">
      <alignment horizontal="center" vertical="center"/>
    </xf>
    <xf numFmtId="0" fontId="5" fillId="27" borderId="15" xfId="0" applyFont="1" applyFill="1" applyBorder="1" applyAlignment="1">
      <alignment horizontal="center" vertical="center"/>
    </xf>
    <xf numFmtId="49" fontId="4" fillId="0" borderId="86" xfId="0" applyNumberFormat="1" applyFont="1" applyBorder="1" applyAlignment="1">
      <alignment horizontal="center"/>
    </xf>
    <xf numFmtId="0" fontId="5" fillId="27" borderId="71" xfId="0" applyFont="1" applyFill="1" applyBorder="1" applyAlignment="1">
      <alignment horizontal="center" vertical="center" wrapText="1"/>
    </xf>
    <xf numFmtId="44" fontId="8" fillId="0" borderId="0" xfId="37" applyFont="1"/>
    <xf numFmtId="173" fontId="8" fillId="0" borderId="0" xfId="31" applyNumberFormat="1" applyFont="1"/>
    <xf numFmtId="173" fontId="8" fillId="0" borderId="0" xfId="37" applyNumberFormat="1" applyFont="1"/>
    <xf numFmtId="0" fontId="5" fillId="27" borderId="16" xfId="0" applyFont="1" applyFill="1" applyBorder="1" applyAlignment="1">
      <alignment horizontal="center" vertical="center"/>
    </xf>
    <xf numFmtId="168" fontId="4" fillId="0" borderId="118" xfId="0" applyNumberFormat="1" applyFont="1" applyBorder="1"/>
    <xf numFmtId="44" fontId="4" fillId="0" borderId="118" xfId="37" applyBorder="1"/>
    <xf numFmtId="10" fontId="7" fillId="0" borderId="14" xfId="0" applyNumberFormat="1" applyFont="1" applyBorder="1" applyAlignment="1">
      <alignment horizontal="center" vertical="center"/>
    </xf>
    <xf numFmtId="10" fontId="7" fillId="0" borderId="71" xfId="0" applyNumberFormat="1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5" fillId="0" borderId="107" xfId="0" applyFont="1" applyBorder="1" applyAlignment="1">
      <alignment vertical="center" wrapText="1"/>
    </xf>
    <xf numFmtId="0" fontId="15" fillId="0" borderId="74" xfId="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04" xfId="0" applyFont="1" applyBorder="1" applyAlignment="1">
      <alignment vertical="center" wrapText="1"/>
    </xf>
    <xf numFmtId="0" fontId="15" fillId="0" borderId="81" xfId="0" applyFont="1" applyBorder="1" applyAlignment="1">
      <alignment vertical="center" wrapText="1"/>
    </xf>
    <xf numFmtId="0" fontId="15" fillId="0" borderId="51" xfId="0" applyFont="1" applyBorder="1" applyAlignment="1">
      <alignment horizontal="center" vertical="center" wrapText="1"/>
    </xf>
    <xf numFmtId="173" fontId="8" fillId="0" borderId="0" xfId="31" applyNumberFormat="1" applyFont="1" applyAlignment="1">
      <alignment horizontal="right"/>
    </xf>
    <xf numFmtId="44" fontId="15" fillId="0" borderId="50" xfId="37" applyFont="1" applyBorder="1" applyAlignment="1">
      <alignment horizontal="center" vertical="center"/>
    </xf>
    <xf numFmtId="44" fontId="15" fillId="0" borderId="39" xfId="37" applyFont="1" applyBorder="1" applyAlignment="1">
      <alignment horizontal="center" vertical="center"/>
    </xf>
    <xf numFmtId="44" fontId="15" fillId="0" borderId="49" xfId="37" applyFont="1" applyBorder="1" applyAlignment="1">
      <alignment horizontal="center" vertical="center"/>
    </xf>
    <xf numFmtId="44" fontId="15" fillId="26" borderId="17" xfId="37" applyFont="1" applyFill="1" applyBorder="1" applyAlignment="1">
      <alignment horizontal="center" vertical="center"/>
    </xf>
    <xf numFmtId="44" fontId="15" fillId="26" borderId="18" xfId="37" applyFont="1" applyFill="1" applyBorder="1" applyAlignment="1">
      <alignment horizontal="center" vertical="center"/>
    </xf>
    <xf numFmtId="44" fontId="15" fillId="0" borderId="106" xfId="37" applyFont="1" applyBorder="1" applyAlignment="1">
      <alignment horizontal="center" vertical="center"/>
    </xf>
    <xf numFmtId="44" fontId="15" fillId="0" borderId="19" xfId="37" applyFont="1" applyBorder="1" applyAlignment="1">
      <alignment horizontal="center" vertical="center"/>
    </xf>
    <xf numFmtId="44" fontId="15" fillId="0" borderId="48" xfId="37" applyFont="1" applyBorder="1" applyAlignment="1">
      <alignment horizontal="center" vertical="center"/>
    </xf>
    <xf numFmtId="44" fontId="15" fillId="0" borderId="13" xfId="37" applyFont="1" applyBorder="1" applyAlignment="1">
      <alignment horizontal="center" vertical="center"/>
    </xf>
    <xf numFmtId="44" fontId="15" fillId="0" borderId="103" xfId="37" applyFont="1" applyBorder="1" applyAlignment="1">
      <alignment horizontal="center" vertical="center"/>
    </xf>
    <xf numFmtId="44" fontId="15" fillId="26" borderId="10" xfId="37" applyFont="1" applyFill="1" applyBorder="1" applyAlignment="1">
      <alignment horizontal="center" vertical="center"/>
    </xf>
    <xf numFmtId="44" fontId="15" fillId="0" borderId="38" xfId="37" applyFont="1" applyBorder="1" applyAlignment="1">
      <alignment horizontal="center" vertical="center"/>
    </xf>
    <xf numFmtId="44" fontId="15" fillId="0" borderId="84" xfId="37" applyFont="1" applyBorder="1" applyAlignment="1">
      <alignment horizontal="center" vertical="center"/>
    </xf>
    <xf numFmtId="44" fontId="15" fillId="0" borderId="15" xfId="37" applyFont="1" applyBorder="1" applyAlignment="1">
      <alignment horizontal="center" vertical="center"/>
    </xf>
    <xf numFmtId="44" fontId="15" fillId="0" borderId="114" xfId="37" applyFont="1" applyBorder="1" applyAlignment="1">
      <alignment horizontal="center" vertical="center"/>
    </xf>
    <xf numFmtId="44" fontId="15" fillId="0" borderId="40" xfId="37" applyFont="1" applyBorder="1" applyAlignment="1">
      <alignment horizontal="center" vertical="center"/>
    </xf>
    <xf numFmtId="44" fontId="7" fillId="0" borderId="53" xfId="37" applyFont="1" applyBorder="1" applyAlignment="1">
      <alignment horizontal="center" vertical="center"/>
    </xf>
    <xf numFmtId="44" fontId="7" fillId="0" borderId="55" xfId="37" applyFont="1" applyBorder="1" applyAlignment="1">
      <alignment horizontal="center" vertical="center"/>
    </xf>
    <xf numFmtId="44" fontId="7" fillId="0" borderId="47" xfId="37" applyFont="1" applyBorder="1" applyAlignment="1">
      <alignment horizontal="center" vertical="center"/>
    </xf>
    <xf numFmtId="44" fontId="7" fillId="0" borderId="54" xfId="37" applyFont="1" applyBorder="1" applyAlignment="1">
      <alignment horizontal="center" vertical="center"/>
    </xf>
    <xf numFmtId="44" fontId="7" fillId="0" borderId="56" xfId="37" applyFont="1" applyBorder="1" applyAlignment="1">
      <alignment horizontal="center" vertical="center"/>
    </xf>
    <xf numFmtId="49" fontId="8" fillId="0" borderId="0" xfId="31" applyNumberFormat="1" applyFont="1" applyAlignment="1">
      <alignment horizontal="left"/>
    </xf>
    <xf numFmtId="171" fontId="8" fillId="0" borderId="0" xfId="31" applyNumberFormat="1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73" fontId="6" fillId="0" borderId="35" xfId="31" applyNumberFormat="1" applyFont="1" applyFill="1" applyBorder="1" applyAlignment="1">
      <alignment horizontal="right"/>
    </xf>
    <xf numFmtId="0" fontId="5" fillId="0" borderId="0" xfId="0" applyFont="1" applyAlignment="1">
      <alignment horizontal="center" wrapText="1"/>
    </xf>
    <xf numFmtId="0" fontId="5" fillId="0" borderId="62" xfId="0" applyFont="1" applyBorder="1" applyAlignment="1">
      <alignment horizontal="left"/>
    </xf>
    <xf numFmtId="0" fontId="5" fillId="0" borderId="67" xfId="0" applyFont="1" applyBorder="1"/>
    <xf numFmtId="0" fontId="5" fillId="0" borderId="12" xfId="0" applyFont="1" applyBorder="1" applyAlignment="1">
      <alignment horizontal="left"/>
    </xf>
    <xf numFmtId="0" fontId="5" fillId="0" borderId="38" xfId="0" applyFont="1" applyBorder="1"/>
    <xf numFmtId="172" fontId="6" fillId="0" borderId="13" xfId="0" applyNumberFormat="1" applyFont="1" applyBorder="1"/>
    <xf numFmtId="0" fontId="6" fillId="0" borderId="12" xfId="0" applyFont="1" applyBorder="1" applyAlignment="1">
      <alignment horizontal="left"/>
    </xf>
    <xf numFmtId="0" fontId="6" fillId="0" borderId="38" xfId="0" applyFont="1" applyBorder="1"/>
    <xf numFmtId="172" fontId="6" fillId="0" borderId="12" xfId="0" applyNumberFormat="1" applyFont="1" applyBorder="1"/>
    <xf numFmtId="172" fontId="6" fillId="0" borderId="10" xfId="0" applyNumberFormat="1" applyFont="1" applyBorder="1"/>
    <xf numFmtId="0" fontId="51" fillId="0" borderId="38" xfId="0" applyFont="1" applyBorder="1"/>
    <xf numFmtId="172" fontId="5" fillId="0" borderId="13" xfId="0" applyNumberFormat="1" applyFont="1" applyBorder="1"/>
    <xf numFmtId="172" fontId="4" fillId="0" borderId="10" xfId="0" applyNumberFormat="1" applyFont="1" applyBorder="1"/>
    <xf numFmtId="0" fontId="4" fillId="0" borderId="12" xfId="0" applyFont="1" applyBorder="1" applyAlignment="1">
      <alignment horizontal="left"/>
    </xf>
    <xf numFmtId="0" fontId="4" fillId="0" borderId="38" xfId="0" applyFont="1" applyBorder="1"/>
    <xf numFmtId="0" fontId="6" fillId="0" borderId="51" xfId="0" applyFont="1" applyBorder="1" applyAlignment="1">
      <alignment horizontal="left"/>
    </xf>
    <xf numFmtId="0" fontId="6" fillId="0" borderId="70" xfId="0" applyFont="1" applyBorder="1" applyAlignment="1">
      <alignment vertical="justify" wrapText="1"/>
    </xf>
    <xf numFmtId="172" fontId="5" fillId="0" borderId="30" xfId="0" applyNumberFormat="1" applyFont="1" applyBorder="1"/>
    <xf numFmtId="178" fontId="5" fillId="0" borderId="30" xfId="0" applyNumberFormat="1" applyFont="1" applyBorder="1"/>
    <xf numFmtId="0" fontId="15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49" fontId="4" fillId="0" borderId="42" xfId="0" applyNumberFormat="1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 wrapText="1"/>
    </xf>
    <xf numFmtId="0" fontId="6" fillId="0" borderId="71" xfId="0" applyFont="1" applyBorder="1" applyAlignment="1">
      <alignment vertical="center" wrapText="1"/>
    </xf>
    <xf numFmtId="164" fontId="6" fillId="0" borderId="14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4" fontId="4" fillId="0" borderId="0" xfId="31" applyNumberFormat="1" applyFill="1" applyAlignment="1">
      <alignment horizontal="left" vertical="center"/>
    </xf>
    <xf numFmtId="173" fontId="0" fillId="0" borderId="0" xfId="0" applyNumberFormat="1"/>
    <xf numFmtId="0" fontId="10" fillId="0" borderId="107" xfId="0" applyFont="1" applyBorder="1" applyAlignment="1">
      <alignment horizontal="left"/>
    </xf>
    <xf numFmtId="0" fontId="10" fillId="0" borderId="83" xfId="0" applyFont="1" applyBorder="1"/>
    <xf numFmtId="173" fontId="5" fillId="0" borderId="86" xfId="0" applyNumberFormat="1" applyFont="1" applyBorder="1"/>
    <xf numFmtId="173" fontId="5" fillId="0" borderId="107" xfId="0" applyNumberFormat="1" applyFont="1" applyBorder="1"/>
    <xf numFmtId="173" fontId="5" fillId="0" borderId="83" xfId="0" applyNumberFormat="1" applyFont="1" applyBorder="1"/>
    <xf numFmtId="0" fontId="10" fillId="0" borderId="104" xfId="0" applyFont="1" applyBorder="1" applyAlignment="1">
      <alignment horizontal="left"/>
    </xf>
    <xf numFmtId="0" fontId="10" fillId="0" borderId="81" xfId="0" applyFont="1" applyBorder="1"/>
    <xf numFmtId="173" fontId="5" fillId="0" borderId="48" xfId="0" applyNumberFormat="1" applyFont="1" applyBorder="1"/>
    <xf numFmtId="173" fontId="5" fillId="0" borderId="104" xfId="0" applyNumberFormat="1" applyFont="1" applyBorder="1"/>
    <xf numFmtId="173" fontId="5" fillId="0" borderId="81" xfId="0" applyNumberFormat="1" applyFont="1" applyBorder="1"/>
    <xf numFmtId="0" fontId="9" fillId="0" borderId="104" xfId="0" applyFont="1" applyBorder="1" applyAlignment="1">
      <alignment horizontal="left"/>
    </xf>
    <xf numFmtId="0" fontId="9" fillId="0" borderId="81" xfId="0" applyFont="1" applyBorder="1"/>
    <xf numFmtId="173" fontId="6" fillId="0" borderId="48" xfId="0" applyNumberFormat="1" applyFont="1" applyBorder="1"/>
    <xf numFmtId="173" fontId="6" fillId="0" borderId="104" xfId="0" applyNumberFormat="1" applyFont="1" applyBorder="1"/>
    <xf numFmtId="173" fontId="6" fillId="0" borderId="81" xfId="0" applyNumberFormat="1" applyFont="1" applyBorder="1"/>
    <xf numFmtId="173" fontId="0" fillId="0" borderId="104" xfId="0" applyNumberFormat="1" applyBorder="1"/>
    <xf numFmtId="0" fontId="8" fillId="0" borderId="81" xfId="0" applyFont="1" applyBorder="1"/>
    <xf numFmtId="0" fontId="9" fillId="0" borderId="79" xfId="0" applyFont="1" applyBorder="1" applyAlignment="1">
      <alignment horizontal="left"/>
    </xf>
    <xf numFmtId="0" fontId="9" fillId="0" borderId="110" xfId="0" applyFont="1" applyBorder="1"/>
    <xf numFmtId="173" fontId="0" fillId="0" borderId="79" xfId="0" applyNumberFormat="1" applyBorder="1"/>
    <xf numFmtId="0" fontId="9" fillId="0" borderId="108" xfId="0" applyFont="1" applyBorder="1" applyAlignment="1">
      <alignment horizontal="left"/>
    </xf>
    <xf numFmtId="0" fontId="9" fillId="0" borderId="111" xfId="0" applyFont="1" applyBorder="1"/>
    <xf numFmtId="173" fontId="0" fillId="0" borderId="108" xfId="0" applyNumberFormat="1" applyBorder="1"/>
    <xf numFmtId="0" fontId="9" fillId="0" borderId="109" xfId="0" applyFont="1" applyBorder="1" applyAlignment="1">
      <alignment horizontal="left"/>
    </xf>
    <xf numFmtId="0" fontId="9" fillId="0" borderId="112" xfId="0" applyFont="1" applyBorder="1"/>
    <xf numFmtId="173" fontId="0" fillId="0" borderId="109" xfId="0" applyNumberFormat="1" applyBorder="1"/>
    <xf numFmtId="0" fontId="10" fillId="0" borderId="37" xfId="0" applyFont="1" applyBorder="1" applyAlignment="1">
      <alignment horizontal="left"/>
    </xf>
    <xf numFmtId="0" fontId="10" fillId="0" borderId="74" xfId="0" applyFont="1" applyBorder="1"/>
    <xf numFmtId="173" fontId="5" fillId="0" borderId="37" xfId="0" applyNumberFormat="1" applyFont="1" applyBorder="1"/>
    <xf numFmtId="173" fontId="5" fillId="0" borderId="103" xfId="0" applyNumberFormat="1" applyFont="1" applyBorder="1"/>
    <xf numFmtId="173" fontId="6" fillId="0" borderId="103" xfId="0" applyNumberFormat="1" applyFont="1" applyBorder="1"/>
    <xf numFmtId="173" fontId="0" fillId="0" borderId="103" xfId="0" applyNumberFormat="1" applyBorder="1"/>
    <xf numFmtId="49" fontId="10" fillId="0" borderId="12" xfId="31" applyNumberFormat="1" applyFont="1" applyFill="1" applyBorder="1" applyAlignment="1">
      <alignment horizontal="left"/>
    </xf>
    <xf numFmtId="4" fontId="10" fillId="0" borderId="38" xfId="31" applyNumberFormat="1" applyFont="1" applyFill="1" applyBorder="1"/>
    <xf numFmtId="173" fontId="5" fillId="0" borderId="12" xfId="0" applyNumberFormat="1" applyFont="1" applyBorder="1"/>
    <xf numFmtId="173" fontId="5" fillId="0" borderId="10" xfId="0" applyNumberFormat="1" applyFont="1" applyBorder="1"/>
    <xf numFmtId="173" fontId="5" fillId="0" borderId="13" xfId="0" applyNumberFormat="1" applyFont="1" applyBorder="1"/>
    <xf numFmtId="49" fontId="9" fillId="0" borderId="14" xfId="31" applyNumberFormat="1" applyFont="1" applyFill="1" applyBorder="1" applyAlignment="1">
      <alignment horizontal="left"/>
    </xf>
    <xf numFmtId="173" fontId="6" fillId="0" borderId="14" xfId="0" applyNumberFormat="1" applyFont="1" applyBorder="1"/>
    <xf numFmtId="173" fontId="6" fillId="0" borderId="71" xfId="0" applyNumberFormat="1" applyFont="1" applyBorder="1"/>
    <xf numFmtId="173" fontId="0" fillId="0" borderId="15" xfId="0" applyNumberFormat="1" applyBorder="1"/>
    <xf numFmtId="0" fontId="0" fillId="0" borderId="61" xfId="0" applyBorder="1"/>
    <xf numFmtId="0" fontId="5" fillId="0" borderId="30" xfId="0" applyFont="1" applyBorder="1"/>
    <xf numFmtId="173" fontId="5" fillId="0" borderId="11" xfId="0" applyNumberFormat="1" applyFont="1" applyBorder="1"/>
    <xf numFmtId="173" fontId="52" fillId="0" borderId="0" xfId="0" applyNumberFormat="1" applyFont="1"/>
    <xf numFmtId="173" fontId="5" fillId="0" borderId="87" xfId="0" applyNumberFormat="1" applyFont="1" applyBorder="1"/>
    <xf numFmtId="0" fontId="8" fillId="0" borderId="104" xfId="0" applyFont="1" applyBorder="1" applyAlignment="1">
      <alignment horizontal="left"/>
    </xf>
    <xf numFmtId="49" fontId="10" fillId="0" borderId="104" xfId="31" applyNumberFormat="1" applyFont="1" applyFill="1" applyBorder="1" applyAlignment="1">
      <alignment horizontal="left"/>
    </xf>
    <xf numFmtId="4" fontId="10" fillId="0" borderId="81" xfId="31" applyNumberFormat="1" applyFont="1" applyFill="1" applyBorder="1"/>
    <xf numFmtId="49" fontId="9" fillId="0" borderId="79" xfId="31" applyNumberFormat="1" applyFont="1" applyFill="1" applyBorder="1" applyAlignment="1">
      <alignment horizontal="left"/>
    </xf>
    <xf numFmtId="173" fontId="6" fillId="0" borderId="15" xfId="0" applyNumberFormat="1" applyFont="1" applyBorder="1"/>
    <xf numFmtId="173" fontId="0" fillId="0" borderId="69" xfId="0" applyNumberFormat="1" applyBorder="1"/>
    <xf numFmtId="0" fontId="0" fillId="0" borderId="30" xfId="0" applyBorder="1"/>
    <xf numFmtId="0" fontId="5" fillId="0" borderId="32" xfId="0" applyFont="1" applyBorder="1"/>
    <xf numFmtId="0" fontId="7" fillId="0" borderId="0" xfId="0" applyFont="1"/>
    <xf numFmtId="0" fontId="10" fillId="0" borderId="3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173" fontId="10" fillId="0" borderId="30" xfId="0" applyNumberFormat="1" applyFont="1" applyBorder="1" applyAlignment="1">
      <alignment horizontal="center" wrapText="1"/>
    </xf>
    <xf numFmtId="43" fontId="10" fillId="0" borderId="30" xfId="0" applyNumberFormat="1" applyFont="1" applyBorder="1" applyAlignment="1">
      <alignment horizontal="center" wrapText="1"/>
    </xf>
    <xf numFmtId="0" fontId="10" fillId="0" borderId="30" xfId="0" applyFont="1" applyBorder="1" applyAlignment="1">
      <alignment horizontal="center" wrapText="1"/>
    </xf>
    <xf numFmtId="4" fontId="10" fillId="0" borderId="81" xfId="31" applyNumberFormat="1" applyFont="1" applyFill="1" applyBorder="1" applyAlignment="1">
      <alignment vertical="center" wrapText="1"/>
    </xf>
    <xf numFmtId="0" fontId="10" fillId="0" borderId="104" xfId="0" applyFont="1" applyBorder="1" applyAlignment="1">
      <alignment horizontal="left" vertical="center"/>
    </xf>
    <xf numFmtId="0" fontId="8" fillId="0" borderId="81" xfId="0" applyFont="1" applyBorder="1" applyAlignment="1">
      <alignment vertical="center" wrapText="1"/>
    </xf>
    <xf numFmtId="4" fontId="10" fillId="0" borderId="0" xfId="31" applyNumberFormat="1" applyFont="1" applyFill="1"/>
    <xf numFmtId="0" fontId="52" fillId="0" borderId="0" xfId="0" applyFont="1"/>
    <xf numFmtId="173" fontId="59" fillId="0" borderId="0" xfId="0" applyNumberFormat="1" applyFont="1"/>
    <xf numFmtId="43" fontId="59" fillId="0" borderId="0" xfId="0" applyNumberFormat="1" applyFont="1"/>
    <xf numFmtId="0" fontId="4" fillId="0" borderId="20" xfId="0" applyFont="1" applyBorder="1" applyAlignment="1">
      <alignment horizontal="left"/>
    </xf>
    <xf numFmtId="168" fontId="5" fillId="0" borderId="0" xfId="31" applyNumberFormat="1" applyFont="1" applyFill="1" applyAlignment="1">
      <alignment horizontal="right"/>
    </xf>
    <xf numFmtId="4" fontId="4" fillId="0" borderId="43" xfId="31" applyNumberFormat="1" applyFill="1" applyBorder="1" applyAlignment="1">
      <alignment vertical="center" wrapText="1"/>
    </xf>
    <xf numFmtId="0" fontId="4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54" fillId="0" borderId="61" xfId="0" applyFont="1" applyBorder="1" applyAlignment="1">
      <alignment horizontal="center" wrapText="1"/>
    </xf>
    <xf numFmtId="0" fontId="54" fillId="0" borderId="30" xfId="0" applyFont="1" applyBorder="1" applyAlignment="1">
      <alignment horizontal="center" wrapText="1"/>
    </xf>
    <xf numFmtId="0" fontId="54" fillId="0" borderId="47" xfId="0" applyFont="1" applyBorder="1" applyAlignment="1">
      <alignment horizontal="center" wrapText="1"/>
    </xf>
    <xf numFmtId="0" fontId="54" fillId="0" borderId="20" xfId="0" applyFont="1" applyBorder="1" applyAlignment="1">
      <alignment horizontal="center" vertical="center" wrapText="1"/>
    </xf>
    <xf numFmtId="0" fontId="60" fillId="0" borderId="20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4" fillId="0" borderId="23" xfId="0" applyFont="1" applyBorder="1" applyAlignment="1">
      <alignment horizontal="center" wrapText="1"/>
    </xf>
    <xf numFmtId="0" fontId="54" fillId="0" borderId="0" xfId="0" applyFont="1" applyAlignment="1">
      <alignment horizontal="center" wrapText="1"/>
    </xf>
    <xf numFmtId="0" fontId="54" fillId="0" borderId="23" xfId="0" applyFont="1" applyBorder="1" applyAlignment="1">
      <alignment horizontal="center" vertical="center" wrapText="1"/>
    </xf>
    <xf numFmtId="49" fontId="60" fillId="0" borderId="24" xfId="0" applyNumberFormat="1" applyFont="1" applyBorder="1" applyAlignment="1">
      <alignment horizontal="center"/>
    </xf>
    <xf numFmtId="173" fontId="4" fillId="0" borderId="21" xfId="31" applyNumberFormat="1" applyFill="1" applyBorder="1" applyAlignment="1">
      <alignment horizontal="right"/>
    </xf>
    <xf numFmtId="173" fontId="6" fillId="0" borderId="101" xfId="31" applyNumberFormat="1" applyFont="1" applyFill="1" applyBorder="1" applyAlignment="1">
      <alignment horizontal="right"/>
    </xf>
    <xf numFmtId="173" fontId="4" fillId="0" borderId="23" xfId="31" applyNumberFormat="1" applyFill="1" applyBorder="1" applyAlignment="1">
      <alignment horizontal="right"/>
    </xf>
    <xf numFmtId="0" fontId="5" fillId="0" borderId="61" xfId="0" applyFont="1" applyBorder="1" applyAlignment="1">
      <alignment horizontal="left"/>
    </xf>
    <xf numFmtId="0" fontId="5" fillId="0" borderId="53" xfId="0" applyFont="1" applyBorder="1" applyAlignment="1">
      <alignment horizontal="left"/>
    </xf>
    <xf numFmtId="4" fontId="5" fillId="0" borderId="56" xfId="31" applyNumberFormat="1" applyFont="1" applyFill="1" applyBorder="1"/>
    <xf numFmtId="173" fontId="5" fillId="0" borderId="53" xfId="3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4" fontId="5" fillId="0" borderId="0" xfId="31" applyNumberFormat="1" applyFont="1" applyFill="1"/>
    <xf numFmtId="0" fontId="0" fillId="0" borderId="0" xfId="0" applyAlignment="1">
      <alignment horizontal="left"/>
    </xf>
    <xf numFmtId="44" fontId="0" fillId="0" borderId="0" xfId="37" applyFont="1" applyFill="1"/>
    <xf numFmtId="0" fontId="47" fillId="0" borderId="33" xfId="0" applyFont="1" applyBorder="1" applyAlignment="1">
      <alignment horizontal="left"/>
    </xf>
    <xf numFmtId="0" fontId="47" fillId="0" borderId="35" xfId="0" applyFont="1" applyBorder="1" applyAlignment="1">
      <alignment horizontal="left"/>
    </xf>
    <xf numFmtId="0" fontId="0" fillId="0" borderId="25" xfId="0" applyBorder="1" applyAlignment="1">
      <alignment horizontal="left"/>
    </xf>
    <xf numFmtId="4" fontId="4" fillId="0" borderId="26" xfId="31" applyNumberFormat="1" applyFill="1" applyBorder="1"/>
    <xf numFmtId="4" fontId="6" fillId="0" borderId="26" xfId="31" applyNumberFormat="1" applyFont="1" applyFill="1" applyBorder="1"/>
    <xf numFmtId="0" fontId="5" fillId="0" borderId="24" xfId="0" applyFont="1" applyBorder="1" applyAlignment="1">
      <alignment horizontal="left"/>
    </xf>
    <xf numFmtId="4" fontId="5" fillId="0" borderId="22" xfId="31" applyNumberFormat="1" applyFont="1" applyFill="1" applyBorder="1"/>
    <xf numFmtId="4" fontId="6" fillId="0" borderId="22" xfId="31" applyNumberFormat="1" applyFont="1" applyFill="1" applyBorder="1"/>
    <xf numFmtId="0" fontId="0" fillId="0" borderId="34" xfId="0" applyBorder="1" applyAlignment="1">
      <alignment horizontal="left"/>
    </xf>
    <xf numFmtId="4" fontId="4" fillId="0" borderId="34" xfId="31" applyNumberFormat="1" applyFill="1" applyBorder="1"/>
    <xf numFmtId="44" fontId="6" fillId="0" borderId="34" xfId="37" applyFont="1" applyFill="1" applyBorder="1"/>
    <xf numFmtId="0" fontId="5" fillId="0" borderId="34" xfId="0" applyFont="1" applyBorder="1"/>
    <xf numFmtId="44" fontId="5" fillId="0" borderId="34" xfId="37" applyFont="1" applyFill="1" applyBorder="1"/>
    <xf numFmtId="4" fontId="5" fillId="0" borderId="34" xfId="31" applyNumberFormat="1" applyFont="1" applyFill="1" applyBorder="1"/>
    <xf numFmtId="0" fontId="6" fillId="0" borderId="34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44" fontId="4" fillId="0" borderId="34" xfId="37" applyFill="1" applyBorder="1"/>
    <xf numFmtId="4" fontId="7" fillId="0" borderId="34" xfId="31" applyNumberFormat="1" applyFont="1" applyFill="1" applyBorder="1"/>
    <xf numFmtId="0" fontId="6" fillId="0" borderId="34" xfId="0" applyFont="1" applyBorder="1"/>
    <xf numFmtId="0" fontId="0" fillId="0" borderId="24" xfId="0" applyBorder="1" applyAlignment="1">
      <alignment horizontal="left"/>
    </xf>
    <xf numFmtId="0" fontId="0" fillId="0" borderId="22" xfId="0" applyBorder="1"/>
    <xf numFmtId="44" fontId="5" fillId="0" borderId="22" xfId="37" applyFont="1" applyFill="1" applyBorder="1"/>
    <xf numFmtId="0" fontId="5" fillId="0" borderId="22" xfId="0" applyFont="1" applyBorder="1"/>
    <xf numFmtId="44" fontId="6" fillId="0" borderId="22" xfId="37" applyFont="1" applyFill="1" applyBorder="1"/>
    <xf numFmtId="44" fontId="50" fillId="0" borderId="22" xfId="37" applyFont="1" applyFill="1" applyBorder="1"/>
    <xf numFmtId="4" fontId="10" fillId="0" borderId="22" xfId="0" applyNumberFormat="1" applyFont="1" applyBorder="1"/>
    <xf numFmtId="4" fontId="9" fillId="0" borderId="22" xfId="0" applyNumberFormat="1" applyFont="1" applyBorder="1"/>
    <xf numFmtId="0" fontId="14" fillId="0" borderId="24" xfId="0" applyFont="1" applyBorder="1" applyAlignment="1">
      <alignment horizontal="left"/>
    </xf>
    <xf numFmtId="0" fontId="11" fillId="0" borderId="22" xfId="0" applyFont="1" applyBorder="1"/>
    <xf numFmtId="44" fontId="14" fillId="0" borderId="22" xfId="37" applyFont="1" applyFill="1" applyBorder="1"/>
    <xf numFmtId="0" fontId="0" fillId="0" borderId="28" xfId="0" applyBorder="1" applyAlignment="1">
      <alignment horizontal="left"/>
    </xf>
    <xf numFmtId="0" fontId="0" fillId="0" borderId="29" xfId="0" applyBorder="1"/>
    <xf numFmtId="44" fontId="50" fillId="0" borderId="29" xfId="37" applyFont="1" applyFill="1" applyBorder="1"/>
    <xf numFmtId="0" fontId="0" fillId="0" borderId="30" xfId="0" applyBorder="1" applyAlignment="1">
      <alignment horizontal="left"/>
    </xf>
    <xf numFmtId="0" fontId="5" fillId="0" borderId="30" xfId="0" applyFont="1" applyBorder="1" applyAlignment="1">
      <alignment horizontal="center"/>
    </xf>
    <xf numFmtId="44" fontId="5" fillId="0" borderId="30" xfId="37" applyFont="1" applyFill="1" applyBorder="1"/>
    <xf numFmtId="0" fontId="5" fillId="0" borderId="72" xfId="0" applyFont="1" applyBorder="1" applyAlignment="1">
      <alignment horizontal="left"/>
    </xf>
    <xf numFmtId="0" fontId="6" fillId="0" borderId="23" xfId="0" applyFont="1" applyBorder="1"/>
    <xf numFmtId="0" fontId="6" fillId="0" borderId="31" xfId="0" applyFont="1" applyBorder="1"/>
    <xf numFmtId="49" fontId="5" fillId="0" borderId="33" xfId="0" applyNumberFormat="1" applyFont="1" applyBorder="1"/>
    <xf numFmtId="49" fontId="4" fillId="0" borderId="34" xfId="0" applyNumberFormat="1" applyFont="1" applyBorder="1"/>
    <xf numFmtId="49" fontId="5" fillId="0" borderId="33" xfId="0" applyNumberFormat="1" applyFont="1" applyBorder="1" applyAlignment="1">
      <alignment horizontal="center"/>
    </xf>
    <xf numFmtId="49" fontId="5" fillId="0" borderId="34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49" fontId="6" fillId="0" borderId="35" xfId="0" applyNumberFormat="1" applyFont="1" applyBorder="1" applyAlignment="1">
      <alignment horizontal="center"/>
    </xf>
    <xf numFmtId="49" fontId="4" fillId="0" borderId="34" xfId="0" applyNumberFormat="1" applyFont="1" applyBorder="1" applyAlignment="1">
      <alignment horizontal="center"/>
    </xf>
    <xf numFmtId="173" fontId="4" fillId="0" borderId="0" xfId="0" applyNumberFormat="1" applyFont="1"/>
    <xf numFmtId="1" fontId="4" fillId="0" borderId="48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164" fontId="6" fillId="0" borderId="25" xfId="0" applyNumberFormat="1" applyFont="1" applyBorder="1" applyAlignment="1">
      <alignment horizontal="center" vertical="center"/>
    </xf>
    <xf numFmtId="173" fontId="6" fillId="26" borderId="48" xfId="0" applyNumberFormat="1" applyFont="1" applyFill="1" applyBorder="1"/>
    <xf numFmtId="173" fontId="6" fillId="26" borderId="104" xfId="0" applyNumberFormat="1" applyFont="1" applyFill="1" applyBorder="1"/>
    <xf numFmtId="173" fontId="6" fillId="26" borderId="81" xfId="0" applyNumberFormat="1" applyFont="1" applyFill="1" applyBorder="1"/>
    <xf numFmtId="173" fontId="5" fillId="26" borderId="48" xfId="0" applyNumberFormat="1" applyFont="1" applyFill="1" applyBorder="1"/>
    <xf numFmtId="173" fontId="5" fillId="26" borderId="104" xfId="0" applyNumberFormat="1" applyFont="1" applyFill="1" applyBorder="1"/>
    <xf numFmtId="173" fontId="5" fillId="26" borderId="81" xfId="0" applyNumberFormat="1" applyFont="1" applyFill="1" applyBorder="1"/>
    <xf numFmtId="173" fontId="5" fillId="26" borderId="36" xfId="0" applyNumberFormat="1" applyFont="1" applyFill="1" applyBorder="1"/>
    <xf numFmtId="173" fontId="4" fillId="26" borderId="104" xfId="0" applyNumberFormat="1" applyFont="1" applyFill="1" applyBorder="1"/>
    <xf numFmtId="173" fontId="4" fillId="26" borderId="48" xfId="0" applyNumberFormat="1" applyFont="1" applyFill="1" applyBorder="1"/>
    <xf numFmtId="173" fontId="6" fillId="26" borderId="68" xfId="0" applyNumberFormat="1" applyFont="1" applyFill="1" applyBorder="1"/>
    <xf numFmtId="173" fontId="6" fillId="26" borderId="79" xfId="0" applyNumberFormat="1" applyFont="1" applyFill="1" applyBorder="1"/>
    <xf numFmtId="173" fontId="6" fillId="26" borderId="110" xfId="0" applyNumberFormat="1" applyFont="1" applyFill="1" applyBorder="1"/>
    <xf numFmtId="173" fontId="6" fillId="26" borderId="119" xfId="0" applyNumberFormat="1" applyFont="1" applyFill="1" applyBorder="1"/>
    <xf numFmtId="173" fontId="6" fillId="26" borderId="108" xfId="0" applyNumberFormat="1" applyFont="1" applyFill="1" applyBorder="1"/>
    <xf numFmtId="173" fontId="6" fillId="26" borderId="111" xfId="0" applyNumberFormat="1" applyFont="1" applyFill="1" applyBorder="1"/>
    <xf numFmtId="173" fontId="6" fillId="26" borderId="120" xfId="0" applyNumberFormat="1" applyFont="1" applyFill="1" applyBorder="1"/>
    <xf numFmtId="173" fontId="6" fillId="26" borderId="109" xfId="0" applyNumberFormat="1" applyFont="1" applyFill="1" applyBorder="1"/>
    <xf numFmtId="173" fontId="6" fillId="26" borderId="112" xfId="0" applyNumberFormat="1" applyFont="1" applyFill="1" applyBorder="1"/>
    <xf numFmtId="173" fontId="5" fillId="26" borderId="50" xfId="0" applyNumberFormat="1" applyFont="1" applyFill="1" applyBorder="1"/>
    <xf numFmtId="173" fontId="5" fillId="26" borderId="37" xfId="0" applyNumberFormat="1" applyFont="1" applyFill="1" applyBorder="1"/>
    <xf numFmtId="173" fontId="5" fillId="26" borderId="74" xfId="0" applyNumberFormat="1" applyFont="1" applyFill="1" applyBorder="1"/>
    <xf numFmtId="173" fontId="5" fillId="26" borderId="103" xfId="0" applyNumberFormat="1" applyFont="1" applyFill="1" applyBorder="1"/>
    <xf numFmtId="173" fontId="6" fillId="26" borderId="103" xfId="0" applyNumberFormat="1" applyFont="1" applyFill="1" applyBorder="1"/>
    <xf numFmtId="173" fontId="5" fillId="26" borderId="12" xfId="0" applyNumberFormat="1" applyFont="1" applyFill="1" applyBorder="1"/>
    <xf numFmtId="173" fontId="5" fillId="26" borderId="10" xfId="0" applyNumberFormat="1" applyFont="1" applyFill="1" applyBorder="1"/>
    <xf numFmtId="173" fontId="6" fillId="26" borderId="14" xfId="0" applyNumberFormat="1" applyFont="1" applyFill="1" applyBorder="1"/>
    <xf numFmtId="173" fontId="6" fillId="26" borderId="71" xfId="0" applyNumberFormat="1" applyFont="1" applyFill="1" applyBorder="1"/>
    <xf numFmtId="173" fontId="5" fillId="26" borderId="11" xfId="0" applyNumberFormat="1" applyFont="1" applyFill="1" applyBorder="1"/>
    <xf numFmtId="175" fontId="0" fillId="0" borderId="0" xfId="0" applyNumberFormat="1"/>
    <xf numFmtId="0" fontId="54" fillId="0" borderId="33" xfId="0" applyFont="1" applyBorder="1" applyAlignment="1">
      <alignment horizontal="center" wrapText="1"/>
    </xf>
    <xf numFmtId="173" fontId="4" fillId="0" borderId="35" xfId="31" applyNumberFormat="1" applyFill="1" applyBorder="1" applyAlignment="1">
      <alignment horizontal="right"/>
    </xf>
    <xf numFmtId="0" fontId="61" fillId="0" borderId="0" xfId="0" applyFont="1"/>
    <xf numFmtId="168" fontId="61" fillId="0" borderId="0" xfId="0" applyNumberFormat="1" applyFont="1"/>
    <xf numFmtId="44" fontId="61" fillId="0" borderId="0" xfId="0" applyNumberFormat="1" applyFont="1"/>
    <xf numFmtId="49" fontId="4" fillId="0" borderId="15" xfId="0" applyNumberFormat="1" applyFont="1" applyBorder="1" applyAlignment="1">
      <alignment horizontal="center" vertical="center"/>
    </xf>
    <xf numFmtId="164" fontId="5" fillId="0" borderId="86" xfId="0" applyNumberFormat="1" applyFont="1" applyBorder="1" applyAlignment="1">
      <alignment horizontal="center"/>
    </xf>
    <xf numFmtId="164" fontId="6" fillId="0" borderId="48" xfId="0" applyNumberFormat="1" applyFont="1" applyBorder="1" applyAlignment="1">
      <alignment horizontal="center"/>
    </xf>
    <xf numFmtId="164" fontId="5" fillId="0" borderId="48" xfId="0" applyNumberFormat="1" applyFont="1" applyBorder="1" applyAlignment="1">
      <alignment horizontal="center"/>
    </xf>
    <xf numFmtId="164" fontId="5" fillId="0" borderId="68" xfId="0" applyNumberFormat="1" applyFont="1" applyBorder="1" applyAlignment="1">
      <alignment horizontal="center"/>
    </xf>
    <xf numFmtId="164" fontId="5" fillId="0" borderId="44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0" fontId="10" fillId="0" borderId="30" xfId="0" applyFont="1" applyBorder="1" applyAlignment="1">
      <alignment horizontal="center" vertical="center" wrapText="1"/>
    </xf>
    <xf numFmtId="172" fontId="5" fillId="26" borderId="30" xfId="0" applyNumberFormat="1" applyFont="1" applyFill="1" applyBorder="1"/>
    <xf numFmtId="0" fontId="5" fillId="26" borderId="0" xfId="0" applyFont="1" applyFill="1" applyAlignment="1">
      <alignment horizontal="center" wrapText="1"/>
    </xf>
    <xf numFmtId="172" fontId="5" fillId="26" borderId="67" xfId="0" applyNumberFormat="1" applyFont="1" applyFill="1" applyBorder="1"/>
    <xf numFmtId="172" fontId="5" fillId="26" borderId="37" xfId="0" applyNumberFormat="1" applyFont="1" applyFill="1" applyBorder="1"/>
    <xf numFmtId="172" fontId="5" fillId="26" borderId="49" xfId="0" applyNumberFormat="1" applyFont="1" applyFill="1" applyBorder="1"/>
    <xf numFmtId="172" fontId="5" fillId="26" borderId="38" xfId="0" applyNumberFormat="1" applyFont="1" applyFill="1" applyBorder="1"/>
    <xf numFmtId="172" fontId="5" fillId="26" borderId="104" xfId="0" applyNumberFormat="1" applyFont="1" applyFill="1" applyBorder="1"/>
    <xf numFmtId="172" fontId="5" fillId="26" borderId="103" xfId="0" applyNumberFormat="1" applyFont="1" applyFill="1" applyBorder="1"/>
    <xf numFmtId="172" fontId="6" fillId="26" borderId="103" xfId="0" applyNumberFormat="1" applyFont="1" applyFill="1" applyBorder="1"/>
    <xf numFmtId="172" fontId="5" fillId="26" borderId="47" xfId="0" applyNumberFormat="1" applyFont="1" applyFill="1" applyBorder="1"/>
    <xf numFmtId="172" fontId="5" fillId="26" borderId="61" xfId="0" applyNumberFormat="1" applyFont="1" applyFill="1" applyBorder="1"/>
    <xf numFmtId="178" fontId="5" fillId="26" borderId="61" xfId="0" applyNumberFormat="1" applyFont="1" applyFill="1" applyBorder="1"/>
    <xf numFmtId="0" fontId="6" fillId="26" borderId="0" xfId="0" applyFont="1" applyFill="1"/>
    <xf numFmtId="175" fontId="6" fillId="26" borderId="0" xfId="0" applyNumberFormat="1" applyFont="1" applyFill="1"/>
    <xf numFmtId="173" fontId="51" fillId="26" borderId="48" xfId="0" applyNumberFormat="1" applyFont="1" applyFill="1" applyBorder="1"/>
    <xf numFmtId="173" fontId="51" fillId="0" borderId="104" xfId="0" applyNumberFormat="1" applyFont="1" applyBorder="1"/>
    <xf numFmtId="0" fontId="0" fillId="24" borderId="0" xfId="0" applyFill="1"/>
    <xf numFmtId="4" fontId="8" fillId="0" borderId="0" xfId="31" applyNumberFormat="1" applyFont="1" applyAlignment="1">
      <alignment horizontal="center"/>
    </xf>
    <xf numFmtId="44" fontId="4" fillId="0" borderId="0" xfId="37" applyFont="1"/>
    <xf numFmtId="44" fontId="4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left"/>
    </xf>
    <xf numFmtId="175" fontId="5" fillId="0" borderId="0" xfId="0" applyNumberFormat="1" applyFont="1"/>
    <xf numFmtId="44" fontId="62" fillId="0" borderId="0" xfId="37" applyFont="1"/>
    <xf numFmtId="173" fontId="57" fillId="0" borderId="76" xfId="31" applyNumberFormat="1" applyFont="1" applyFill="1" applyBorder="1" applyAlignment="1">
      <alignment horizontal="right"/>
    </xf>
    <xf numFmtId="173" fontId="4" fillId="0" borderId="48" xfId="0" applyNumberFormat="1" applyFont="1" applyBorder="1"/>
    <xf numFmtId="173" fontId="4" fillId="0" borderId="104" xfId="0" applyNumberFormat="1" applyFont="1" applyBorder="1"/>
    <xf numFmtId="173" fontId="4" fillId="0" borderId="81" xfId="0" applyNumberFormat="1" applyFont="1" applyBorder="1"/>
    <xf numFmtId="0" fontId="8" fillId="25" borderId="13" xfId="0" applyFont="1" applyFill="1" applyBorder="1" applyAlignment="1">
      <alignment horizontal="justify" vertical="top" wrapText="1"/>
    </xf>
    <xf numFmtId="44" fontId="10" fillId="0" borderId="23" xfId="37" applyFont="1" applyBorder="1"/>
    <xf numFmtId="0" fontId="5" fillId="0" borderId="33" xfId="0" applyFont="1" applyBorder="1" applyAlignment="1">
      <alignment horizontal="center"/>
    </xf>
    <xf numFmtId="0" fontId="5" fillId="0" borderId="33" xfId="0" applyFont="1" applyBorder="1" applyAlignment="1">
      <alignment horizontal="left"/>
    </xf>
    <xf numFmtId="0" fontId="5" fillId="0" borderId="35" xfId="0" applyFont="1" applyBorder="1" applyAlignment="1">
      <alignment horizontal="center"/>
    </xf>
    <xf numFmtId="0" fontId="4" fillId="0" borderId="35" xfId="0" applyFont="1" applyBorder="1"/>
    <xf numFmtId="0" fontId="6" fillId="0" borderId="35" xfId="0" applyFont="1" applyBorder="1"/>
    <xf numFmtId="0" fontId="4" fillId="0" borderId="34" xfId="0" applyFont="1" applyBorder="1"/>
    <xf numFmtId="175" fontId="11" fillId="0" borderId="33" xfId="37" applyNumberFormat="1" applyFont="1" applyBorder="1"/>
    <xf numFmtId="175" fontId="5" fillId="0" borderId="34" xfId="37" applyNumberFormat="1" applyFont="1" applyBorder="1"/>
    <xf numFmtId="175" fontId="6" fillId="0" borderId="34" xfId="37" applyNumberFormat="1" applyFont="1" applyBorder="1"/>
    <xf numFmtId="0" fontId="10" fillId="25" borderId="17" xfId="0" applyFont="1" applyFill="1" applyBorder="1" applyAlignment="1">
      <alignment horizontal="center" vertical="center" wrapText="1"/>
    </xf>
    <xf numFmtId="0" fontId="10" fillId="25" borderId="18" xfId="0" applyFont="1" applyFill="1" applyBorder="1" applyAlignment="1">
      <alignment horizontal="center" vertical="center" wrapText="1"/>
    </xf>
    <xf numFmtId="0" fontId="10" fillId="25" borderId="19" xfId="0" applyFont="1" applyFill="1" applyBorder="1" applyAlignment="1">
      <alignment horizontal="center" vertical="center" wrapText="1"/>
    </xf>
    <xf numFmtId="49" fontId="8" fillId="25" borderId="12" xfId="0" applyNumberFormat="1" applyFont="1" applyFill="1" applyBorder="1"/>
    <xf numFmtId="49" fontId="8" fillId="25" borderId="10" xfId="0" applyNumberFormat="1" applyFont="1" applyFill="1" applyBorder="1" applyAlignment="1">
      <alignment horizontal="center" vertical="center"/>
    </xf>
    <xf numFmtId="0" fontId="8" fillId="25" borderId="10" xfId="0" applyFont="1" applyFill="1" applyBorder="1" applyAlignment="1">
      <alignment vertical="center"/>
    </xf>
    <xf numFmtId="0" fontId="8" fillId="25" borderId="10" xfId="0" applyFont="1" applyFill="1" applyBorder="1" applyAlignment="1">
      <alignment vertical="center" wrapText="1"/>
    </xf>
    <xf numFmtId="49" fontId="10" fillId="25" borderId="12" xfId="0" applyNumberFormat="1" applyFont="1" applyFill="1" applyBorder="1"/>
    <xf numFmtId="49" fontId="10" fillId="25" borderId="10" xfId="0" applyNumberFormat="1" applyFont="1" applyFill="1" applyBorder="1" applyAlignment="1">
      <alignment horizontal="center" vertical="center"/>
    </xf>
    <xf numFmtId="0" fontId="10" fillId="25" borderId="10" xfId="0" applyFont="1" applyFill="1" applyBorder="1" applyAlignment="1">
      <alignment vertical="center" wrapText="1"/>
    </xf>
    <xf numFmtId="49" fontId="8" fillId="25" borderId="14" xfId="0" applyNumberFormat="1" applyFont="1" applyFill="1" applyBorder="1"/>
    <xf numFmtId="49" fontId="8" fillId="25" borderId="71" xfId="0" applyNumberFormat="1" applyFont="1" applyFill="1" applyBorder="1" applyAlignment="1">
      <alignment horizontal="center" vertical="center"/>
    </xf>
    <xf numFmtId="0" fontId="8" fillId="25" borderId="71" xfId="0" applyFont="1" applyFill="1" applyBorder="1" applyAlignment="1">
      <alignment vertical="center" wrapText="1"/>
    </xf>
    <xf numFmtId="0" fontId="8" fillId="24" borderId="0" xfId="0" applyFont="1" applyFill="1"/>
    <xf numFmtId="0" fontId="5" fillId="26" borderId="0" xfId="0" applyFont="1" applyFill="1"/>
    <xf numFmtId="0" fontId="15" fillId="0" borderId="0" xfId="0" applyFont="1" applyAlignment="1">
      <alignment horizontal="left" vertical="center" wrapText="1"/>
    </xf>
    <xf numFmtId="44" fontId="15" fillId="0" borderId="41" xfId="37" applyFont="1" applyFill="1" applyBorder="1" applyAlignment="1">
      <alignment horizontal="center" wrapText="1"/>
    </xf>
    <xf numFmtId="44" fontId="15" fillId="0" borderId="33" xfId="37" applyFont="1" applyFill="1" applyBorder="1" applyAlignment="1">
      <alignment horizontal="center" wrapText="1"/>
    </xf>
    <xf numFmtId="44" fontId="15" fillId="0" borderId="72" xfId="37" applyFont="1" applyFill="1" applyBorder="1" applyAlignment="1">
      <alignment horizontal="center" wrapText="1"/>
    </xf>
    <xf numFmtId="168" fontId="15" fillId="0" borderId="34" xfId="3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 wrapText="1"/>
    </xf>
    <xf numFmtId="44" fontId="7" fillId="0" borderId="20" xfId="37" applyFont="1" applyFill="1" applyBorder="1" applyAlignment="1">
      <alignment horizontal="center" wrapText="1"/>
    </xf>
    <xf numFmtId="44" fontId="15" fillId="0" borderId="34" xfId="37" applyFont="1" applyFill="1" applyBorder="1" applyAlignment="1">
      <alignment horizontal="center" wrapText="1"/>
    </xf>
    <xf numFmtId="44" fontId="15" fillId="0" borderId="0" xfId="37" applyFont="1" applyFill="1" applyBorder="1" applyAlignment="1">
      <alignment horizontal="center" wrapText="1"/>
    </xf>
    <xf numFmtId="44" fontId="15" fillId="0" borderId="0" xfId="37" applyFont="1" applyFill="1" applyAlignment="1">
      <alignment horizontal="center" wrapText="1"/>
    </xf>
    <xf numFmtId="168" fontId="7" fillId="0" borderId="34" xfId="31" applyNumberFormat="1" applyFont="1" applyFill="1" applyBorder="1" applyAlignment="1">
      <alignment horizontal="right"/>
    </xf>
    <xf numFmtId="44" fontId="15" fillId="0" borderId="20" xfId="37" applyFont="1" applyFill="1" applyBorder="1" applyAlignment="1">
      <alignment horizontal="center" wrapText="1"/>
    </xf>
    <xf numFmtId="44" fontId="7" fillId="0" borderId="34" xfId="37" applyFont="1" applyFill="1" applyBorder="1" applyAlignment="1">
      <alignment horizontal="center" wrapText="1"/>
    </xf>
    <xf numFmtId="44" fontId="7" fillId="0" borderId="0" xfId="37" applyFont="1" applyFill="1" applyBorder="1" applyAlignment="1">
      <alignment horizontal="center" wrapText="1"/>
    </xf>
    <xf numFmtId="4" fontId="15" fillId="0" borderId="0" xfId="31" applyNumberFormat="1" applyFont="1" applyFill="1" applyAlignment="1">
      <alignment wrapText="1"/>
    </xf>
    <xf numFmtId="44" fontId="15" fillId="0" borderId="35" xfId="37" applyFont="1" applyFill="1" applyBorder="1" applyAlignment="1">
      <alignment horizontal="center" wrapText="1"/>
    </xf>
    <xf numFmtId="0" fontId="15" fillId="0" borderId="34" xfId="0" applyFont="1" applyBorder="1" applyAlignment="1">
      <alignment horizontal="left" vertical="center" wrapText="1"/>
    </xf>
    <xf numFmtId="0" fontId="15" fillId="26" borderId="20" xfId="0" applyFont="1" applyFill="1" applyBorder="1" applyAlignment="1">
      <alignment horizontal="left" vertical="center" wrapText="1"/>
    </xf>
    <xf numFmtId="44" fontId="7" fillId="26" borderId="20" xfId="37" applyFont="1" applyFill="1" applyBorder="1" applyAlignment="1">
      <alignment horizontal="center" wrapText="1"/>
    </xf>
    <xf numFmtId="44" fontId="15" fillId="26" borderId="34" xfId="37" applyFont="1" applyFill="1" applyBorder="1" applyAlignment="1">
      <alignment horizontal="center" wrapText="1"/>
    </xf>
    <xf numFmtId="44" fontId="15" fillId="26" borderId="0" xfId="37" applyFont="1" applyFill="1" applyBorder="1" applyAlignment="1">
      <alignment horizontal="center" wrapText="1"/>
    </xf>
    <xf numFmtId="44" fontId="7" fillId="26" borderId="34" xfId="37" applyFont="1" applyFill="1" applyBorder="1" applyAlignment="1">
      <alignment horizontal="center" wrapText="1"/>
    </xf>
    <xf numFmtId="44" fontId="7" fillId="26" borderId="0" xfId="37" applyFont="1" applyFill="1" applyBorder="1" applyAlignment="1">
      <alignment horizontal="center" wrapText="1"/>
    </xf>
    <xf numFmtId="168" fontId="7" fillId="26" borderId="34" xfId="31" applyNumberFormat="1" applyFont="1" applyFill="1" applyBorder="1" applyAlignment="1">
      <alignment horizontal="right"/>
    </xf>
    <xf numFmtId="44" fontId="15" fillId="26" borderId="20" xfId="37" applyFont="1" applyFill="1" applyBorder="1" applyAlignment="1">
      <alignment horizontal="center" wrapText="1"/>
    </xf>
    <xf numFmtId="168" fontId="15" fillId="26" borderId="34" xfId="31" applyNumberFormat="1" applyFont="1" applyFill="1" applyBorder="1" applyAlignment="1">
      <alignment horizontal="right"/>
    </xf>
    <xf numFmtId="0" fontId="65" fillId="0" borderId="20" xfId="0" applyFont="1" applyBorder="1" applyAlignment="1">
      <alignment horizontal="left" vertical="center" wrapText="1"/>
    </xf>
    <xf numFmtId="0" fontId="15" fillId="0" borderId="61" xfId="0" applyFont="1" applyBorder="1" applyAlignment="1">
      <alignment horizontal="left" vertical="center" wrapText="1"/>
    </xf>
    <xf numFmtId="44" fontId="7" fillId="0" borderId="61" xfId="37" applyFont="1" applyFill="1" applyBorder="1" applyAlignment="1">
      <alignment horizontal="center" wrapText="1"/>
    </xf>
    <xf numFmtId="44" fontId="7" fillId="0" borderId="88" xfId="37" applyFont="1" applyFill="1" applyBorder="1" applyAlignment="1">
      <alignment horizontal="center" wrapText="1"/>
    </xf>
    <xf numFmtId="44" fontId="7" fillId="0" borderId="30" xfId="37" applyFont="1" applyFill="1" applyBorder="1" applyAlignment="1">
      <alignment horizontal="center" wrapText="1"/>
    </xf>
    <xf numFmtId="44" fontId="7" fillId="0" borderId="53" xfId="37" applyFont="1" applyFill="1" applyBorder="1" applyAlignment="1">
      <alignment horizontal="center" wrapText="1"/>
    </xf>
    <xf numFmtId="0" fontId="10" fillId="0" borderId="32" xfId="0" applyFont="1" applyBorder="1" applyAlignment="1">
      <alignment horizontal="center" vertical="center" wrapText="1"/>
    </xf>
    <xf numFmtId="49" fontId="65" fillId="0" borderId="0" xfId="0" applyNumberFormat="1" applyFont="1" applyAlignment="1">
      <alignment horizontal="center" vertical="center" wrapText="1"/>
    </xf>
    <xf numFmtId="44" fontId="10" fillId="0" borderId="0" xfId="37" applyFont="1" applyFill="1" applyBorder="1" applyAlignment="1">
      <alignment horizontal="center" wrapText="1"/>
    </xf>
    <xf numFmtId="0" fontId="4" fillId="0" borderId="0" xfId="50"/>
    <xf numFmtId="0" fontId="43" fillId="0" borderId="0" xfId="50" applyFont="1"/>
    <xf numFmtId="0" fontId="17" fillId="0" borderId="33" xfId="50" applyFont="1" applyBorder="1" applyAlignment="1">
      <alignment horizontal="center"/>
    </xf>
    <xf numFmtId="0" fontId="5" fillId="0" borderId="34" xfId="50" applyFont="1" applyBorder="1" applyAlignment="1">
      <alignment horizontal="center"/>
    </xf>
    <xf numFmtId="0" fontId="5" fillId="0" borderId="34" xfId="50" applyFont="1" applyBorder="1" applyAlignment="1">
      <alignment horizontal="left"/>
    </xf>
    <xf numFmtId="43" fontId="5" fillId="0" borderId="0" xfId="50" applyNumberFormat="1" applyFont="1" applyAlignment="1">
      <alignment horizontal="center" wrapText="1"/>
    </xf>
    <xf numFmtId="0" fontId="4" fillId="0" borderId="34" xfId="50" applyBorder="1" applyAlignment="1">
      <alignment horizontal="center"/>
    </xf>
    <xf numFmtId="0" fontId="4" fillId="0" borderId="34" xfId="50" applyBorder="1"/>
    <xf numFmtId="44" fontId="4" fillId="0" borderId="34" xfId="37" applyFont="1" applyBorder="1"/>
    <xf numFmtId="43" fontId="4" fillId="0" borderId="0" xfId="36" applyFont="1"/>
    <xf numFmtId="0" fontId="5" fillId="0" borderId="34" xfId="50" applyFont="1" applyBorder="1"/>
    <xf numFmtId="0" fontId="4" fillId="0" borderId="35" xfId="50" applyBorder="1" applyAlignment="1">
      <alignment horizontal="center"/>
    </xf>
    <xf numFmtId="0" fontId="4" fillId="0" borderId="35" xfId="50" applyBorder="1"/>
    <xf numFmtId="0" fontId="4" fillId="0" borderId="61" xfId="50" applyBorder="1"/>
    <xf numFmtId="0" fontId="5" fillId="0" borderId="30" xfId="50" applyFont="1" applyBorder="1" applyAlignment="1">
      <alignment horizontal="center"/>
    </xf>
    <xf numFmtId="165" fontId="4" fillId="0" borderId="0" xfId="50" applyNumberFormat="1"/>
    <xf numFmtId="43" fontId="4" fillId="0" borderId="0" xfId="50" applyNumberFormat="1"/>
    <xf numFmtId="0" fontId="17" fillId="0" borderId="41" xfId="50" applyFont="1" applyBorder="1" applyAlignment="1">
      <alignment horizontal="center"/>
    </xf>
    <xf numFmtId="0" fontId="5" fillId="0" borderId="20" xfId="50" applyFont="1" applyBorder="1" applyAlignment="1">
      <alignment horizontal="center"/>
    </xf>
    <xf numFmtId="174" fontId="4" fillId="0" borderId="0" xfId="50" applyNumberFormat="1"/>
    <xf numFmtId="0" fontId="4" fillId="0" borderId="20" xfId="50" applyBorder="1" applyAlignment="1">
      <alignment horizontal="center"/>
    </xf>
    <xf numFmtId="0" fontId="4" fillId="0" borderId="44" xfId="50" applyBorder="1" applyAlignment="1">
      <alignment horizontal="center"/>
    </xf>
    <xf numFmtId="0" fontId="5" fillId="0" borderId="35" xfId="50" applyFont="1" applyBorder="1"/>
    <xf numFmtId="4" fontId="5" fillId="0" borderId="0" xfId="50" applyNumberFormat="1" applyFont="1"/>
    <xf numFmtId="8" fontId="39" fillId="0" borderId="0" xfId="0" applyNumberFormat="1" applyFont="1"/>
    <xf numFmtId="0" fontId="7" fillId="0" borderId="3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9" fontId="7" fillId="0" borderId="46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9" fontId="4" fillId="0" borderId="48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8" fontId="4" fillId="0" borderId="0" xfId="0" applyNumberFormat="1" applyFont="1" applyAlignment="1">
      <alignment vertical="center"/>
    </xf>
    <xf numFmtId="168" fontId="7" fillId="29" borderId="79" xfId="35" applyNumberFormat="1" applyFont="1" applyFill="1" applyBorder="1" applyAlignment="1">
      <alignment horizontal="center"/>
    </xf>
    <xf numFmtId="168" fontId="7" fillId="29" borderId="69" xfId="35" applyNumberFormat="1" applyFont="1" applyFill="1" applyBorder="1" applyAlignment="1">
      <alignment horizontal="center"/>
    </xf>
    <xf numFmtId="0" fontId="7" fillId="29" borderId="68" xfId="0" applyFont="1" applyFill="1" applyBorder="1"/>
    <xf numFmtId="0" fontId="15" fillId="29" borderId="79" xfId="0" applyFont="1" applyFill="1" applyBorder="1"/>
    <xf numFmtId="0" fontId="7" fillId="29" borderId="79" xfId="0" applyFont="1" applyFill="1" applyBorder="1" applyAlignment="1">
      <alignment horizontal="center"/>
    </xf>
    <xf numFmtId="49" fontId="15" fillId="29" borderId="79" xfId="0" applyNumberFormat="1" applyFont="1" applyFill="1" applyBorder="1" applyAlignment="1">
      <alignment horizontal="center"/>
    </xf>
    <xf numFmtId="1" fontId="4" fillId="0" borderId="48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8" fontId="7" fillId="27" borderId="0" xfId="35" applyNumberFormat="1" applyFont="1" applyFill="1" applyBorder="1" applyAlignment="1">
      <alignment horizontal="center"/>
    </xf>
    <xf numFmtId="168" fontId="8" fillId="0" borderId="0" xfId="0" applyNumberFormat="1" applyFont="1"/>
    <xf numFmtId="44" fontId="8" fillId="0" borderId="0" xfId="37" applyFont="1" applyAlignment="1">
      <alignment vertical="center" wrapText="1"/>
    </xf>
    <xf numFmtId="44" fontId="8" fillId="0" borderId="0" xfId="37" applyFont="1" applyAlignment="1">
      <alignment vertical="center"/>
    </xf>
    <xf numFmtId="0" fontId="40" fillId="0" borderId="0" xfId="0" applyFont="1" applyAlignment="1">
      <alignment horizontal="center" vertical="center"/>
    </xf>
    <xf numFmtId="168" fontId="15" fillId="0" borderId="0" xfId="35" applyNumberFormat="1" applyFont="1" applyBorder="1"/>
    <xf numFmtId="168" fontId="7" fillId="0" borderId="0" xfId="35" applyNumberFormat="1" applyFont="1" applyBorder="1" applyAlignment="1">
      <alignment horizontal="center"/>
    </xf>
    <xf numFmtId="168" fontId="15" fillId="0" borderId="0" xfId="35" applyNumberFormat="1" applyFont="1" applyBorder="1" applyAlignment="1">
      <alignment vertical="center"/>
    </xf>
    <xf numFmtId="168" fontId="7" fillId="0" borderId="0" xfId="35" applyNumberFormat="1" applyFont="1" applyBorder="1"/>
    <xf numFmtId="168" fontId="7" fillId="29" borderId="0" xfId="35" applyNumberFormat="1" applyFont="1" applyFill="1" applyBorder="1" applyAlignment="1">
      <alignment horizontal="center"/>
    </xf>
    <xf numFmtId="168" fontId="15" fillId="28" borderId="0" xfId="35" applyNumberFormat="1" applyFont="1" applyFill="1" applyBorder="1"/>
    <xf numFmtId="168" fontId="7" fillId="28" borderId="0" xfId="35" applyNumberFormat="1" applyFont="1" applyFill="1" applyBorder="1" applyAlignment="1">
      <alignment horizontal="center"/>
    </xf>
    <xf numFmtId="168" fontId="15" fillId="28" borderId="0" xfId="35" applyNumberFormat="1" applyFont="1" applyFill="1" applyBorder="1" applyAlignment="1">
      <alignment horizontal="center"/>
    </xf>
    <xf numFmtId="0" fontId="15" fillId="29" borderId="7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9" fontId="15" fillId="0" borderId="0" xfId="0" applyNumberFormat="1" applyFont="1" applyAlignment="1">
      <alignment horizontal="center"/>
    </xf>
    <xf numFmtId="168" fontId="7" fillId="0" borderId="31" xfId="35" applyNumberFormat="1" applyFont="1" applyBorder="1" applyAlignment="1">
      <alignment horizontal="center"/>
    </xf>
    <xf numFmtId="44" fontId="8" fillId="0" borderId="0" xfId="37" applyFont="1" applyBorder="1"/>
    <xf numFmtId="44" fontId="15" fillId="0" borderId="37" xfId="37" applyFont="1" applyBorder="1" applyAlignment="1">
      <alignment vertical="center" wrapText="1"/>
    </xf>
    <xf numFmtId="44" fontId="15" fillId="0" borderId="104" xfId="37" applyFont="1" applyBorder="1" applyAlignment="1">
      <alignment vertical="center" wrapText="1"/>
    </xf>
    <xf numFmtId="44" fontId="15" fillId="0" borderId="105" xfId="37" applyFont="1" applyBorder="1" applyAlignment="1">
      <alignment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84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Continuous" vertical="center"/>
    </xf>
    <xf numFmtId="0" fontId="7" fillId="0" borderId="32" xfId="0" applyFont="1" applyBorder="1" applyAlignment="1">
      <alignment horizontal="centerContinuous" vertical="center"/>
    </xf>
    <xf numFmtId="0" fontId="7" fillId="0" borderId="47" xfId="0" applyFont="1" applyBorder="1" applyAlignment="1">
      <alignment horizontal="centerContinuous" vertical="center"/>
    </xf>
    <xf numFmtId="9" fontId="7" fillId="0" borderId="77" xfId="0" applyNumberFormat="1" applyFont="1" applyBorder="1" applyAlignment="1">
      <alignment horizontal="centerContinuous" vertical="center" wrapText="1"/>
    </xf>
    <xf numFmtId="9" fontId="7" fillId="0" borderId="77" xfId="0" applyNumberFormat="1" applyFont="1" applyBorder="1" applyAlignment="1">
      <alignment horizontal="center" vertical="center" wrapText="1"/>
    </xf>
    <xf numFmtId="10" fontId="7" fillId="0" borderId="62" xfId="0" applyNumberFormat="1" applyFont="1" applyBorder="1" applyAlignment="1">
      <alignment horizontal="center" vertical="center"/>
    </xf>
    <xf numFmtId="9" fontId="7" fillId="0" borderId="22" xfId="0" applyNumberFormat="1" applyFont="1" applyBorder="1" applyAlignment="1">
      <alignment vertical="center"/>
    </xf>
    <xf numFmtId="9" fontId="7" fillId="0" borderId="21" xfId="0" applyNumberFormat="1" applyFont="1" applyBorder="1" applyAlignment="1">
      <alignment horizontal="center" vertical="center" wrapText="1"/>
    </xf>
    <xf numFmtId="9" fontId="7" fillId="0" borderId="21" xfId="0" applyNumberFormat="1" applyFont="1" applyBorder="1" applyAlignment="1">
      <alignment horizontal="centerContinuous" vertical="center" wrapText="1"/>
    </xf>
    <xf numFmtId="0" fontId="8" fillId="25" borderId="13" xfId="0" applyFont="1" applyFill="1" applyBorder="1" applyAlignment="1">
      <alignment horizontal="justify" vertical="center" wrapText="1"/>
    </xf>
    <xf numFmtId="10" fontId="7" fillId="31" borderId="71" xfId="0" applyNumberFormat="1" applyFont="1" applyFill="1" applyBorder="1" applyAlignment="1">
      <alignment horizontal="center" vertical="center" wrapText="1"/>
    </xf>
    <xf numFmtId="172" fontId="5" fillId="31" borderId="30" xfId="0" applyNumberFormat="1" applyFont="1" applyFill="1" applyBorder="1"/>
    <xf numFmtId="44" fontId="6" fillId="26" borderId="0" xfId="37" applyFont="1" applyFill="1"/>
    <xf numFmtId="44" fontId="0" fillId="0" borderId="10" xfId="37" applyFont="1" applyFill="1" applyBorder="1" applyAlignment="1">
      <alignment horizontal="center"/>
    </xf>
    <xf numFmtId="44" fontId="5" fillId="0" borderId="10" xfId="0" applyNumberFormat="1" applyFont="1" applyBorder="1" applyAlignment="1">
      <alignment horizontal="center"/>
    </xf>
    <xf numFmtId="44" fontId="5" fillId="27" borderId="10" xfId="0" applyNumberFormat="1" applyFont="1" applyFill="1" applyBorder="1"/>
    <xf numFmtId="44" fontId="5" fillId="0" borderId="10" xfId="37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0" fontId="7" fillId="0" borderId="23" xfId="0" applyFont="1" applyBorder="1" applyAlignment="1">
      <alignment horizontal="left" vertical="center" wrapText="1"/>
    </xf>
    <xf numFmtId="0" fontId="40" fillId="33" borderId="41" xfId="0" applyFont="1" applyFill="1" applyBorder="1" applyAlignment="1">
      <alignment horizontal="centerContinuous" vertical="center"/>
    </xf>
    <xf numFmtId="0" fontId="40" fillId="33" borderId="72" xfId="0" applyFont="1" applyFill="1" applyBorder="1" applyAlignment="1">
      <alignment horizontal="centerContinuous" vertical="center"/>
    </xf>
    <xf numFmtId="0" fontId="40" fillId="33" borderId="75" xfId="0" applyFont="1" applyFill="1" applyBorder="1" applyAlignment="1">
      <alignment horizontal="centerContinuous" vertical="center"/>
    </xf>
    <xf numFmtId="10" fontId="10" fillId="33" borderId="30" xfId="0" applyNumberFormat="1" applyFont="1" applyFill="1" applyBorder="1" applyAlignment="1">
      <alignment horizontal="centerContinuous" vertical="center"/>
    </xf>
    <xf numFmtId="9" fontId="10" fillId="33" borderId="30" xfId="0" applyNumberFormat="1" applyFont="1" applyFill="1" applyBorder="1" applyAlignment="1">
      <alignment horizontal="centerContinuous" vertical="center"/>
    </xf>
    <xf numFmtId="9" fontId="40" fillId="33" borderId="30" xfId="0" applyNumberFormat="1" applyFont="1" applyFill="1" applyBorder="1" applyAlignment="1">
      <alignment horizontal="centerContinuous" vertical="center"/>
    </xf>
    <xf numFmtId="10" fontId="40" fillId="33" borderId="34" xfId="0" applyNumberFormat="1" applyFont="1" applyFill="1" applyBorder="1" applyAlignment="1">
      <alignment horizontal="center" vertical="center"/>
    </xf>
    <xf numFmtId="9" fontId="40" fillId="33" borderId="34" xfId="0" applyNumberFormat="1" applyFont="1" applyFill="1" applyBorder="1" applyAlignment="1">
      <alignment horizontal="center" vertical="center"/>
    </xf>
    <xf numFmtId="9" fontId="10" fillId="33" borderId="34" xfId="0" applyNumberFormat="1" applyFont="1" applyFill="1" applyBorder="1" applyAlignment="1">
      <alignment horizontal="center" vertical="center"/>
    </xf>
    <xf numFmtId="9" fontId="10" fillId="33" borderId="23" xfId="0" applyNumberFormat="1" applyFont="1" applyFill="1" applyBorder="1" applyAlignment="1">
      <alignment horizontal="center" vertical="center"/>
    </xf>
    <xf numFmtId="10" fontId="40" fillId="33" borderId="35" xfId="0" applyNumberFormat="1" applyFont="1" applyFill="1" applyBorder="1" applyAlignment="1">
      <alignment horizontal="center" vertical="center"/>
    </xf>
    <xf numFmtId="10" fontId="40" fillId="33" borderId="35" xfId="0" applyNumberFormat="1" applyFont="1" applyFill="1" applyBorder="1" applyAlignment="1">
      <alignment horizontal="center" vertical="center" wrapText="1"/>
    </xf>
    <xf numFmtId="10" fontId="10" fillId="33" borderId="35" xfId="0" applyNumberFormat="1" applyFont="1" applyFill="1" applyBorder="1" applyAlignment="1">
      <alignment horizontal="center" vertical="center" wrapText="1"/>
    </xf>
    <xf numFmtId="0" fontId="10" fillId="33" borderId="35" xfId="0" applyFont="1" applyFill="1" applyBorder="1" applyAlignment="1">
      <alignment horizontal="center" vertical="center"/>
    </xf>
    <xf numFmtId="0" fontId="15" fillId="33" borderId="79" xfId="0" applyFont="1" applyFill="1" applyBorder="1" applyAlignment="1">
      <alignment horizontal="center"/>
    </xf>
    <xf numFmtId="0" fontId="7" fillId="33" borderId="68" xfId="0" applyFont="1" applyFill="1" applyBorder="1"/>
    <xf numFmtId="0" fontId="7" fillId="33" borderId="79" xfId="0" applyFont="1" applyFill="1" applyBorder="1"/>
    <xf numFmtId="0" fontId="7" fillId="33" borderId="79" xfId="0" applyFont="1" applyFill="1" applyBorder="1" applyAlignment="1">
      <alignment horizontal="center"/>
    </xf>
    <xf numFmtId="49" fontId="7" fillId="33" borderId="79" xfId="0" applyNumberFormat="1" applyFont="1" applyFill="1" applyBorder="1" applyAlignment="1">
      <alignment horizontal="center"/>
    </xf>
    <xf numFmtId="168" fontId="7" fillId="33" borderId="79" xfId="35" applyNumberFormat="1" applyFont="1" applyFill="1" applyBorder="1" applyAlignment="1">
      <alignment horizontal="center"/>
    </xf>
    <xf numFmtId="168" fontId="7" fillId="33" borderId="69" xfId="35" applyNumberFormat="1" applyFont="1" applyFill="1" applyBorder="1" applyAlignment="1">
      <alignment horizontal="center"/>
    </xf>
    <xf numFmtId="0" fontId="7" fillId="33" borderId="61" xfId="0" applyFont="1" applyFill="1" applyBorder="1" applyAlignment="1">
      <alignment horizontal="center"/>
    </xf>
    <xf numFmtId="0" fontId="7" fillId="33" borderId="61" xfId="0" applyFont="1" applyFill="1" applyBorder="1"/>
    <xf numFmtId="0" fontId="7" fillId="33" borderId="30" xfId="0" applyFont="1" applyFill="1" applyBorder="1"/>
    <xf numFmtId="0" fontId="7" fillId="33" borderId="30" xfId="0" applyFont="1" applyFill="1" applyBorder="1" applyAlignment="1">
      <alignment horizontal="center"/>
    </xf>
    <xf numFmtId="49" fontId="7" fillId="33" borderId="30" xfId="0" applyNumberFormat="1" applyFont="1" applyFill="1" applyBorder="1" applyAlignment="1">
      <alignment horizontal="center"/>
    </xf>
    <xf numFmtId="168" fontId="7" fillId="33" borderId="30" xfId="35" applyNumberFormat="1" applyFont="1" applyFill="1" applyBorder="1" applyAlignment="1">
      <alignment horizontal="center"/>
    </xf>
    <xf numFmtId="168" fontId="7" fillId="33" borderId="47" xfId="35" applyNumberFormat="1" applyFont="1" applyFill="1" applyBorder="1" applyAlignment="1">
      <alignment horizontal="center"/>
    </xf>
    <xf numFmtId="173" fontId="10" fillId="0" borderId="0" xfId="37" applyNumberFormat="1" applyFont="1"/>
    <xf numFmtId="173" fontId="10" fillId="0" borderId="0" xfId="31" applyNumberFormat="1" applyFont="1"/>
    <xf numFmtId="172" fontId="6" fillId="0" borderId="105" xfId="0" applyNumberFormat="1" applyFont="1" applyBorder="1"/>
    <xf numFmtId="175" fontId="10" fillId="0" borderId="12" xfId="37" applyNumberFormat="1" applyFont="1" applyFill="1" applyBorder="1" applyAlignment="1">
      <alignment vertical="center" wrapText="1"/>
    </xf>
    <xf numFmtId="44" fontId="61" fillId="0" borderId="0" xfId="37" applyFont="1"/>
    <xf numFmtId="0" fontId="66" fillId="0" borderId="0" xfId="0" applyFont="1"/>
    <xf numFmtId="4" fontId="61" fillId="0" borderId="0" xfId="0" applyNumberFormat="1" applyFont="1"/>
    <xf numFmtId="49" fontId="61" fillId="0" borderId="0" xfId="0" applyNumberFormat="1" applyFont="1" applyAlignment="1">
      <alignment horizontal="center"/>
    </xf>
    <xf numFmtId="173" fontId="5" fillId="26" borderId="30" xfId="0" applyNumberFormat="1" applyFont="1" applyFill="1" applyBorder="1"/>
    <xf numFmtId="168" fontId="66" fillId="0" borderId="0" xfId="0" applyNumberFormat="1" applyFont="1"/>
    <xf numFmtId="44" fontId="10" fillId="0" borderId="30" xfId="37" applyFont="1" applyFill="1" applyBorder="1" applyAlignment="1">
      <alignment horizontal="center" wrapText="1"/>
    </xf>
    <xf numFmtId="173" fontId="5" fillId="0" borderId="30" xfId="0" applyNumberFormat="1" applyFont="1" applyBorder="1"/>
    <xf numFmtId="0" fontId="8" fillId="0" borderId="0" xfId="52" applyFont="1" applyAlignment="1">
      <alignment horizontal="right"/>
    </xf>
    <xf numFmtId="0" fontId="5" fillId="0" borderId="0" xfId="52" applyFont="1"/>
    <xf numFmtId="0" fontId="4" fillId="0" borderId="0" xfId="52"/>
    <xf numFmtId="44" fontId="8" fillId="0" borderId="0" xfId="37" applyFont="1" applyFill="1"/>
    <xf numFmtId="44" fontId="4" fillId="0" borderId="0" xfId="37" applyFill="1"/>
    <xf numFmtId="0" fontId="4" fillId="0" borderId="0" xfId="52" applyAlignment="1">
      <alignment horizontal="center"/>
    </xf>
    <xf numFmtId="0" fontId="7" fillId="0" borderId="0" xfId="52" applyFont="1" applyAlignment="1">
      <alignment horizontal="center"/>
    </xf>
    <xf numFmtId="0" fontId="8" fillId="0" borderId="0" xfId="52" applyFont="1"/>
    <xf numFmtId="0" fontId="7" fillId="0" borderId="0" xfId="52" applyFont="1" applyAlignment="1">
      <alignment horizontal="center" vertical="center"/>
    </xf>
    <xf numFmtId="0" fontId="5" fillId="0" borderId="0" xfId="52" applyFont="1" applyAlignment="1">
      <alignment horizontal="center"/>
    </xf>
    <xf numFmtId="0" fontId="7" fillId="0" borderId="0" xfId="52" applyFont="1"/>
    <xf numFmtId="14" fontId="10" fillId="0" borderId="0" xfId="52" applyNumberFormat="1" applyFont="1" applyAlignment="1">
      <alignment horizontal="center" vertical="center" wrapText="1"/>
    </xf>
    <xf numFmtId="0" fontId="7" fillId="0" borderId="31" xfId="52" applyFont="1" applyBorder="1" applyAlignment="1">
      <alignment horizontal="left" vertical="center" wrapText="1"/>
    </xf>
    <xf numFmtId="0" fontId="7" fillId="33" borderId="30" xfId="52" applyFont="1" applyFill="1" applyBorder="1" applyAlignment="1">
      <alignment horizontal="center" vertical="center" wrapText="1"/>
    </xf>
    <xf numFmtId="0" fontId="7" fillId="33" borderId="30" xfId="52" applyFont="1" applyFill="1" applyBorder="1" applyAlignment="1">
      <alignment horizontal="center" vertical="center"/>
    </xf>
    <xf numFmtId="0" fontId="8" fillId="0" borderId="0" xfId="52" applyFont="1" applyAlignment="1">
      <alignment horizontal="right" vertical="center"/>
    </xf>
    <xf numFmtId="0" fontId="10" fillId="33" borderId="30" xfId="52" applyFont="1" applyFill="1" applyBorder="1" applyAlignment="1">
      <alignment horizontal="left" vertical="center" wrapText="1"/>
    </xf>
    <xf numFmtId="0" fontId="10" fillId="33" borderId="30" xfId="52" applyFont="1" applyFill="1" applyBorder="1" applyAlignment="1">
      <alignment horizontal="center" vertical="center" wrapText="1"/>
    </xf>
    <xf numFmtId="0" fontId="10" fillId="0" borderId="0" xfId="52" applyFont="1" applyAlignment="1">
      <alignment horizontal="left" vertical="center" wrapText="1"/>
    </xf>
    <xf numFmtId="0" fontId="61" fillId="0" borderId="0" xfId="52" applyFont="1" applyAlignment="1">
      <alignment horizontal="right" vertical="center"/>
    </xf>
    <xf numFmtId="0" fontId="8" fillId="0" borderId="34" xfId="52" applyFont="1" applyBorder="1" applyAlignment="1">
      <alignment vertical="center"/>
    </xf>
    <xf numFmtId="0" fontId="8" fillId="0" borderId="34" xfId="52" applyFont="1" applyBorder="1" applyAlignment="1">
      <alignment vertical="center" wrapText="1"/>
    </xf>
    <xf numFmtId="44" fontId="8" fillId="0" borderId="37" xfId="37" applyFont="1" applyFill="1" applyBorder="1" applyAlignment="1">
      <alignment horizontal="center" vertical="center"/>
    </xf>
    <xf numFmtId="44" fontId="62" fillId="0" borderId="0" xfId="37" applyFont="1" applyFill="1" applyBorder="1" applyAlignment="1">
      <alignment horizontal="center" vertical="center"/>
    </xf>
    <xf numFmtId="44" fontId="8" fillId="0" borderId="104" xfId="37" applyFont="1" applyFill="1" applyBorder="1" applyAlignment="1">
      <alignment horizontal="center" vertical="center"/>
    </xf>
    <xf numFmtId="44" fontId="4" fillId="0" borderId="0" xfId="52" applyNumberFormat="1"/>
    <xf numFmtId="0" fontId="8" fillId="0" borderId="104" xfId="52" applyFont="1" applyBorder="1" applyAlignment="1">
      <alignment vertical="center"/>
    </xf>
    <xf numFmtId="0" fontId="8" fillId="0" borderId="104" xfId="52" applyFont="1" applyBorder="1" applyAlignment="1">
      <alignment vertical="center" wrapText="1"/>
    </xf>
    <xf numFmtId="44" fontId="8" fillId="0" borderId="0" xfId="37" applyFont="1" applyFill="1" applyBorder="1" applyAlignment="1">
      <alignment horizontal="center" vertical="center"/>
    </xf>
    <xf numFmtId="0" fontId="8" fillId="0" borderId="37" xfId="52" applyFont="1" applyBorder="1" applyAlignment="1">
      <alignment vertical="center"/>
    </xf>
    <xf numFmtId="0" fontId="8" fillId="0" borderId="37" xfId="52" applyFont="1" applyBorder="1" applyAlignment="1">
      <alignment vertical="center" wrapText="1"/>
    </xf>
    <xf numFmtId="0" fontId="8" fillId="0" borderId="37" xfId="52" applyFont="1" applyBorder="1" applyAlignment="1">
      <alignment horizontal="center" vertical="center"/>
    </xf>
    <xf numFmtId="0" fontId="8" fillId="0" borderId="37" xfId="52" applyFont="1" applyBorder="1" applyAlignment="1">
      <alignment horizontal="justify" vertical="center" wrapText="1"/>
    </xf>
    <xf numFmtId="0" fontId="8" fillId="0" borderId="104" xfId="52" applyFont="1" applyBorder="1" applyAlignment="1">
      <alignment horizontal="center" vertical="center"/>
    </xf>
    <xf numFmtId="44" fontId="8" fillId="34" borderId="37" xfId="37" applyFont="1" applyFill="1" applyBorder="1" applyAlignment="1">
      <alignment horizontal="center" vertical="center"/>
    </xf>
    <xf numFmtId="0" fontId="8" fillId="0" borderId="104" xfId="52" applyFont="1" applyBorder="1"/>
    <xf numFmtId="44" fontId="8" fillId="0" borderId="0" xfId="37" applyFont="1" applyFill="1" applyBorder="1" applyAlignment="1">
      <alignment horizontal="center"/>
    </xf>
    <xf numFmtId="44" fontId="8" fillId="0" borderId="34" xfId="37" applyFont="1" applyFill="1" applyBorder="1" applyAlignment="1">
      <alignment horizontal="center"/>
    </xf>
    <xf numFmtId="0" fontId="8" fillId="0" borderId="37" xfId="52" quotePrefix="1" applyFont="1" applyBorder="1" applyAlignment="1">
      <alignment vertical="center"/>
    </xf>
    <xf numFmtId="44" fontId="4" fillId="0" borderId="0" xfId="52" applyNumberFormat="1" applyAlignment="1">
      <alignment vertical="center"/>
    </xf>
    <xf numFmtId="0" fontId="4" fillId="0" borderId="0" xfId="52" applyAlignment="1">
      <alignment vertical="center"/>
    </xf>
    <xf numFmtId="44" fontId="4" fillId="0" borderId="0" xfId="37" applyAlignment="1">
      <alignment vertical="center"/>
    </xf>
    <xf numFmtId="0" fontId="4" fillId="0" borderId="0" xfId="52" applyAlignment="1">
      <alignment horizontal="center" vertical="center"/>
    </xf>
    <xf numFmtId="0" fontId="8" fillId="34" borderId="79" xfId="52" quotePrefix="1" applyFont="1" applyFill="1" applyBorder="1" applyAlignment="1">
      <alignment vertical="center"/>
    </xf>
    <xf numFmtId="0" fontId="8" fillId="34" borderId="79" xfId="52" applyFont="1" applyFill="1" applyBorder="1" applyAlignment="1">
      <alignment vertical="center" wrapText="1"/>
    </xf>
    <xf numFmtId="0" fontId="8" fillId="0" borderId="35" xfId="52" quotePrefix="1" applyFont="1" applyBorder="1" applyAlignment="1">
      <alignment horizontal="left" vertical="center"/>
    </xf>
    <xf numFmtId="0" fontId="8" fillId="0" borderId="35" xfId="52" applyFont="1" applyBorder="1" applyAlignment="1">
      <alignment vertical="center" wrapText="1"/>
    </xf>
    <xf numFmtId="44" fontId="8" fillId="0" borderId="34" xfId="37" applyFont="1" applyFill="1" applyBorder="1" applyAlignment="1">
      <alignment horizontal="center" vertical="center"/>
    </xf>
    <xf numFmtId="0" fontId="8" fillId="0" borderId="30" xfId="52" applyFont="1" applyBorder="1"/>
    <xf numFmtId="0" fontId="10" fillId="0" borderId="30" xfId="52" applyFont="1" applyBorder="1" applyAlignment="1">
      <alignment vertical="center" wrapText="1"/>
    </xf>
    <xf numFmtId="44" fontId="10" fillId="0" borderId="30" xfId="37" applyFont="1" applyFill="1" applyBorder="1" applyAlignment="1">
      <alignment vertical="center"/>
    </xf>
    <xf numFmtId="44" fontId="10" fillId="0" borderId="0" xfId="37" applyFont="1" applyFill="1" applyBorder="1" applyAlignment="1">
      <alignment vertical="center"/>
    </xf>
    <xf numFmtId="0" fontId="8" fillId="0" borderId="0" xfId="52" applyFont="1" applyAlignment="1">
      <alignment vertical="center" wrapText="1"/>
    </xf>
    <xf numFmtId="44" fontId="8" fillId="0" borderId="0" xfId="37" applyFont="1" applyFill="1" applyBorder="1"/>
    <xf numFmtId="0" fontId="10" fillId="0" borderId="0" xfId="52" applyFont="1" applyAlignment="1">
      <alignment horizontal="center"/>
    </xf>
    <xf numFmtId="0" fontId="8" fillId="0" borderId="0" xfId="52" applyFont="1" applyAlignment="1">
      <alignment horizontal="center"/>
    </xf>
    <xf numFmtId="44" fontId="8" fillId="0" borderId="0" xfId="54" applyFont="1" applyBorder="1"/>
    <xf numFmtId="44" fontId="8" fillId="0" borderId="0" xfId="54" applyFont="1" applyFill="1" applyBorder="1"/>
    <xf numFmtId="0" fontId="10" fillId="0" borderId="0" xfId="52" applyFont="1" applyAlignment="1">
      <alignment horizontal="left"/>
    </xf>
    <xf numFmtId="8" fontId="4" fillId="0" borderId="0" xfId="52" applyNumberFormat="1"/>
    <xf numFmtId="173" fontId="10" fillId="0" borderId="0" xfId="31" applyNumberFormat="1" applyFont="1" applyAlignment="1">
      <alignment horizontal="right"/>
    </xf>
    <xf numFmtId="173" fontId="10" fillId="32" borderId="0" xfId="37" applyNumberFormat="1" applyFont="1" applyFill="1"/>
    <xf numFmtId="173" fontId="8" fillId="0" borderId="0" xfId="31" applyNumberFormat="1" applyFont="1" applyAlignment="1">
      <alignment horizontal="left"/>
    </xf>
    <xf numFmtId="0" fontId="8" fillId="0" borderId="20" xfId="0" applyFont="1" applyBorder="1" applyAlignment="1">
      <alignment horizontal="left"/>
    </xf>
    <xf numFmtId="44" fontId="4" fillId="0" borderId="0" xfId="37" applyAlignment="1">
      <alignment horizontal="right"/>
    </xf>
    <xf numFmtId="179" fontId="4" fillId="0" borderId="0" xfId="50" applyNumberFormat="1"/>
    <xf numFmtId="0" fontId="7" fillId="0" borderId="86" xfId="0" applyFont="1" applyBorder="1" applyAlignment="1">
      <alignment horizontal="centerContinuous" vertical="center"/>
    </xf>
    <xf numFmtId="0" fontId="7" fillId="0" borderId="83" xfId="0" applyFont="1" applyBorder="1" applyAlignment="1">
      <alignment horizontal="centerContinuous" vertical="center"/>
    </xf>
    <xf numFmtId="0" fontId="7" fillId="0" borderId="87" xfId="0" applyFont="1" applyBorder="1" applyAlignment="1">
      <alignment horizontal="centerContinuous" vertical="center"/>
    </xf>
    <xf numFmtId="0" fontId="7" fillId="26" borderId="83" xfId="0" applyFont="1" applyFill="1" applyBorder="1" applyAlignment="1">
      <alignment horizontal="centerContinuous" vertical="center" wrapText="1"/>
    </xf>
    <xf numFmtId="0" fontId="7" fillId="0" borderId="48" xfId="0" applyFont="1" applyBorder="1" applyAlignment="1">
      <alignment horizontal="centerContinuous"/>
    </xf>
    <xf numFmtId="0" fontId="7" fillId="0" borderId="81" xfId="0" applyFont="1" applyBorder="1" applyAlignment="1">
      <alignment horizontal="centerContinuous"/>
    </xf>
    <xf numFmtId="0" fontId="7" fillId="0" borderId="36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Continuous" wrapText="1"/>
    </xf>
    <xf numFmtId="0" fontId="0" fillId="24" borderId="0" xfId="0" applyFill="1" applyAlignment="1">
      <alignment vertical="center"/>
    </xf>
    <xf numFmtId="49" fontId="10" fillId="25" borderId="12" xfId="0" applyNumberFormat="1" applyFont="1" applyFill="1" applyBorder="1" applyAlignment="1">
      <alignment horizontal="center" vertical="center"/>
    </xf>
    <xf numFmtId="0" fontId="10" fillId="25" borderId="10" xfId="0" applyFont="1" applyFill="1" applyBorder="1" applyAlignment="1">
      <alignment vertical="center"/>
    </xf>
    <xf numFmtId="0" fontId="10" fillId="25" borderId="13" xfId="0" applyFont="1" applyFill="1" applyBorder="1" applyAlignment="1">
      <alignment vertical="center"/>
    </xf>
    <xf numFmtId="49" fontId="10" fillId="25" borderId="10" xfId="0" applyNumberFormat="1" applyFont="1" applyFill="1" applyBorder="1" applyAlignment="1">
      <alignment vertical="center"/>
    </xf>
    <xf numFmtId="49" fontId="10" fillId="25" borderId="12" xfId="0" applyNumberFormat="1" applyFont="1" applyFill="1" applyBorder="1" applyAlignment="1">
      <alignment vertical="center"/>
    </xf>
    <xf numFmtId="0" fontId="10" fillId="25" borderId="13" xfId="0" applyFont="1" applyFill="1" applyBorder="1" applyAlignment="1">
      <alignment horizontal="justify" vertical="center" wrapText="1"/>
    </xf>
    <xf numFmtId="0" fontId="8" fillId="25" borderId="13" xfId="0" applyFont="1" applyFill="1" applyBorder="1" applyAlignment="1">
      <alignment vertical="center"/>
    </xf>
    <xf numFmtId="0" fontId="8" fillId="25" borderId="13" xfId="0" applyFont="1" applyFill="1" applyBorder="1" applyAlignment="1">
      <alignment horizontal="left" vertical="center" wrapText="1"/>
    </xf>
    <xf numFmtId="168" fontId="15" fillId="0" borderId="0" xfId="35" applyNumberFormat="1" applyFont="1" applyFill="1" applyBorder="1"/>
    <xf numFmtId="168" fontId="7" fillId="0" borderId="0" xfId="35" applyNumberFormat="1" applyFont="1" applyFill="1" applyBorder="1" applyAlignment="1">
      <alignment horizontal="center"/>
    </xf>
    <xf numFmtId="44" fontId="62" fillId="0" borderId="0" xfId="37" applyFont="1" applyFill="1"/>
    <xf numFmtId="0" fontId="8" fillId="0" borderId="16" xfId="0" applyFont="1" applyBorder="1" applyAlignment="1">
      <alignment vertical="center" wrapText="1"/>
    </xf>
    <xf numFmtId="0" fontId="8" fillId="0" borderId="110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20" fillId="0" borderId="0" xfId="0" applyFont="1"/>
    <xf numFmtId="0" fontId="15" fillId="26" borderId="34" xfId="0" applyFont="1" applyFill="1" applyBorder="1" applyAlignment="1">
      <alignment horizontal="left" vertical="center" wrapText="1"/>
    </xf>
    <xf numFmtId="49" fontId="65" fillId="26" borderId="34" xfId="0" applyNumberFormat="1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49" fontId="65" fillId="0" borderId="33" xfId="0" applyNumberFormat="1" applyFont="1" applyBorder="1" applyAlignment="1">
      <alignment horizontal="center" vertical="center" wrapText="1"/>
    </xf>
    <xf numFmtId="49" fontId="65" fillId="0" borderId="34" xfId="0" applyNumberFormat="1" applyFont="1" applyBorder="1" applyAlignment="1">
      <alignment horizontal="center" vertical="center" wrapText="1"/>
    </xf>
    <xf numFmtId="49" fontId="65" fillId="0" borderId="34" xfId="0" applyNumberFormat="1" applyFont="1" applyBorder="1" applyAlignment="1">
      <alignment horizontal="left" vertical="center" wrapText="1"/>
    </xf>
    <xf numFmtId="49" fontId="65" fillId="26" borderId="34" xfId="0" applyNumberFormat="1" applyFont="1" applyFill="1" applyBorder="1" applyAlignment="1">
      <alignment horizontal="left" vertical="center" wrapText="1"/>
    </xf>
    <xf numFmtId="49" fontId="65" fillId="0" borderId="30" xfId="0" applyNumberFormat="1" applyFont="1" applyBorder="1" applyAlignment="1">
      <alignment horizontal="center" vertical="center" wrapText="1"/>
    </xf>
    <xf numFmtId="0" fontId="47" fillId="0" borderId="0" xfId="0" applyFont="1"/>
    <xf numFmtId="0" fontId="41" fillId="0" borderId="0" xfId="0" applyFont="1" applyAlignment="1">
      <alignment horizontal="centerContinuous"/>
    </xf>
    <xf numFmtId="0" fontId="47" fillId="0" borderId="0" xfId="0" applyFont="1" applyAlignment="1">
      <alignment horizontal="centerContinuous"/>
    </xf>
    <xf numFmtId="44" fontId="41" fillId="0" borderId="0" xfId="37" applyFont="1" applyAlignment="1">
      <alignment horizontal="centerContinuous"/>
    </xf>
    <xf numFmtId="0" fontId="42" fillId="0" borderId="41" xfId="0" applyFont="1" applyBorder="1" applyAlignment="1">
      <alignment horizontal="centerContinuous"/>
    </xf>
    <xf numFmtId="0" fontId="42" fillId="0" borderId="72" xfId="0" applyFont="1" applyBorder="1" applyAlignment="1">
      <alignment horizontal="centerContinuous"/>
    </xf>
    <xf numFmtId="0" fontId="42" fillId="0" borderId="75" xfId="0" applyFont="1" applyBorder="1" applyAlignment="1">
      <alignment horizontal="centerContinuous"/>
    </xf>
    <xf numFmtId="0" fontId="44" fillId="0" borderId="44" xfId="0" applyFont="1" applyBorder="1" applyAlignment="1">
      <alignment horizontal="centerContinuous"/>
    </xf>
    <xf numFmtId="0" fontId="44" fillId="0" borderId="31" xfId="0" applyFont="1" applyBorder="1" applyAlignment="1">
      <alignment horizontal="centerContinuous"/>
    </xf>
    <xf numFmtId="0" fontId="44" fillId="0" borderId="76" xfId="0" applyFont="1" applyBorder="1" applyAlignment="1">
      <alignment horizontal="centerContinuous"/>
    </xf>
    <xf numFmtId="0" fontId="48" fillId="0" borderId="0" xfId="0" applyFont="1" applyAlignment="1">
      <alignment horizontal="centerContinuous"/>
    </xf>
    <xf numFmtId="49" fontId="48" fillId="0" borderId="0" xfId="0" applyNumberFormat="1" applyFont="1" applyAlignment="1">
      <alignment horizontal="centerContinuous"/>
    </xf>
    <xf numFmtId="0" fontId="40" fillId="33" borderId="33" xfId="0" applyFont="1" applyFill="1" applyBorder="1" applyAlignment="1">
      <alignment horizontal="center" vertical="center" wrapText="1"/>
    </xf>
    <xf numFmtId="0" fontId="4" fillId="33" borderId="34" xfId="0" applyFont="1" applyFill="1" applyBorder="1" applyAlignment="1">
      <alignment horizontal="center" vertical="center" wrapText="1"/>
    </xf>
    <xf numFmtId="0" fontId="4" fillId="33" borderId="35" xfId="0" applyFont="1" applyFill="1" applyBorder="1" applyAlignment="1">
      <alignment horizontal="center" vertical="center" wrapText="1"/>
    </xf>
    <xf numFmtId="172" fontId="6" fillId="0" borderId="38" xfId="0" applyNumberFormat="1" applyFont="1" applyBorder="1"/>
    <xf numFmtId="172" fontId="6" fillId="0" borderId="104" xfId="0" applyNumberFormat="1" applyFont="1" applyBorder="1"/>
    <xf numFmtId="172" fontId="6" fillId="0" borderId="36" xfId="0" applyNumberFormat="1" applyFont="1" applyBorder="1"/>
    <xf numFmtId="172" fontId="5" fillId="0" borderId="38" xfId="0" applyNumberFormat="1" applyFont="1" applyBorder="1"/>
    <xf numFmtId="172" fontId="5" fillId="0" borderId="36" xfId="0" applyNumberFormat="1" applyFont="1" applyBorder="1"/>
    <xf numFmtId="172" fontId="5" fillId="0" borderId="104" xfId="0" applyNumberFormat="1" applyFont="1" applyBorder="1"/>
    <xf numFmtId="172" fontId="4" fillId="0" borderId="38" xfId="0" applyNumberFormat="1" applyFont="1" applyBorder="1"/>
    <xf numFmtId="172" fontId="4" fillId="0" borderId="104" xfId="0" applyNumberFormat="1" applyFont="1" applyBorder="1"/>
    <xf numFmtId="172" fontId="5" fillId="0" borderId="48" xfId="0" applyNumberFormat="1" applyFont="1" applyBorder="1"/>
    <xf numFmtId="172" fontId="4" fillId="0" borderId="48" xfId="0" applyNumberFormat="1" applyFont="1" applyBorder="1"/>
    <xf numFmtId="172" fontId="51" fillId="0" borderId="48" xfId="0" applyNumberFormat="1" applyFont="1" applyBorder="1"/>
    <xf numFmtId="172" fontId="6" fillId="0" borderId="0" xfId="0" applyNumberFormat="1" applyFont="1"/>
    <xf numFmtId="172" fontId="6" fillId="0" borderId="70" xfId="0" applyNumberFormat="1" applyFont="1" applyBorder="1"/>
    <xf numFmtId="0" fontId="7" fillId="0" borderId="63" xfId="0" applyFont="1" applyBorder="1" applyAlignment="1">
      <alignment horizontal="centerContinuous"/>
    </xf>
    <xf numFmtId="44" fontId="5" fillId="0" borderId="0" xfId="0" applyNumberFormat="1" applyFont="1"/>
    <xf numFmtId="0" fontId="5" fillId="0" borderId="74" xfId="0" applyFont="1" applyBorder="1"/>
    <xf numFmtId="172" fontId="51" fillId="32" borderId="48" xfId="0" applyNumberFormat="1" applyFont="1" applyFill="1" applyBorder="1"/>
    <xf numFmtId="0" fontId="7" fillId="0" borderId="68" xfId="0" applyFont="1" applyBorder="1" applyAlignment="1">
      <alignment horizontal="center" vertical="center" wrapText="1"/>
    </xf>
    <xf numFmtId="172" fontId="5" fillId="0" borderId="50" xfId="0" applyNumberFormat="1" applyFont="1" applyBorder="1"/>
    <xf numFmtId="172" fontId="6" fillId="0" borderId="48" xfId="0" applyNumberFormat="1" applyFont="1" applyBorder="1"/>
    <xf numFmtId="172" fontId="6" fillId="0" borderId="84" xfId="0" applyNumberFormat="1" applyFont="1" applyBorder="1"/>
    <xf numFmtId="172" fontId="5" fillId="0" borderId="61" xfId="0" applyNumberFormat="1" applyFont="1" applyBorder="1"/>
    <xf numFmtId="168" fontId="15" fillId="0" borderId="34" xfId="35" applyNumberFormat="1" applyFont="1" applyFill="1" applyBorder="1"/>
    <xf numFmtId="44" fontId="8" fillId="0" borderId="0" xfId="37" applyFont="1" applyFill="1" applyAlignment="1">
      <alignment vertical="center" wrapText="1"/>
    </xf>
    <xf numFmtId="168" fontId="15" fillId="0" borderId="34" xfId="35" applyNumberFormat="1" applyFont="1" applyFill="1" applyBorder="1" applyAlignment="1">
      <alignment vertical="center"/>
    </xf>
    <xf numFmtId="168" fontId="15" fillId="0" borderId="0" xfId="35" applyNumberFormat="1" applyFont="1" applyFill="1" applyBorder="1" applyAlignment="1">
      <alignment vertical="center"/>
    </xf>
    <xf numFmtId="49" fontId="0" fillId="0" borderId="48" xfId="0" applyNumberFormat="1" applyBorder="1" applyAlignment="1">
      <alignment horizontal="center" vertical="center"/>
    </xf>
    <xf numFmtId="175" fontId="6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/>
    <xf numFmtId="164" fontId="4" fillId="0" borderId="0" xfId="0" applyNumberFormat="1" applyFont="1"/>
    <xf numFmtId="8" fontId="4" fillId="0" borderId="0" xfId="0" applyNumberFormat="1" applyFont="1"/>
    <xf numFmtId="172" fontId="4" fillId="26" borderId="0" xfId="0" applyNumberFormat="1" applyFont="1" applyFill="1"/>
    <xf numFmtId="4" fontId="8" fillId="0" borderId="0" xfId="31" applyNumberFormat="1" applyFont="1" applyAlignment="1"/>
    <xf numFmtId="44" fontId="15" fillId="0" borderId="23" xfId="37" applyFont="1" applyFill="1" applyBorder="1" applyAlignment="1">
      <alignment horizontal="center" wrapText="1"/>
    </xf>
    <xf numFmtId="44" fontId="15" fillId="26" borderId="23" xfId="37" applyFont="1" applyFill="1" applyBorder="1" applyAlignment="1">
      <alignment horizontal="center" wrapText="1"/>
    </xf>
    <xf numFmtId="44" fontId="7" fillId="26" borderId="23" xfId="37" applyFont="1" applyFill="1" applyBorder="1" applyAlignment="1">
      <alignment horizontal="center" wrapText="1"/>
    </xf>
    <xf numFmtId="0" fontId="10" fillId="0" borderId="72" xfId="0" applyFont="1" applyBorder="1" applyAlignment="1">
      <alignment horizontal="center" vertical="center" wrapText="1"/>
    </xf>
    <xf numFmtId="44" fontId="7" fillId="0" borderId="32" xfId="37" applyFont="1" applyFill="1" applyBorder="1" applyAlignment="1">
      <alignment horizont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Continuous" vertical="center" wrapText="1"/>
    </xf>
    <xf numFmtId="0" fontId="10" fillId="0" borderId="32" xfId="0" applyFont="1" applyBorder="1" applyAlignment="1">
      <alignment horizontal="centerContinuous" vertical="center" wrapText="1"/>
    </xf>
    <xf numFmtId="0" fontId="10" fillId="0" borderId="47" xfId="0" applyFont="1" applyBorder="1" applyAlignment="1">
      <alignment horizontal="centerContinuous" vertical="center" wrapText="1"/>
    </xf>
    <xf numFmtId="44" fontId="6" fillId="32" borderId="0" xfId="37" applyFont="1" applyFill="1"/>
    <xf numFmtId="0" fontId="67" fillId="0" borderId="0" xfId="55" applyFont="1" applyAlignment="1">
      <alignment horizontal="center" vertical="center"/>
    </xf>
    <xf numFmtId="44" fontId="8" fillId="37" borderId="104" xfId="37" applyFont="1" applyFill="1" applyBorder="1" applyAlignment="1">
      <alignment horizontal="center" vertical="center"/>
    </xf>
    <xf numFmtId="0" fontId="59" fillId="0" borderId="0" xfId="55" applyFont="1"/>
    <xf numFmtId="44" fontId="8" fillId="36" borderId="104" xfId="37" applyFont="1" applyFill="1" applyBorder="1" applyAlignment="1">
      <alignment horizontal="center" vertical="center"/>
    </xf>
    <xf numFmtId="44" fontId="8" fillId="36" borderId="0" xfId="37" applyFont="1" applyFill="1" applyBorder="1" applyAlignment="1">
      <alignment horizontal="center" vertical="center"/>
    </xf>
    <xf numFmtId="44" fontId="8" fillId="36" borderId="37" xfId="37" applyFont="1" applyFill="1" applyBorder="1" applyAlignment="1">
      <alignment horizontal="center" vertical="center"/>
    </xf>
    <xf numFmtId="0" fontId="4" fillId="36" borderId="0" xfId="52" applyFill="1"/>
    <xf numFmtId="44" fontId="8" fillId="0" borderId="74" xfId="37" applyFont="1" applyFill="1" applyBorder="1" applyAlignment="1">
      <alignment horizontal="center" vertical="center"/>
    </xf>
    <xf numFmtId="0" fontId="4" fillId="0" borderId="74" xfId="52" applyBorder="1"/>
    <xf numFmtId="44" fontId="8" fillId="36" borderId="74" xfId="37" applyFont="1" applyFill="1" applyBorder="1" applyAlignment="1">
      <alignment horizontal="center" vertical="center"/>
    </xf>
    <xf numFmtId="0" fontId="4" fillId="36" borderId="74" xfId="52" applyFill="1" applyBorder="1"/>
    <xf numFmtId="0" fontId="8" fillId="25" borderId="21" xfId="0" applyFont="1" applyFill="1" applyBorder="1" applyAlignment="1">
      <alignment vertical="center" wrapText="1"/>
    </xf>
    <xf numFmtId="172" fontId="5" fillId="0" borderId="62" xfId="0" applyNumberFormat="1" applyFont="1" applyBorder="1"/>
    <xf numFmtId="172" fontId="5" fillId="0" borderId="46" xfId="0" applyNumberFormat="1" applyFont="1" applyBorder="1"/>
    <xf numFmtId="172" fontId="5" fillId="0" borderId="18" xfId="0" applyNumberFormat="1" applyFont="1" applyBorder="1"/>
    <xf numFmtId="172" fontId="5" fillId="0" borderId="63" xfId="0" applyNumberFormat="1" applyFont="1" applyBorder="1"/>
    <xf numFmtId="172" fontId="6" fillId="0" borderId="39" xfId="0" applyNumberFormat="1" applyFont="1" applyBorder="1"/>
    <xf numFmtId="172" fontId="5" fillId="0" borderId="12" xfId="0" applyNumberFormat="1" applyFont="1" applyBorder="1"/>
    <xf numFmtId="172" fontId="5" fillId="0" borderId="10" xfId="0" applyNumberFormat="1" applyFont="1" applyBorder="1"/>
    <xf numFmtId="172" fontId="4" fillId="0" borderId="36" xfId="0" applyNumberFormat="1" applyFont="1" applyBorder="1"/>
    <xf numFmtId="172" fontId="4" fillId="0" borderId="36" xfId="37" applyNumberFormat="1" applyFill="1" applyBorder="1"/>
    <xf numFmtId="172" fontId="5" fillId="0" borderId="103" xfId="0" applyNumberFormat="1" applyFont="1" applyBorder="1"/>
    <xf numFmtId="172" fontId="4" fillId="0" borderId="12" xfId="0" applyNumberFormat="1" applyFont="1" applyBorder="1"/>
    <xf numFmtId="172" fontId="4" fillId="0" borderId="13" xfId="0" applyNumberFormat="1" applyFont="1" applyBorder="1"/>
    <xf numFmtId="172" fontId="6" fillId="0" borderId="20" xfId="0" applyNumberFormat="1" applyFont="1" applyBorder="1"/>
    <xf numFmtId="172" fontId="6" fillId="0" borderId="71" xfId="0" applyNumberFormat="1" applyFont="1" applyBorder="1"/>
    <xf numFmtId="172" fontId="6" fillId="0" borderId="52" xfId="0" applyNumberFormat="1" applyFont="1" applyBorder="1"/>
    <xf numFmtId="172" fontId="4" fillId="0" borderId="64" xfId="0" applyNumberFormat="1" applyFont="1" applyBorder="1"/>
    <xf numFmtId="0" fontId="52" fillId="0" borderId="0" xfId="0" applyFont="1" applyAlignment="1">
      <alignment horizontal="center"/>
    </xf>
    <xf numFmtId="168" fontId="52" fillId="0" borderId="0" xfId="0" applyNumberFormat="1" applyFont="1"/>
    <xf numFmtId="168" fontId="68" fillId="0" borderId="0" xfId="0" applyNumberFormat="1" applyFont="1"/>
    <xf numFmtId="168" fontId="69" fillId="0" borderId="0" xfId="0" applyNumberFormat="1" applyFont="1"/>
    <xf numFmtId="4" fontId="52" fillId="0" borderId="0" xfId="0" applyNumberFormat="1" applyFont="1"/>
    <xf numFmtId="168" fontId="69" fillId="0" borderId="0" xfId="0" applyNumberFormat="1" applyFont="1" applyAlignment="1">
      <alignment horizontal="center"/>
    </xf>
    <xf numFmtId="168" fontId="52" fillId="0" borderId="0" xfId="0" applyNumberFormat="1" applyFont="1" applyAlignment="1">
      <alignment horizontal="center"/>
    </xf>
    <xf numFmtId="44" fontId="52" fillId="0" borderId="0" xfId="37" applyFont="1" applyAlignment="1">
      <alignment horizontal="center"/>
    </xf>
    <xf numFmtId="44" fontId="52" fillId="0" borderId="0" xfId="0" applyNumberFormat="1" applyFont="1"/>
    <xf numFmtId="0" fontId="65" fillId="0" borderId="0" xfId="0" applyFont="1"/>
    <xf numFmtId="169" fontId="68" fillId="0" borderId="0" xfId="0" applyNumberFormat="1" applyFont="1"/>
    <xf numFmtId="44" fontId="65" fillId="0" borderId="0" xfId="37" applyFont="1"/>
    <xf numFmtId="176" fontId="52" fillId="0" borderId="0" xfId="0" applyNumberFormat="1" applyFont="1"/>
    <xf numFmtId="0" fontId="69" fillId="0" borderId="0" xfId="0" applyFont="1"/>
    <xf numFmtId="44" fontId="69" fillId="0" borderId="0" xfId="37" applyFont="1"/>
    <xf numFmtId="44" fontId="69" fillId="0" borderId="0" xfId="0" applyNumberFormat="1" applyFont="1"/>
    <xf numFmtId="44" fontId="68" fillId="0" borderId="0" xfId="37" applyFont="1"/>
    <xf numFmtId="168" fontId="15" fillId="0" borderId="23" xfId="35" applyNumberFormat="1" applyFont="1" applyFill="1" applyBorder="1"/>
    <xf numFmtId="44" fontId="15" fillId="0" borderId="34" xfId="37" applyFont="1" applyFill="1" applyBorder="1" applyAlignment="1">
      <alignment horizontal="center"/>
    </xf>
    <xf numFmtId="168" fontId="15" fillId="0" borderId="34" xfId="35" applyNumberFormat="1" applyFont="1" applyFill="1" applyBorder="1" applyAlignment="1">
      <alignment horizontal="center"/>
    </xf>
    <xf numFmtId="168" fontId="7" fillId="0" borderId="78" xfId="35" applyNumberFormat="1" applyFont="1" applyFill="1" applyBorder="1" applyAlignment="1">
      <alignment horizontal="center"/>
    </xf>
    <xf numFmtId="168" fontId="7" fillId="0" borderId="66" xfId="35" applyNumberFormat="1" applyFont="1" applyFill="1" applyBorder="1" applyAlignment="1">
      <alignment horizontal="center"/>
    </xf>
    <xf numFmtId="0" fontId="15" fillId="0" borderId="20" xfId="0" applyFont="1" applyBorder="1" applyAlignment="1">
      <alignment vertical="center"/>
    </xf>
    <xf numFmtId="44" fontId="15" fillId="0" borderId="34" xfId="37" applyFont="1" applyFill="1" applyBorder="1" applyAlignment="1">
      <alignment horizontal="center" vertical="center"/>
    </xf>
    <xf numFmtId="168" fontId="15" fillId="0" borderId="34" xfId="35" applyNumberFormat="1" applyFont="1" applyFill="1" applyBorder="1" applyAlignment="1">
      <alignment horizontal="center" vertical="center"/>
    </xf>
    <xf numFmtId="168" fontId="7" fillId="0" borderId="34" xfId="35" applyNumberFormat="1" applyFont="1" applyFill="1" applyBorder="1"/>
    <xf numFmtId="0" fontId="15" fillId="0" borderId="20" xfId="0" applyFont="1" applyBorder="1" applyAlignment="1">
      <alignment horizontal="left"/>
    </xf>
    <xf numFmtId="168" fontId="15" fillId="0" borderId="37" xfId="35" applyNumberFormat="1" applyFont="1" applyFill="1" applyBorder="1"/>
    <xf numFmtId="168" fontId="7" fillId="0" borderId="78" xfId="35" applyNumberFormat="1" applyFont="1" applyFill="1" applyBorder="1"/>
    <xf numFmtId="168" fontId="7" fillId="0" borderId="66" xfId="35" applyNumberFormat="1" applyFont="1" applyFill="1" applyBorder="1"/>
    <xf numFmtId="168" fontId="15" fillId="36" borderId="0" xfId="35" applyNumberFormat="1" applyFont="1" applyFill="1" applyBorder="1"/>
    <xf numFmtId="0" fontId="10" fillId="0" borderId="87" xfId="0" applyFont="1" applyBorder="1" applyAlignment="1">
      <alignment horizontal="left"/>
    </xf>
    <xf numFmtId="0" fontId="10" fillId="0" borderId="103" xfId="0" applyFont="1" applyBorder="1" applyAlignment="1">
      <alignment horizontal="left"/>
    </xf>
    <xf numFmtId="4" fontId="10" fillId="0" borderId="103" xfId="31" applyNumberFormat="1" applyFont="1" applyFill="1" applyBorder="1"/>
    <xf numFmtId="4" fontId="10" fillId="0" borderId="103" xfId="31" applyNumberFormat="1" applyFont="1" applyFill="1" applyBorder="1" applyAlignment="1">
      <alignment vertical="center" wrapText="1"/>
    </xf>
    <xf numFmtId="0" fontId="10" fillId="0" borderId="103" xfId="0" applyFont="1" applyBorder="1"/>
    <xf numFmtId="0" fontId="8" fillId="0" borderId="103" xfId="0" applyFont="1" applyBorder="1"/>
    <xf numFmtId="0" fontId="10" fillId="0" borderId="49" xfId="0" applyFont="1" applyBorder="1"/>
    <xf numFmtId="0" fontId="8" fillId="0" borderId="103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68" fillId="0" borderId="0" xfId="0" applyFont="1" applyAlignment="1">
      <alignment horizontal="left"/>
    </xf>
    <xf numFmtId="173" fontId="68" fillId="0" borderId="0" xfId="0" applyNumberFormat="1" applyFont="1"/>
    <xf numFmtId="43" fontId="68" fillId="0" borderId="0" xfId="0" applyNumberFormat="1" applyFont="1"/>
    <xf numFmtId="44" fontId="70" fillId="0" borderId="0" xfId="37" applyFont="1" applyFill="1" applyBorder="1" applyAlignment="1">
      <alignment horizontal="center" wrapText="1"/>
    </xf>
    <xf numFmtId="44" fontId="52" fillId="0" borderId="0" xfId="37" applyFont="1" applyFill="1"/>
    <xf numFmtId="165" fontId="52" fillId="0" borderId="0" xfId="0" applyNumberFormat="1" applyFont="1"/>
    <xf numFmtId="44" fontId="69" fillId="0" borderId="0" xfId="37" applyFont="1" applyFill="1"/>
    <xf numFmtId="165" fontId="69" fillId="0" borderId="0" xfId="0" applyNumberFormat="1" applyFont="1"/>
    <xf numFmtId="0" fontId="10" fillId="0" borderId="93" xfId="0" applyFont="1" applyBorder="1" applyAlignment="1">
      <alignment horizontal="center" vertical="center" textRotation="90" wrapText="1"/>
    </xf>
    <xf numFmtId="0" fontId="10" fillId="0" borderId="74" xfId="0" applyFont="1" applyBorder="1" applyAlignment="1">
      <alignment horizontal="center" vertical="center" wrapText="1"/>
    </xf>
    <xf numFmtId="173" fontId="10" fillId="0" borderId="63" xfId="37" applyNumberFormat="1" applyFont="1" applyBorder="1" applyAlignment="1">
      <alignment horizontal="center" vertical="center" wrapText="1"/>
    </xf>
    <xf numFmtId="173" fontId="10" fillId="0" borderId="46" xfId="37" applyNumberFormat="1" applyFont="1" applyBorder="1" applyAlignment="1">
      <alignment horizontal="center" vertical="center" wrapText="1"/>
    </xf>
    <xf numFmtId="173" fontId="10" fillId="0" borderId="67" xfId="37" applyNumberFormat="1" applyFont="1" applyBorder="1" applyAlignment="1">
      <alignment horizontal="center" vertical="center" wrapText="1"/>
    </xf>
    <xf numFmtId="173" fontId="10" fillId="0" borderId="63" xfId="31" applyNumberFormat="1" applyFont="1" applyBorder="1" applyAlignment="1">
      <alignment horizontal="center" vertical="center" wrapText="1"/>
    </xf>
    <xf numFmtId="173" fontId="10" fillId="0" borderId="46" xfId="31" applyNumberFormat="1" applyFont="1" applyBorder="1" applyAlignment="1">
      <alignment horizontal="center" vertical="center" wrapText="1"/>
    </xf>
    <xf numFmtId="4" fontId="10" fillId="0" borderId="121" xfId="31" applyNumberFormat="1" applyFont="1" applyBorder="1" applyAlignment="1">
      <alignment horizontal="center" vertical="center" wrapText="1"/>
    </xf>
    <xf numFmtId="4" fontId="10" fillId="0" borderId="46" xfId="31" applyNumberFormat="1" applyFont="1" applyBorder="1" applyAlignment="1">
      <alignment horizontal="center" vertical="center" wrapText="1"/>
    </xf>
    <xf numFmtId="4" fontId="10" fillId="0" borderId="67" xfId="31" applyNumberFormat="1" applyFont="1" applyBorder="1" applyAlignment="1">
      <alignment horizontal="center" vertical="center" wrapText="1"/>
    </xf>
    <xf numFmtId="4" fontId="10" fillId="0" borderId="74" xfId="31" applyNumberFormat="1" applyFont="1" applyBorder="1" applyAlignment="1">
      <alignment horizontal="center" vertical="center" wrapText="1"/>
    </xf>
    <xf numFmtId="173" fontId="10" fillId="30" borderId="63" xfId="37" applyNumberFormat="1" applyFont="1" applyFill="1" applyBorder="1" applyAlignment="1">
      <alignment horizontal="center" vertical="center" wrapText="1"/>
    </xf>
    <xf numFmtId="173" fontId="10" fillId="30" borderId="46" xfId="37" applyNumberFormat="1" applyFont="1" applyFill="1" applyBorder="1" applyAlignment="1">
      <alignment horizontal="center" vertical="center" wrapText="1"/>
    </xf>
    <xf numFmtId="173" fontId="10" fillId="30" borderId="67" xfId="37" applyNumberFormat="1" applyFont="1" applyFill="1" applyBorder="1" applyAlignment="1">
      <alignment horizontal="center" vertical="center" wrapText="1"/>
    </xf>
    <xf numFmtId="4" fontId="10" fillId="30" borderId="46" xfId="31" applyNumberFormat="1" applyFont="1" applyFill="1" applyBorder="1" applyAlignment="1">
      <alignment horizontal="center" vertical="center" wrapText="1"/>
    </xf>
    <xf numFmtId="4" fontId="10" fillId="30" borderId="67" xfId="31" applyNumberFormat="1" applyFont="1" applyFill="1" applyBorder="1" applyAlignment="1">
      <alignment horizontal="center" vertical="center" wrapText="1"/>
    </xf>
    <xf numFmtId="173" fontId="10" fillId="31" borderId="63" xfId="37" applyNumberFormat="1" applyFont="1" applyFill="1" applyBorder="1" applyAlignment="1">
      <alignment horizontal="center" vertical="center" wrapText="1"/>
    </xf>
    <xf numFmtId="173" fontId="10" fillId="31" borderId="46" xfId="37" applyNumberFormat="1" applyFont="1" applyFill="1" applyBorder="1" applyAlignment="1">
      <alignment horizontal="center" vertical="center" wrapText="1"/>
    </xf>
    <xf numFmtId="173" fontId="10" fillId="31" borderId="67" xfId="37" applyNumberFormat="1" applyFont="1" applyFill="1" applyBorder="1" applyAlignment="1">
      <alignment horizontal="center" vertical="center" wrapText="1"/>
    </xf>
    <xf numFmtId="4" fontId="10" fillId="31" borderId="46" xfId="31" applyNumberFormat="1" applyFont="1" applyFill="1" applyBorder="1" applyAlignment="1">
      <alignment horizontal="center" vertical="center" wrapText="1"/>
    </xf>
    <xf numFmtId="4" fontId="10" fillId="31" borderId="67" xfId="31" applyNumberFormat="1" applyFont="1" applyFill="1" applyBorder="1" applyAlignment="1">
      <alignment horizontal="center" vertical="center" wrapText="1"/>
    </xf>
    <xf numFmtId="173" fontId="10" fillId="0" borderId="63" xfId="37" applyNumberFormat="1" applyFont="1" applyFill="1" applyBorder="1" applyAlignment="1">
      <alignment horizontal="center" vertical="center" wrapText="1"/>
    </xf>
    <xf numFmtId="173" fontId="10" fillId="0" borderId="46" xfId="37" applyNumberFormat="1" applyFont="1" applyFill="1" applyBorder="1" applyAlignment="1">
      <alignment horizontal="center" vertical="center" wrapText="1"/>
    </xf>
    <xf numFmtId="173" fontId="10" fillId="0" borderId="67" xfId="37" applyNumberFormat="1" applyFont="1" applyFill="1" applyBorder="1" applyAlignment="1">
      <alignment horizontal="center" vertical="center" wrapText="1"/>
    </xf>
    <xf numFmtId="4" fontId="10" fillId="0" borderId="121" xfId="31" applyNumberFormat="1" applyFont="1" applyFill="1" applyBorder="1" applyAlignment="1">
      <alignment horizontal="center" vertical="center" wrapText="1"/>
    </xf>
    <xf numFmtId="4" fontId="10" fillId="0" borderId="63" xfId="31" applyNumberFormat="1" applyFont="1" applyFill="1" applyBorder="1" applyAlignment="1">
      <alignment horizontal="center" vertical="center" wrapText="1"/>
    </xf>
    <xf numFmtId="4" fontId="10" fillId="0" borderId="46" xfId="31" applyNumberFormat="1" applyFont="1" applyFill="1" applyBorder="1" applyAlignment="1">
      <alignment horizontal="center" vertical="center" wrapText="1"/>
    </xf>
    <xf numFmtId="4" fontId="10" fillId="0" borderId="67" xfId="31" applyNumberFormat="1" applyFont="1" applyFill="1" applyBorder="1" applyAlignment="1">
      <alignment horizontal="center" vertical="center" wrapText="1"/>
    </xf>
    <xf numFmtId="173" fontId="10" fillId="0" borderId="57" xfId="37" applyNumberFormat="1" applyFont="1" applyFill="1" applyBorder="1" applyAlignment="1">
      <alignment horizontal="center" vertical="center" wrapText="1"/>
    </xf>
    <xf numFmtId="4" fontId="10" fillId="0" borderId="57" xfId="31" applyNumberFormat="1" applyFont="1" applyBorder="1" applyAlignment="1">
      <alignment horizontal="center" vertical="center" wrapText="1"/>
    </xf>
    <xf numFmtId="4" fontId="10" fillId="0" borderId="63" xfId="31" applyNumberFormat="1" applyFont="1" applyBorder="1" applyAlignment="1">
      <alignment horizontal="center" vertical="center" wrapText="1"/>
    </xf>
    <xf numFmtId="4" fontId="10" fillId="0" borderId="95" xfId="31" applyNumberFormat="1" applyFont="1" applyBorder="1" applyAlignment="1">
      <alignment horizontal="center" vertical="center" wrapText="1"/>
    </xf>
    <xf numFmtId="4" fontId="10" fillId="0" borderId="95" xfId="31" applyNumberFormat="1" applyFont="1" applyBorder="1" applyAlignment="1">
      <alignment horizontal="center" vertical="center"/>
    </xf>
    <xf numFmtId="171" fontId="10" fillId="0" borderId="0" xfId="31" applyNumberFormat="1" applyFont="1"/>
    <xf numFmtId="171" fontId="8" fillId="0" borderId="0" xfId="31" applyNumberFormat="1" applyFont="1" applyFill="1"/>
    <xf numFmtId="4" fontId="10" fillId="0" borderId="0" xfId="31" applyNumberFormat="1" applyFont="1" applyAlignment="1">
      <alignment horizontal="centerContinuous"/>
    </xf>
    <xf numFmtId="4" fontId="10" fillId="0" borderId="0" xfId="31" applyNumberFormat="1" applyFont="1" applyBorder="1" applyAlignment="1">
      <alignment horizontal="centerContinuous"/>
    </xf>
    <xf numFmtId="0" fontId="10" fillId="0" borderId="93" xfId="0" applyFont="1" applyBorder="1" applyAlignment="1">
      <alignment horizontal="left"/>
    </xf>
    <xf numFmtId="0" fontId="10" fillId="0" borderId="99" xfId="0" applyFont="1" applyBorder="1" applyAlignment="1">
      <alignment horizontal="left"/>
    </xf>
    <xf numFmtId="173" fontId="10" fillId="0" borderId="121" xfId="37" applyNumberFormat="1" applyFont="1" applyBorder="1"/>
    <xf numFmtId="173" fontId="10" fillId="0" borderId="46" xfId="37" applyNumberFormat="1" applyFont="1" applyBorder="1"/>
    <xf numFmtId="173" fontId="10" fillId="0" borderId="57" xfId="37" applyNumberFormat="1" applyFont="1" applyBorder="1"/>
    <xf numFmtId="173" fontId="10" fillId="0" borderId="121" xfId="31" applyNumberFormat="1" applyFont="1" applyBorder="1"/>
    <xf numFmtId="173" fontId="10" fillId="0" borderId="46" xfId="31" applyNumberFormat="1" applyFont="1" applyBorder="1"/>
    <xf numFmtId="173" fontId="10" fillId="0" borderId="67" xfId="31" applyNumberFormat="1" applyFont="1" applyBorder="1"/>
    <xf numFmtId="168" fontId="10" fillId="0" borderId="121" xfId="31" applyNumberFormat="1" applyFont="1" applyBorder="1"/>
    <xf numFmtId="168" fontId="10" fillId="0" borderId="46" xfId="31" applyNumberFormat="1" applyFont="1" applyBorder="1"/>
    <xf numFmtId="168" fontId="10" fillId="0" borderId="67" xfId="31" applyNumberFormat="1" applyFont="1" applyBorder="1"/>
    <xf numFmtId="168" fontId="10" fillId="0" borderId="95" xfId="31" applyNumberFormat="1" applyFont="1" applyBorder="1"/>
    <xf numFmtId="173" fontId="10" fillId="0" borderId="67" xfId="37" applyNumberFormat="1" applyFont="1" applyBorder="1"/>
    <xf numFmtId="173" fontId="10" fillId="0" borderId="63" xfId="37" applyNumberFormat="1" applyFont="1" applyBorder="1"/>
    <xf numFmtId="168" fontId="10" fillId="0" borderId="57" xfId="31" applyNumberFormat="1" applyFont="1" applyBorder="1"/>
    <xf numFmtId="168" fontId="10" fillId="0" borderId="63" xfId="31" applyNumberFormat="1" applyFont="1" applyBorder="1"/>
    <xf numFmtId="168" fontId="10" fillId="0" borderId="99" xfId="31" applyNumberFormat="1" applyFont="1" applyBorder="1"/>
    <xf numFmtId="0" fontId="10" fillId="0" borderId="80" xfId="0" applyFont="1" applyBorder="1" applyAlignment="1">
      <alignment horizontal="left"/>
    </xf>
    <xf numFmtId="0" fontId="10" fillId="0" borderId="92" xfId="0" applyFont="1" applyBorder="1" applyAlignment="1">
      <alignment horizontal="left"/>
    </xf>
    <xf numFmtId="173" fontId="10" fillId="0" borderId="93" xfId="37" applyNumberFormat="1" applyFont="1" applyBorder="1"/>
    <xf numFmtId="173" fontId="10" fillId="0" borderId="10" xfId="37" applyNumberFormat="1" applyFont="1" applyBorder="1"/>
    <xf numFmtId="173" fontId="10" fillId="0" borderId="80" xfId="31" applyNumberFormat="1" applyFont="1" applyBorder="1"/>
    <xf numFmtId="173" fontId="10" fillId="0" borderId="10" xfId="31" applyNumberFormat="1" applyFont="1" applyBorder="1"/>
    <xf numFmtId="173" fontId="10" fillId="0" borderId="36" xfId="31" applyNumberFormat="1" applyFont="1" applyBorder="1"/>
    <xf numFmtId="173" fontId="10" fillId="0" borderId="59" xfId="31" applyNumberFormat="1" applyFont="1" applyBorder="1"/>
    <xf numFmtId="168" fontId="10" fillId="0" borderId="10" xfId="31" applyNumberFormat="1" applyFont="1" applyBorder="1"/>
    <xf numFmtId="168" fontId="10" fillId="0" borderId="82" xfId="31" applyNumberFormat="1" applyFont="1" applyBorder="1"/>
    <xf numFmtId="173" fontId="10" fillId="0" borderId="58" xfId="37" applyNumberFormat="1" applyFont="1" applyBorder="1"/>
    <xf numFmtId="173" fontId="10" fillId="0" borderId="36" xfId="37" applyNumberFormat="1" applyFont="1" applyBorder="1"/>
    <xf numFmtId="168" fontId="10" fillId="0" borderId="58" xfId="31" applyNumberFormat="1" applyFont="1" applyBorder="1"/>
    <xf numFmtId="168" fontId="10" fillId="0" borderId="59" xfId="31" applyNumberFormat="1" applyFont="1" applyBorder="1"/>
    <xf numFmtId="168" fontId="10" fillId="0" borderId="36" xfId="31" applyNumberFormat="1" applyFont="1" applyBorder="1"/>
    <xf numFmtId="49" fontId="8" fillId="0" borderId="80" xfId="31" applyNumberFormat="1" applyFont="1" applyFill="1" applyBorder="1" applyAlignment="1">
      <alignment horizontal="left"/>
    </xf>
    <xf numFmtId="4" fontId="8" fillId="0" borderId="92" xfId="31" applyNumberFormat="1" applyFont="1" applyFill="1" applyBorder="1"/>
    <xf numFmtId="173" fontId="8" fillId="0" borderId="58" xfId="37" applyNumberFormat="1" applyFont="1" applyFill="1" applyBorder="1"/>
    <xf numFmtId="173" fontId="8" fillId="0" borderId="46" xfId="37" applyNumberFormat="1" applyFont="1" applyFill="1" applyBorder="1"/>
    <xf numFmtId="173" fontId="8" fillId="0" borderId="10" xfId="37" applyNumberFormat="1" applyFont="1" applyFill="1" applyBorder="1"/>
    <xf numFmtId="173" fontId="8" fillId="0" borderId="57" xfId="37" applyNumberFormat="1" applyFont="1" applyFill="1" applyBorder="1"/>
    <xf numFmtId="173" fontId="8" fillId="0" borderId="80" xfId="31" applyNumberFormat="1" applyFont="1" applyFill="1" applyBorder="1"/>
    <xf numFmtId="173" fontId="8" fillId="0" borderId="10" xfId="31" applyNumberFormat="1" applyFont="1" applyFill="1" applyBorder="1"/>
    <xf numFmtId="173" fontId="8" fillId="0" borderId="36" xfId="31" applyNumberFormat="1" applyFont="1" applyFill="1" applyBorder="1"/>
    <xf numFmtId="173" fontId="8" fillId="0" borderId="59" xfId="31" applyNumberFormat="1" applyFont="1" applyFill="1" applyBorder="1"/>
    <xf numFmtId="168" fontId="8" fillId="0" borderId="36" xfId="31" applyNumberFormat="1" applyFont="1" applyFill="1" applyBorder="1"/>
    <xf numFmtId="168" fontId="8" fillId="0" borderId="10" xfId="31" applyNumberFormat="1" applyFont="1" applyFill="1" applyBorder="1"/>
    <xf numFmtId="168" fontId="8" fillId="0" borderId="82" xfId="31" applyNumberFormat="1" applyFont="1" applyFill="1" applyBorder="1"/>
    <xf numFmtId="173" fontId="8" fillId="0" borderId="67" xfId="37" applyNumberFormat="1" applyFont="1" applyFill="1" applyBorder="1"/>
    <xf numFmtId="173" fontId="8" fillId="0" borderId="121" xfId="37" applyNumberFormat="1" applyFont="1" applyFill="1" applyBorder="1"/>
    <xf numFmtId="173" fontId="8" fillId="0" borderId="63" xfId="37" applyNumberFormat="1" applyFont="1" applyFill="1" applyBorder="1"/>
    <xf numFmtId="168" fontId="8" fillId="0" borderId="59" xfId="31" applyNumberFormat="1" applyFont="1" applyFill="1" applyBorder="1"/>
    <xf numFmtId="168" fontId="8" fillId="0" borderId="58" xfId="31" applyNumberFormat="1" applyFont="1" applyFill="1" applyBorder="1"/>
    <xf numFmtId="168" fontId="8" fillId="0" borderId="95" xfId="31" applyNumberFormat="1" applyFont="1" applyFill="1" applyBorder="1"/>
    <xf numFmtId="168" fontId="8" fillId="0" borderId="99" xfId="31" applyNumberFormat="1" applyFont="1" applyFill="1" applyBorder="1"/>
    <xf numFmtId="4" fontId="8" fillId="0" borderId="0" xfId="31" applyNumberFormat="1" applyFont="1" applyFill="1"/>
    <xf numFmtId="0" fontId="8" fillId="0" borderId="80" xfId="0" applyFont="1" applyBorder="1" applyAlignment="1">
      <alignment horizontal="left"/>
    </xf>
    <xf numFmtId="0" fontId="8" fillId="0" borderId="92" xfId="0" applyFont="1" applyBorder="1"/>
    <xf numFmtId="173" fontId="8" fillId="0" borderId="94" xfId="37" applyNumberFormat="1" applyFont="1" applyFill="1" applyBorder="1"/>
    <xf numFmtId="173" fontId="8" fillId="0" borderId="58" xfId="31" applyNumberFormat="1" applyFont="1" applyFill="1" applyBorder="1"/>
    <xf numFmtId="173" fontId="8" fillId="0" borderId="93" xfId="37" applyNumberFormat="1" applyFont="1" applyFill="1" applyBorder="1"/>
    <xf numFmtId="173" fontId="8" fillId="0" borderId="95" xfId="37" applyNumberFormat="1" applyFont="1" applyFill="1" applyBorder="1"/>
    <xf numFmtId="173" fontId="8" fillId="0" borderId="74" xfId="37" applyNumberFormat="1" applyFont="1" applyFill="1" applyBorder="1"/>
    <xf numFmtId="49" fontId="10" fillId="0" borderId="80" xfId="31" applyNumberFormat="1" applyFont="1" applyBorder="1" applyAlignment="1">
      <alignment horizontal="left"/>
    </xf>
    <xf numFmtId="4" fontId="10" fillId="0" borderId="92" xfId="31" applyNumberFormat="1" applyFont="1" applyBorder="1"/>
    <xf numFmtId="173" fontId="10" fillId="0" borderId="95" xfId="37" applyNumberFormat="1" applyFont="1" applyBorder="1"/>
    <xf numFmtId="173" fontId="10" fillId="0" borderId="58" xfId="31" applyNumberFormat="1" applyFont="1" applyBorder="1"/>
    <xf numFmtId="173" fontId="10" fillId="0" borderId="74" xfId="37" applyNumberFormat="1" applyFont="1" applyBorder="1"/>
    <xf numFmtId="168" fontId="8" fillId="0" borderId="36" xfId="31" applyNumberFormat="1" applyFont="1" applyBorder="1"/>
    <xf numFmtId="49" fontId="8" fillId="0" borderId="80" xfId="31" applyNumberFormat="1" applyFont="1" applyBorder="1" applyAlignment="1">
      <alignment horizontal="left"/>
    </xf>
    <xf numFmtId="4" fontId="8" fillId="0" borderId="92" xfId="31" applyNumberFormat="1" applyFont="1" applyBorder="1"/>
    <xf numFmtId="173" fontId="8" fillId="0" borderId="93" xfId="37" applyNumberFormat="1" applyFont="1" applyBorder="1"/>
    <xf numFmtId="173" fontId="8" fillId="0" borderId="46" xfId="37" applyNumberFormat="1" applyFont="1" applyBorder="1"/>
    <xf numFmtId="173" fontId="8" fillId="0" borderId="95" xfId="37" applyNumberFormat="1" applyFont="1" applyBorder="1"/>
    <xf numFmtId="173" fontId="8" fillId="0" borderId="58" xfId="31" applyNumberFormat="1" applyFont="1" applyBorder="1"/>
    <xf numFmtId="173" fontId="8" fillId="0" borderId="10" xfId="31" applyNumberFormat="1" applyFont="1" applyBorder="1"/>
    <xf numFmtId="173" fontId="8" fillId="0" borderId="59" xfId="31" applyNumberFormat="1" applyFont="1" applyBorder="1"/>
    <xf numFmtId="168" fontId="8" fillId="0" borderId="10" xfId="31" applyNumberFormat="1" applyFont="1" applyBorder="1"/>
    <xf numFmtId="168" fontId="8" fillId="0" borderId="82" xfId="31" applyNumberFormat="1" applyFont="1" applyBorder="1"/>
    <xf numFmtId="173" fontId="8" fillId="0" borderId="74" xfId="37" applyNumberFormat="1" applyFont="1" applyBorder="1"/>
    <xf numFmtId="173" fontId="8" fillId="0" borderId="121" xfId="37" applyNumberFormat="1" applyFont="1" applyBorder="1"/>
    <xf numFmtId="173" fontId="8" fillId="0" borderId="63" xfId="37" applyNumberFormat="1" applyFont="1" applyBorder="1"/>
    <xf numFmtId="168" fontId="8" fillId="0" borderId="59" xfId="31" applyNumberFormat="1" applyFont="1" applyBorder="1"/>
    <xf numFmtId="168" fontId="8" fillId="0" borderId="58" xfId="31" applyNumberFormat="1" applyFont="1" applyBorder="1"/>
    <xf numFmtId="168" fontId="8" fillId="0" borderId="95" xfId="31" applyNumberFormat="1" applyFont="1" applyBorder="1"/>
    <xf numFmtId="168" fontId="8" fillId="0" borderId="99" xfId="31" applyNumberFormat="1" applyFont="1" applyBorder="1"/>
    <xf numFmtId="0" fontId="10" fillId="0" borderId="92" xfId="0" applyFont="1" applyBorder="1"/>
    <xf numFmtId="168" fontId="10" fillId="0" borderId="82" xfId="31" applyNumberFormat="1" applyFont="1" applyFill="1" applyBorder="1"/>
    <xf numFmtId="173" fontId="8" fillId="0" borderId="10" xfId="37" applyNumberFormat="1" applyFont="1" applyBorder="1"/>
    <xf numFmtId="173" fontId="8" fillId="0" borderId="58" xfId="37" applyNumberFormat="1" applyFont="1" applyBorder="1"/>
    <xf numFmtId="173" fontId="8" fillId="0" borderId="36" xfId="37" applyNumberFormat="1" applyFont="1" applyBorder="1"/>
    <xf numFmtId="168" fontId="8" fillId="0" borderId="36" xfId="0" applyNumberFormat="1" applyFont="1" applyBorder="1"/>
    <xf numFmtId="168" fontId="8" fillId="0" borderId="10" xfId="0" applyNumberFormat="1" applyFont="1" applyBorder="1"/>
    <xf numFmtId="168" fontId="8" fillId="0" borderId="82" xfId="0" applyNumberFormat="1" applyFont="1" applyBorder="1"/>
    <xf numFmtId="168" fontId="8" fillId="0" borderId="59" xfId="0" applyNumberFormat="1" applyFont="1" applyBorder="1"/>
    <xf numFmtId="168" fontId="8" fillId="0" borderId="58" xfId="0" applyNumberFormat="1" applyFont="1" applyBorder="1"/>
    <xf numFmtId="173" fontId="10" fillId="0" borderId="59" xfId="37" applyNumberFormat="1" applyFont="1" applyBorder="1"/>
    <xf numFmtId="168" fontId="8" fillId="0" borderId="63" xfId="31" applyNumberFormat="1" applyFont="1" applyBorder="1"/>
    <xf numFmtId="168" fontId="8" fillId="0" borderId="74" xfId="31" applyNumberFormat="1" applyFont="1" applyBorder="1"/>
    <xf numFmtId="173" fontId="8" fillId="0" borderId="67" xfId="37" applyNumberFormat="1" applyFont="1" applyBorder="1"/>
    <xf numFmtId="173" fontId="8" fillId="0" borderId="59" xfId="37" applyNumberFormat="1" applyFont="1" applyBorder="1"/>
    <xf numFmtId="173" fontId="8" fillId="0" borderId="57" xfId="37" applyNumberFormat="1" applyFont="1" applyBorder="1"/>
    <xf numFmtId="173" fontId="10" fillId="0" borderId="38" xfId="37" applyNumberFormat="1" applyFont="1" applyBorder="1"/>
    <xf numFmtId="173" fontId="8" fillId="0" borderId="36" xfId="31" applyNumberFormat="1" applyFont="1" applyBorder="1"/>
    <xf numFmtId="173" fontId="10" fillId="0" borderId="80" xfId="37" applyNumberFormat="1" applyFont="1" applyBorder="1"/>
    <xf numFmtId="173" fontId="8" fillId="0" borderId="80" xfId="37" applyNumberFormat="1" applyFont="1" applyBorder="1"/>
    <xf numFmtId="173" fontId="10" fillId="0" borderId="82" xfId="37" applyNumberFormat="1" applyFont="1" applyBorder="1"/>
    <xf numFmtId="173" fontId="10" fillId="0" borderId="81" xfId="37" applyNumberFormat="1" applyFont="1" applyBorder="1"/>
    <xf numFmtId="173" fontId="8" fillId="0" borderId="82" xfId="37" applyNumberFormat="1" applyFont="1" applyBorder="1"/>
    <xf numFmtId="173" fontId="8" fillId="0" borderId="81" xfId="37" applyNumberFormat="1" applyFont="1" applyBorder="1"/>
    <xf numFmtId="168" fontId="8" fillId="0" borderId="81" xfId="31" applyNumberFormat="1" applyFont="1" applyBorder="1"/>
    <xf numFmtId="169" fontId="10" fillId="0" borderId="59" xfId="31" applyNumberFormat="1" applyFont="1" applyBorder="1"/>
    <xf numFmtId="168" fontId="10" fillId="0" borderId="81" xfId="31" applyNumberFormat="1" applyFont="1" applyBorder="1"/>
    <xf numFmtId="173" fontId="10" fillId="0" borderId="38" xfId="31" applyNumberFormat="1" applyFont="1" applyBorder="1"/>
    <xf numFmtId="173" fontId="8" fillId="0" borderId="38" xfId="31" applyNumberFormat="1" applyFont="1" applyBorder="1"/>
    <xf numFmtId="44" fontId="8" fillId="0" borderId="58" xfId="37" applyFont="1" applyBorder="1"/>
    <xf numFmtId="44" fontId="8" fillId="0" borderId="10" xfId="37" applyFont="1" applyBorder="1"/>
    <xf numFmtId="44" fontId="8" fillId="0" borderId="81" xfId="37" applyFont="1" applyBorder="1"/>
    <xf numFmtId="44" fontId="8" fillId="0" borderId="36" xfId="37" applyFont="1" applyBorder="1"/>
    <xf numFmtId="0" fontId="10" fillId="0" borderId="92" xfId="0" applyFont="1" applyBorder="1" applyAlignment="1">
      <alignment wrapText="1"/>
    </xf>
    <xf numFmtId="173" fontId="8" fillId="0" borderId="80" xfId="31" applyNumberFormat="1" applyFont="1" applyBorder="1"/>
    <xf numFmtId="173" fontId="8" fillId="0" borderId="95" xfId="31" applyNumberFormat="1" applyFont="1" applyBorder="1"/>
    <xf numFmtId="168" fontId="8" fillId="0" borderId="38" xfId="31" applyNumberFormat="1" applyFont="1" applyBorder="1"/>
    <xf numFmtId="173" fontId="10" fillId="0" borderId="95" xfId="31" applyNumberFormat="1" applyFont="1" applyBorder="1"/>
    <xf numFmtId="168" fontId="10" fillId="0" borderId="38" xfId="31" applyNumberFormat="1" applyFont="1" applyBorder="1"/>
    <xf numFmtId="0" fontId="10" fillId="0" borderId="92" xfId="0" applyFont="1" applyBorder="1" applyAlignment="1">
      <alignment vertical="justify" wrapText="1"/>
    </xf>
    <xf numFmtId="0" fontId="8" fillId="0" borderId="92" xfId="0" applyFont="1" applyBorder="1" applyAlignment="1">
      <alignment wrapText="1"/>
    </xf>
    <xf numFmtId="0" fontId="8" fillId="0" borderId="92" xfId="0" applyFont="1" applyBorder="1" applyAlignment="1">
      <alignment horizontal="left"/>
    </xf>
    <xf numFmtId="0" fontId="8" fillId="0" borderId="123" xfId="0" applyFont="1" applyBorder="1" applyAlignment="1">
      <alignment horizontal="left"/>
    </xf>
    <xf numFmtId="0" fontId="10" fillId="0" borderId="89" xfId="0" applyFont="1" applyBorder="1" applyAlignment="1">
      <alignment horizontal="left"/>
    </xf>
    <xf numFmtId="0" fontId="8" fillId="0" borderId="89" xfId="0" applyFont="1" applyBorder="1"/>
    <xf numFmtId="0" fontId="10" fillId="0" borderId="89" xfId="0" applyFont="1" applyBorder="1"/>
    <xf numFmtId="173" fontId="8" fillId="0" borderId="38" xfId="37" applyNumberFormat="1" applyFont="1" applyBorder="1"/>
    <xf numFmtId="0" fontId="8" fillId="0" borderId="89" xfId="0" applyFont="1" applyBorder="1" applyAlignment="1">
      <alignment horizontal="left"/>
    </xf>
    <xf numFmtId="49" fontId="8" fillId="0" borderId="89" xfId="31" applyNumberFormat="1" applyFont="1" applyBorder="1" applyAlignment="1">
      <alignment horizontal="left"/>
    </xf>
    <xf numFmtId="173" fontId="8" fillId="0" borderId="73" xfId="37" applyNumberFormat="1" applyFont="1" applyBorder="1"/>
    <xf numFmtId="173" fontId="8" fillId="0" borderId="52" xfId="37" applyNumberFormat="1" applyFont="1" applyBorder="1"/>
    <xf numFmtId="173" fontId="8" fillId="0" borderId="70" xfId="37" applyNumberFormat="1" applyFont="1" applyBorder="1"/>
    <xf numFmtId="173" fontId="10" fillId="0" borderId="60" xfId="37" applyNumberFormat="1" applyFont="1" applyBorder="1"/>
    <xf numFmtId="173" fontId="8" fillId="0" borderId="73" xfId="31" applyNumberFormat="1" applyFont="1" applyBorder="1"/>
    <xf numFmtId="173" fontId="8" fillId="0" borderId="64" xfId="31" applyNumberFormat="1" applyFont="1" applyBorder="1"/>
    <xf numFmtId="173" fontId="8" fillId="0" borderId="52" xfId="31" applyNumberFormat="1" applyFont="1" applyBorder="1"/>
    <xf numFmtId="173" fontId="10" fillId="0" borderId="96" xfId="31" applyNumberFormat="1" applyFont="1" applyBorder="1"/>
    <xf numFmtId="168" fontId="8" fillId="0" borderId="64" xfId="31" applyNumberFormat="1" applyFont="1" applyBorder="1"/>
    <xf numFmtId="168" fontId="8" fillId="0" borderId="52" xfId="31" applyNumberFormat="1" applyFont="1" applyBorder="1"/>
    <xf numFmtId="168" fontId="8" fillId="0" borderId="115" xfId="31" applyNumberFormat="1" applyFont="1" applyBorder="1"/>
    <xf numFmtId="173" fontId="10" fillId="0" borderId="70" xfId="37" applyNumberFormat="1" applyFont="1" applyBorder="1"/>
    <xf numFmtId="173" fontId="8" fillId="0" borderId="125" xfId="37" applyNumberFormat="1" applyFont="1" applyBorder="1"/>
    <xf numFmtId="173" fontId="8" fillId="0" borderId="85" xfId="37" applyNumberFormat="1" applyFont="1" applyBorder="1"/>
    <xf numFmtId="168" fontId="8" fillId="0" borderId="70" xfId="31" applyNumberFormat="1" applyFont="1" applyBorder="1"/>
    <xf numFmtId="168" fontId="8" fillId="0" borderId="60" xfId="31" applyNumberFormat="1" applyFont="1" applyBorder="1"/>
    <xf numFmtId="173" fontId="10" fillId="0" borderId="52" xfId="37" applyNumberFormat="1" applyFont="1" applyBorder="1"/>
    <xf numFmtId="168" fontId="8" fillId="0" borderId="73" xfId="31" applyNumberFormat="1" applyFont="1" applyBorder="1"/>
    <xf numFmtId="168" fontId="10" fillId="0" borderId="91" xfId="31" applyNumberFormat="1" applyFont="1" applyBorder="1"/>
    <xf numFmtId="177" fontId="8" fillId="0" borderId="0" xfId="31" applyNumberFormat="1" applyFont="1"/>
    <xf numFmtId="180" fontId="10" fillId="0" borderId="0" xfId="37" applyNumberFormat="1" applyFont="1"/>
    <xf numFmtId="173" fontId="10" fillId="33" borderId="128" xfId="37" applyNumberFormat="1" applyFont="1" applyFill="1" applyBorder="1" applyAlignment="1">
      <alignment horizontal="centerContinuous" vertical="center"/>
    </xf>
    <xf numFmtId="173" fontId="10" fillId="33" borderId="129" xfId="37" applyNumberFormat="1" applyFont="1" applyFill="1" applyBorder="1" applyAlignment="1">
      <alignment horizontal="centerContinuous"/>
    </xf>
    <xf numFmtId="173" fontId="10" fillId="33" borderId="132" xfId="37" applyNumberFormat="1" applyFont="1" applyFill="1" applyBorder="1" applyAlignment="1">
      <alignment horizontal="centerContinuous"/>
    </xf>
    <xf numFmtId="173" fontId="10" fillId="33" borderId="130" xfId="37" applyNumberFormat="1" applyFont="1" applyFill="1" applyBorder="1" applyAlignment="1">
      <alignment vertical="center"/>
    </xf>
    <xf numFmtId="173" fontId="10" fillId="33" borderId="127" xfId="37" applyNumberFormat="1" applyFont="1" applyFill="1" applyBorder="1" applyAlignment="1">
      <alignment vertical="center"/>
    </xf>
    <xf numFmtId="173" fontId="10" fillId="33" borderId="128" xfId="37" applyNumberFormat="1" applyFont="1" applyFill="1" applyBorder="1" applyAlignment="1">
      <alignment vertical="center"/>
    </xf>
    <xf numFmtId="173" fontId="10" fillId="33" borderId="129" xfId="37" applyNumberFormat="1" applyFont="1" applyFill="1" applyBorder="1" applyAlignment="1">
      <alignment vertical="center"/>
    </xf>
    <xf numFmtId="173" fontId="10" fillId="33" borderId="132" xfId="37" applyNumberFormat="1" applyFont="1" applyFill="1" applyBorder="1" applyAlignment="1">
      <alignment vertical="center"/>
    </xf>
    <xf numFmtId="173" fontId="10" fillId="33" borderId="133" xfId="37" applyNumberFormat="1" applyFont="1" applyFill="1" applyBorder="1" applyAlignment="1">
      <alignment vertical="center"/>
    </xf>
    <xf numFmtId="173" fontId="10" fillId="33" borderId="133" xfId="37" applyNumberFormat="1" applyFont="1" applyFill="1" applyBorder="1" applyAlignment="1">
      <alignment horizontal="centerContinuous"/>
    </xf>
    <xf numFmtId="4" fontId="10" fillId="33" borderId="80" xfId="31" applyNumberFormat="1" applyFont="1" applyFill="1" applyBorder="1" applyAlignment="1">
      <alignment horizontal="centerContinuous"/>
    </xf>
    <xf numFmtId="4" fontId="10" fillId="33" borderId="81" xfId="31" applyNumberFormat="1" applyFont="1" applyFill="1" applyBorder="1" applyAlignment="1">
      <alignment horizontal="centerContinuous"/>
    </xf>
    <xf numFmtId="4" fontId="10" fillId="33" borderId="36" xfId="31" applyNumberFormat="1" applyFont="1" applyFill="1" applyBorder="1" applyAlignment="1"/>
    <xf numFmtId="4" fontId="10" fillId="33" borderId="38" xfId="31" applyNumberFormat="1" applyFont="1" applyFill="1" applyBorder="1" applyAlignment="1">
      <alignment horizontal="centerContinuous"/>
    </xf>
    <xf numFmtId="4" fontId="10" fillId="33" borderId="36" xfId="31" applyNumberFormat="1" applyFont="1" applyFill="1" applyBorder="1" applyAlignment="1">
      <alignment horizontal="centerContinuous"/>
    </xf>
    <xf numFmtId="173" fontId="10" fillId="33" borderId="10" xfId="37" applyNumberFormat="1" applyFont="1" applyFill="1" applyBorder="1" applyAlignment="1">
      <alignment vertical="center"/>
    </xf>
    <xf numFmtId="173" fontId="10" fillId="33" borderId="38" xfId="37" applyNumberFormat="1" applyFont="1" applyFill="1" applyBorder="1" applyAlignment="1">
      <alignment vertical="center"/>
    </xf>
    <xf numFmtId="173" fontId="10" fillId="33" borderId="81" xfId="37" applyNumberFormat="1" applyFont="1" applyFill="1" applyBorder="1" applyAlignment="1">
      <alignment vertical="center"/>
    </xf>
    <xf numFmtId="173" fontId="10" fillId="33" borderId="80" xfId="37" applyNumberFormat="1" applyFont="1" applyFill="1" applyBorder="1" applyAlignment="1">
      <alignment horizontal="centerContinuous" vertical="center"/>
    </xf>
    <xf numFmtId="173" fontId="10" fillId="33" borderId="81" xfId="37" applyNumberFormat="1" applyFont="1" applyFill="1" applyBorder="1" applyAlignment="1">
      <alignment horizontal="centerContinuous" vertical="center"/>
    </xf>
    <xf numFmtId="173" fontId="10" fillId="33" borderId="82" xfId="37" applyNumberFormat="1" applyFont="1" applyFill="1" applyBorder="1" applyAlignment="1">
      <alignment horizontal="centerContinuous" vertical="center"/>
    </xf>
    <xf numFmtId="4" fontId="10" fillId="33" borderId="80" xfId="31" applyNumberFormat="1" applyFont="1" applyFill="1" applyBorder="1" applyAlignment="1"/>
    <xf numFmtId="4" fontId="10" fillId="33" borderId="81" xfId="31" applyNumberFormat="1" applyFont="1" applyFill="1" applyBorder="1" applyAlignment="1"/>
    <xf numFmtId="4" fontId="10" fillId="33" borderId="82" xfId="31" applyNumberFormat="1" applyFont="1" applyFill="1" applyBorder="1" applyAlignment="1"/>
    <xf numFmtId="173" fontId="10" fillId="33" borderId="10" xfId="37" applyNumberFormat="1" applyFont="1" applyFill="1" applyBorder="1" applyAlignment="1">
      <alignment horizontal="centerContinuous"/>
    </xf>
    <xf numFmtId="4" fontId="10" fillId="33" borderId="10" xfId="31" applyNumberFormat="1" applyFont="1" applyFill="1" applyBorder="1" applyAlignment="1">
      <alignment horizontal="center"/>
    </xf>
    <xf numFmtId="173" fontId="10" fillId="33" borderId="38" xfId="37" applyNumberFormat="1" applyFont="1" applyFill="1" applyBorder="1" applyAlignment="1"/>
    <xf numFmtId="173" fontId="10" fillId="33" borderId="81" xfId="37" applyNumberFormat="1" applyFont="1" applyFill="1" applyBorder="1" applyAlignment="1">
      <alignment horizontal="centerContinuous"/>
    </xf>
    <xf numFmtId="173" fontId="10" fillId="33" borderId="81" xfId="37" applyNumberFormat="1" applyFont="1" applyFill="1" applyBorder="1" applyAlignment="1">
      <alignment horizontal="left"/>
    </xf>
    <xf numFmtId="173" fontId="10" fillId="33" borderId="36" xfId="37" applyNumberFormat="1" applyFont="1" applyFill="1" applyBorder="1" applyAlignment="1">
      <alignment horizontal="centerContinuous"/>
    </xf>
    <xf numFmtId="173" fontId="10" fillId="33" borderId="38" xfId="37" applyNumberFormat="1" applyFont="1" applyFill="1" applyBorder="1" applyAlignment="1">
      <alignment horizontal="centerContinuous"/>
    </xf>
    <xf numFmtId="173" fontId="10" fillId="33" borderId="80" xfId="37" applyNumberFormat="1" applyFont="1" applyFill="1" applyBorder="1" applyAlignment="1">
      <alignment horizontal="centerContinuous"/>
    </xf>
    <xf numFmtId="4" fontId="10" fillId="33" borderId="36" xfId="31" applyNumberFormat="1" applyFont="1" applyFill="1" applyBorder="1" applyAlignment="1">
      <alignment horizontal="center"/>
    </xf>
    <xf numFmtId="4" fontId="10" fillId="33" borderId="58" xfId="31" applyNumberFormat="1" applyFont="1" applyFill="1" applyBorder="1" applyAlignment="1">
      <alignment horizontal="center" vertical="center" wrapText="1"/>
    </xf>
    <xf numFmtId="4" fontId="10" fillId="33" borderId="10" xfId="31" applyNumberFormat="1" applyFont="1" applyFill="1" applyBorder="1" applyAlignment="1">
      <alignment horizontal="center" vertical="center" wrapText="1"/>
    </xf>
    <xf numFmtId="173" fontId="10" fillId="33" borderId="10" xfId="37" applyNumberFormat="1" applyFont="1" applyFill="1" applyBorder="1" applyAlignment="1"/>
    <xf numFmtId="4" fontId="10" fillId="33" borderId="58" xfId="31" applyNumberFormat="1" applyFont="1" applyFill="1" applyBorder="1" applyAlignment="1">
      <alignment horizontal="center"/>
    </xf>
    <xf numFmtId="49" fontId="10" fillId="33" borderId="58" xfId="31" applyNumberFormat="1" applyFont="1" applyFill="1" applyBorder="1" applyAlignment="1">
      <alignment horizontal="center"/>
    </xf>
    <xf numFmtId="49" fontId="10" fillId="33" borderId="10" xfId="31" applyNumberFormat="1" applyFont="1" applyFill="1" applyBorder="1" applyAlignment="1">
      <alignment horizontal="center"/>
    </xf>
    <xf numFmtId="173" fontId="10" fillId="33" borderId="38" xfId="37" applyNumberFormat="1" applyFont="1" applyFill="1" applyBorder="1" applyAlignment="1">
      <alignment horizontal="center" vertical="center" wrapText="1"/>
    </xf>
    <xf numFmtId="49" fontId="10" fillId="33" borderId="36" xfId="31" applyNumberFormat="1" applyFont="1" applyFill="1" applyBorder="1" applyAlignment="1">
      <alignment horizontal="center"/>
    </xf>
    <xf numFmtId="49" fontId="10" fillId="33" borderId="58" xfId="31" applyNumberFormat="1" applyFont="1" applyFill="1" applyBorder="1" applyAlignment="1">
      <alignment horizontal="center" vertical="center" wrapText="1"/>
    </xf>
    <xf numFmtId="49" fontId="10" fillId="33" borderId="10" xfId="31" applyNumberFormat="1" applyFont="1" applyFill="1" applyBorder="1" applyAlignment="1">
      <alignment horizontal="center" vertical="center" wrapText="1"/>
    </xf>
    <xf numFmtId="4" fontId="10" fillId="33" borderId="137" xfId="31" applyNumberFormat="1" applyFont="1" applyFill="1" applyBorder="1" applyAlignment="1">
      <alignment horizontal="center" vertical="center" wrapText="1"/>
    </xf>
    <xf numFmtId="4" fontId="10" fillId="33" borderId="138" xfId="31" applyNumberFormat="1" applyFont="1" applyFill="1" applyBorder="1" applyAlignment="1">
      <alignment horizontal="center" vertical="center" wrapText="1"/>
    </xf>
    <xf numFmtId="173" fontId="10" fillId="33" borderId="143" xfId="37" applyNumberFormat="1" applyFont="1" applyFill="1" applyBorder="1" applyAlignment="1">
      <alignment horizontal="center" vertical="center" wrapText="1"/>
    </xf>
    <xf numFmtId="4" fontId="10" fillId="33" borderId="141" xfId="31" applyNumberFormat="1" applyFont="1" applyFill="1" applyBorder="1" applyAlignment="1">
      <alignment horizontal="center" vertical="center" wrapText="1"/>
    </xf>
    <xf numFmtId="49" fontId="8" fillId="33" borderId="89" xfId="31" applyNumberFormat="1" applyFont="1" applyFill="1" applyBorder="1" applyAlignment="1">
      <alignment horizontal="left"/>
    </xf>
    <xf numFmtId="4" fontId="10" fillId="33" borderId="89" xfId="31" applyNumberFormat="1" applyFont="1" applyFill="1" applyBorder="1" applyAlignment="1">
      <alignment horizontal="center"/>
    </xf>
    <xf numFmtId="173" fontId="10" fillId="33" borderId="90" xfId="37" applyNumberFormat="1" applyFont="1" applyFill="1" applyBorder="1"/>
    <xf numFmtId="173" fontId="10" fillId="33" borderId="113" xfId="37" applyNumberFormat="1" applyFont="1" applyFill="1" applyBorder="1"/>
    <xf numFmtId="173" fontId="10" fillId="33" borderId="97" xfId="37" applyNumberFormat="1" applyFont="1" applyFill="1" applyBorder="1"/>
    <xf numFmtId="173" fontId="10" fillId="33" borderId="90" xfId="31" applyNumberFormat="1" applyFont="1" applyFill="1" applyBorder="1"/>
    <xf numFmtId="173" fontId="10" fillId="33" borderId="113" xfId="31" applyNumberFormat="1" applyFont="1" applyFill="1" applyBorder="1"/>
    <xf numFmtId="173" fontId="10" fillId="33" borderId="97" xfId="31" applyNumberFormat="1" applyFont="1" applyFill="1" applyBorder="1"/>
    <xf numFmtId="168" fontId="10" fillId="33" borderId="98" xfId="31" applyNumberFormat="1" applyFont="1" applyFill="1" applyBorder="1"/>
    <xf numFmtId="168" fontId="10" fillId="33" borderId="89" xfId="31" applyNumberFormat="1" applyFont="1" applyFill="1" applyBorder="1"/>
    <xf numFmtId="168" fontId="10" fillId="33" borderId="116" xfId="31" applyNumberFormat="1" applyFont="1" applyFill="1" applyBorder="1"/>
    <xf numFmtId="173" fontId="10" fillId="33" borderId="144" xfId="37" applyNumberFormat="1" applyFont="1" applyFill="1" applyBorder="1"/>
    <xf numFmtId="173" fontId="10" fillId="33" borderId="124" xfId="37" applyNumberFormat="1" applyFont="1" applyFill="1" applyBorder="1"/>
    <xf numFmtId="168" fontId="10" fillId="33" borderId="97" xfId="31" applyNumberFormat="1" applyFont="1" applyFill="1" applyBorder="1"/>
    <xf numFmtId="168" fontId="10" fillId="33" borderId="90" xfId="31" applyNumberFormat="1" applyFont="1" applyFill="1" applyBorder="1"/>
    <xf numFmtId="168" fontId="10" fillId="33" borderId="113" xfId="31" applyNumberFormat="1" applyFont="1" applyFill="1" applyBorder="1"/>
    <xf numFmtId="168" fontId="10" fillId="33" borderId="124" xfId="31" applyNumberFormat="1" applyFont="1" applyFill="1" applyBorder="1"/>
    <xf numFmtId="4" fontId="10" fillId="0" borderId="0" xfId="31" applyNumberFormat="1" applyFont="1" applyAlignment="1"/>
    <xf numFmtId="0" fontId="4" fillId="32" borderId="0" xfId="0" applyFont="1" applyFill="1"/>
    <xf numFmtId="173" fontId="10" fillId="0" borderId="3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173" fontId="8" fillId="0" borderId="0" xfId="0" applyNumberFormat="1" applyFont="1" applyAlignment="1">
      <alignment horizontal="centerContinuous"/>
    </xf>
    <xf numFmtId="43" fontId="8" fillId="0" borderId="0" xfId="0" applyNumberFormat="1" applyFont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horizontal="center"/>
    </xf>
    <xf numFmtId="173" fontId="8" fillId="0" borderId="0" xfId="0" applyNumberFormat="1" applyFont="1" applyAlignment="1">
      <alignment horizontal="center"/>
    </xf>
    <xf numFmtId="0" fontId="10" fillId="0" borderId="0" xfId="0" applyFont="1"/>
    <xf numFmtId="0" fontId="10" fillId="0" borderId="31" xfId="0" applyFont="1" applyBorder="1"/>
    <xf numFmtId="0" fontId="10" fillId="0" borderId="6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175" fontId="10" fillId="0" borderId="17" xfId="33" applyNumberFormat="1" applyFont="1" applyFill="1" applyBorder="1" applyAlignment="1">
      <alignment vertical="center"/>
    </xf>
    <xf numFmtId="175" fontId="10" fillId="0" borderId="107" xfId="33" applyNumberFormat="1" applyFont="1" applyFill="1" applyBorder="1" applyAlignment="1">
      <alignment vertical="center"/>
    </xf>
    <xf numFmtId="175" fontId="10" fillId="0" borderId="122" xfId="33" applyNumberFormat="1" applyFont="1" applyFill="1" applyBorder="1" applyAlignment="1">
      <alignment vertical="center"/>
    </xf>
    <xf numFmtId="175" fontId="10" fillId="0" borderId="18" xfId="0" applyNumberFormat="1" applyFont="1" applyBorder="1" applyAlignment="1">
      <alignment vertical="center"/>
    </xf>
    <xf numFmtId="175" fontId="10" fillId="0" borderId="106" xfId="0" applyNumberFormat="1" applyFont="1" applyBorder="1" applyAlignment="1">
      <alignment vertical="center"/>
    </xf>
    <xf numFmtId="175" fontId="10" fillId="0" borderId="107" xfId="0" applyNumberFormat="1" applyFont="1" applyBorder="1" applyAlignment="1">
      <alignment vertical="center"/>
    </xf>
    <xf numFmtId="175" fontId="10" fillId="0" borderId="0" xfId="0" applyNumberFormat="1" applyFont="1" applyAlignment="1">
      <alignment vertical="center"/>
    </xf>
    <xf numFmtId="175" fontId="8" fillId="0" borderId="0" xfId="0" applyNumberFormat="1" applyFont="1"/>
    <xf numFmtId="165" fontId="8" fillId="0" borderId="0" xfId="0" applyNumberFormat="1" applyFont="1"/>
    <xf numFmtId="175" fontId="10" fillId="0" borderId="12" xfId="37" applyNumberFormat="1" applyFont="1" applyFill="1" applyBorder="1" applyAlignment="1">
      <alignment vertical="center"/>
    </xf>
    <xf numFmtId="175" fontId="10" fillId="0" borderId="104" xfId="37" applyNumberFormat="1" applyFont="1" applyFill="1" applyBorder="1" applyAlignment="1">
      <alignment vertical="center"/>
    </xf>
    <xf numFmtId="175" fontId="10" fillId="0" borderId="36" xfId="37" applyNumberFormat="1" applyFont="1" applyFill="1" applyBorder="1" applyAlignment="1">
      <alignment vertical="center"/>
    </xf>
    <xf numFmtId="175" fontId="10" fillId="0" borderId="10" xfId="0" quotePrefix="1" applyNumberFormat="1" applyFont="1" applyBorder="1" applyAlignment="1">
      <alignment wrapText="1"/>
    </xf>
    <xf numFmtId="175" fontId="10" fillId="0" borderId="38" xfId="0" quotePrefix="1" applyNumberFormat="1" applyFont="1" applyBorder="1" applyAlignment="1">
      <alignment wrapText="1"/>
    </xf>
    <xf numFmtId="175" fontId="10" fillId="0" borderId="104" xfId="0" quotePrefix="1" applyNumberFormat="1" applyFont="1" applyBorder="1" applyAlignment="1">
      <alignment wrapText="1"/>
    </xf>
    <xf numFmtId="175" fontId="10" fillId="0" borderId="0" xfId="0" quotePrefix="1" applyNumberFormat="1" applyFont="1" applyAlignment="1">
      <alignment wrapText="1"/>
    </xf>
    <xf numFmtId="49" fontId="8" fillId="0" borderId="104" xfId="31" applyNumberFormat="1" applyFont="1" applyFill="1" applyBorder="1" applyAlignment="1">
      <alignment horizontal="left"/>
    </xf>
    <xf numFmtId="4" fontId="8" fillId="0" borderId="103" xfId="31" applyNumberFormat="1" applyFont="1" applyFill="1" applyBorder="1"/>
    <xf numFmtId="175" fontId="59" fillId="26" borderId="12" xfId="37" applyNumberFormat="1" applyFont="1" applyFill="1" applyBorder="1" applyAlignment="1">
      <alignment vertical="center"/>
    </xf>
    <xf numFmtId="175" fontId="59" fillId="26" borderId="104" xfId="37" applyNumberFormat="1" applyFont="1" applyFill="1" applyBorder="1" applyAlignment="1">
      <alignment vertical="center"/>
    </xf>
    <xf numFmtId="175" fontId="8" fillId="0" borderId="104" xfId="33" applyNumberFormat="1" applyFont="1" applyFill="1" applyBorder="1" applyAlignment="1">
      <alignment vertical="center"/>
    </xf>
    <xf numFmtId="175" fontId="59" fillId="26" borderId="103" xfId="37" applyNumberFormat="1" applyFont="1" applyFill="1" applyBorder="1" applyAlignment="1">
      <alignment vertical="center"/>
    </xf>
    <xf numFmtId="175" fontId="59" fillId="0" borderId="10" xfId="34" quotePrefix="1" applyNumberFormat="1" applyFont="1" applyFill="1" applyBorder="1" applyAlignment="1">
      <alignment wrapText="1"/>
    </xf>
    <xf numFmtId="175" fontId="59" fillId="0" borderId="38" xfId="34" quotePrefix="1" applyNumberFormat="1" applyFont="1" applyFill="1" applyBorder="1" applyAlignment="1">
      <alignment wrapText="1"/>
    </xf>
    <xf numFmtId="175" fontId="59" fillId="0" borderId="104" xfId="34" quotePrefix="1" applyNumberFormat="1" applyFont="1" applyFill="1" applyBorder="1" applyAlignment="1">
      <alignment wrapText="1"/>
    </xf>
    <xf numFmtId="175" fontId="59" fillId="0" borderId="0" xfId="34" quotePrefix="1" applyNumberFormat="1" applyFont="1" applyFill="1" applyBorder="1" applyAlignment="1">
      <alignment wrapText="1"/>
    </xf>
    <xf numFmtId="175" fontId="71" fillId="0" borderId="10" xfId="34" quotePrefix="1" applyNumberFormat="1" applyFont="1" applyFill="1" applyBorder="1" applyAlignment="1">
      <alignment wrapText="1"/>
    </xf>
    <xf numFmtId="175" fontId="71" fillId="0" borderId="38" xfId="34" quotePrefix="1" applyNumberFormat="1" applyFont="1" applyFill="1" applyBorder="1" applyAlignment="1">
      <alignment wrapText="1"/>
    </xf>
    <xf numFmtId="175" fontId="59" fillId="0" borderId="37" xfId="37" applyNumberFormat="1" applyFont="1" applyFill="1" applyBorder="1"/>
    <xf numFmtId="175" fontId="59" fillId="26" borderId="49" xfId="37" applyNumberFormat="1" applyFont="1" applyFill="1" applyBorder="1"/>
    <xf numFmtId="175" fontId="71" fillId="26" borderId="12" xfId="37" applyNumberFormat="1" applyFont="1" applyFill="1" applyBorder="1" applyAlignment="1">
      <alignment vertical="center"/>
    </xf>
    <xf numFmtId="175" fontId="71" fillId="26" borderId="104" xfId="37" applyNumberFormat="1" applyFont="1" applyFill="1" applyBorder="1" applyAlignment="1">
      <alignment vertical="center"/>
    </xf>
    <xf numFmtId="175" fontId="10" fillId="0" borderId="104" xfId="33" applyNumberFormat="1" applyFont="1" applyFill="1" applyBorder="1" applyAlignment="1">
      <alignment vertical="center"/>
    </xf>
    <xf numFmtId="175" fontId="71" fillId="26" borderId="103" xfId="37" applyNumberFormat="1" applyFont="1" applyFill="1" applyBorder="1" applyAlignment="1">
      <alignment vertical="center"/>
    </xf>
    <xf numFmtId="175" fontId="59" fillId="0" borderId="10" xfId="34" applyNumberFormat="1" applyFont="1" applyFill="1" applyBorder="1"/>
    <xf numFmtId="175" fontId="59" fillId="0" borderId="38" xfId="34" applyNumberFormat="1" applyFont="1" applyFill="1" applyBorder="1"/>
    <xf numFmtId="175" fontId="71" fillId="0" borderId="104" xfId="34" quotePrefix="1" applyNumberFormat="1" applyFont="1" applyFill="1" applyBorder="1" applyAlignment="1">
      <alignment wrapText="1"/>
    </xf>
    <xf numFmtId="175" fontId="71" fillId="0" borderId="0" xfId="34" quotePrefix="1" applyNumberFormat="1" applyFont="1" applyFill="1" applyBorder="1" applyAlignment="1">
      <alignment wrapText="1"/>
    </xf>
    <xf numFmtId="175" fontId="71" fillId="0" borderId="10" xfId="34" applyNumberFormat="1" applyFont="1" applyFill="1" applyBorder="1"/>
    <xf numFmtId="175" fontId="71" fillId="0" borderId="38" xfId="34" applyNumberFormat="1" applyFont="1" applyFill="1" applyBorder="1"/>
    <xf numFmtId="175" fontId="71" fillId="0" borderId="104" xfId="34" quotePrefix="1" applyNumberFormat="1" applyFont="1" applyFill="1" applyBorder="1" applyAlignment="1">
      <alignment vertical="center" wrapText="1"/>
    </xf>
    <xf numFmtId="175" fontId="71" fillId="0" borderId="0" xfId="34" quotePrefix="1" applyNumberFormat="1" applyFont="1" applyFill="1" applyBorder="1" applyAlignment="1">
      <alignment vertical="center" wrapText="1"/>
    </xf>
    <xf numFmtId="175" fontId="8" fillId="26" borderId="12" xfId="37" applyNumberFormat="1" applyFont="1" applyFill="1" applyBorder="1" applyAlignment="1">
      <alignment vertical="center"/>
    </xf>
    <xf numFmtId="175" fontId="8" fillId="26" borderId="104" xfId="37" applyNumberFormat="1" applyFont="1" applyFill="1" applyBorder="1" applyAlignment="1">
      <alignment vertical="center"/>
    </xf>
    <xf numFmtId="175" fontId="8" fillId="26" borderId="103" xfId="37" applyNumberFormat="1" applyFont="1" applyFill="1" applyBorder="1" applyAlignment="1">
      <alignment vertical="center"/>
    </xf>
    <xf numFmtId="175" fontId="71" fillId="0" borderId="104" xfId="33" applyNumberFormat="1" applyFont="1" applyFill="1" applyBorder="1" applyAlignment="1">
      <alignment vertical="center"/>
    </xf>
    <xf numFmtId="175" fontId="71" fillId="0" borderId="0" xfId="33" applyNumberFormat="1" applyFont="1" applyFill="1" applyBorder="1" applyAlignment="1">
      <alignment vertical="center"/>
    </xf>
    <xf numFmtId="44" fontId="8" fillId="0" borderId="0" xfId="0" applyNumberFormat="1" applyFont="1"/>
    <xf numFmtId="175" fontId="59" fillId="0" borderId="36" xfId="34" applyNumberFormat="1" applyFont="1" applyFill="1" applyBorder="1"/>
    <xf numFmtId="175" fontId="10" fillId="26" borderId="12" xfId="37" applyNumberFormat="1" applyFont="1" applyFill="1" applyBorder="1"/>
    <xf numFmtId="175" fontId="10" fillId="26" borderId="104" xfId="37" applyNumberFormat="1" applyFont="1" applyFill="1" applyBorder="1"/>
    <xf numFmtId="175" fontId="8" fillId="0" borderId="36" xfId="34" applyNumberFormat="1" applyFont="1" applyFill="1" applyBorder="1"/>
    <xf numFmtId="175" fontId="8" fillId="0" borderId="10" xfId="34" applyNumberFormat="1" applyFont="1" applyFill="1" applyBorder="1"/>
    <xf numFmtId="175" fontId="8" fillId="0" borderId="38" xfId="34" applyNumberFormat="1" applyFont="1" applyFill="1" applyBorder="1"/>
    <xf numFmtId="175" fontId="10" fillId="0" borderId="104" xfId="34" quotePrefix="1" applyNumberFormat="1" applyFont="1" applyFill="1" applyBorder="1" applyAlignment="1">
      <alignment wrapText="1"/>
    </xf>
    <xf numFmtId="175" fontId="10" fillId="0" borderId="0" xfId="34" quotePrefix="1" applyNumberFormat="1" applyFont="1" applyFill="1" applyBorder="1" applyAlignment="1">
      <alignment wrapText="1"/>
    </xf>
    <xf numFmtId="175" fontId="8" fillId="26" borderId="12" xfId="37" applyNumberFormat="1" applyFont="1" applyFill="1" applyBorder="1"/>
    <xf numFmtId="175" fontId="8" fillId="26" borderId="104" xfId="37" applyNumberFormat="1" applyFont="1" applyFill="1" applyBorder="1"/>
    <xf numFmtId="175" fontId="8" fillId="0" borderId="104" xfId="34" quotePrefix="1" applyNumberFormat="1" applyFont="1" applyFill="1" applyBorder="1" applyAlignment="1">
      <alignment wrapText="1"/>
    </xf>
    <xf numFmtId="175" fontId="8" fillId="0" borderId="0" xfId="34" quotePrefix="1" applyNumberFormat="1" applyFont="1" applyFill="1" applyBorder="1" applyAlignment="1">
      <alignment wrapText="1"/>
    </xf>
    <xf numFmtId="175" fontId="8" fillId="0" borderId="12" xfId="37" applyNumberFormat="1" applyFont="1" applyFill="1" applyBorder="1"/>
    <xf numFmtId="175" fontId="8" fillId="0" borderId="104" xfId="37" applyNumberFormat="1" applyFont="1" applyFill="1" applyBorder="1"/>
    <xf numFmtId="175" fontId="10" fillId="0" borderId="36" xfId="34" applyNumberFormat="1" applyFont="1" applyFill="1" applyBorder="1"/>
    <xf numFmtId="175" fontId="10" fillId="0" borderId="10" xfId="34" applyNumberFormat="1" applyFont="1" applyFill="1" applyBorder="1"/>
    <xf numFmtId="175" fontId="10" fillId="0" borderId="38" xfId="34" applyNumberFormat="1" applyFont="1" applyFill="1" applyBorder="1"/>
    <xf numFmtId="175" fontId="8" fillId="0" borderId="103" xfId="37" applyNumberFormat="1" applyFont="1" applyFill="1" applyBorder="1"/>
    <xf numFmtId="175" fontId="10" fillId="0" borderId="12" xfId="37" applyNumberFormat="1" applyFont="1" applyFill="1" applyBorder="1"/>
    <xf numFmtId="175" fontId="10" fillId="0" borderId="104" xfId="37" applyNumberFormat="1" applyFont="1" applyFill="1" applyBorder="1"/>
    <xf numFmtId="175" fontId="10" fillId="0" borderId="103" xfId="37" applyNumberFormat="1" applyFont="1" applyFill="1" applyBorder="1"/>
    <xf numFmtId="175" fontId="10" fillId="0" borderId="62" xfId="37" applyNumberFormat="1" applyFont="1" applyFill="1" applyBorder="1"/>
    <xf numFmtId="175" fontId="10" fillId="0" borderId="37" xfId="37" applyNumberFormat="1" applyFont="1" applyFill="1" applyBorder="1"/>
    <xf numFmtId="175" fontId="10" fillId="0" borderId="49" xfId="37" applyNumberFormat="1" applyFont="1" applyFill="1" applyBorder="1"/>
    <xf numFmtId="175" fontId="8" fillId="0" borderId="46" xfId="34" applyNumberFormat="1" applyFont="1" applyFill="1" applyBorder="1"/>
    <xf numFmtId="175" fontId="8" fillId="0" borderId="67" xfId="34" applyNumberFormat="1" applyFont="1" applyFill="1" applyBorder="1"/>
    <xf numFmtId="175" fontId="10" fillId="0" borderId="37" xfId="34" quotePrefix="1" applyNumberFormat="1" applyFont="1" applyFill="1" applyBorder="1" applyAlignment="1">
      <alignment wrapText="1"/>
    </xf>
    <xf numFmtId="0" fontId="8" fillId="0" borderId="104" xfId="0" applyFont="1" applyBorder="1" applyAlignment="1">
      <alignment horizontal="left" vertical="center"/>
    </xf>
    <xf numFmtId="175" fontId="8" fillId="0" borderId="104" xfId="37" applyNumberFormat="1" applyFont="1" applyFill="1" applyBorder="1" applyAlignment="1">
      <alignment vertical="center"/>
    </xf>
    <xf numFmtId="175" fontId="8" fillId="0" borderId="36" xfId="34" applyNumberFormat="1" applyFont="1" applyFill="1" applyBorder="1" applyAlignment="1">
      <alignment vertical="center"/>
    </xf>
    <xf numFmtId="175" fontId="8" fillId="0" borderId="10" xfId="34" applyNumberFormat="1" applyFont="1" applyFill="1" applyBorder="1" applyAlignment="1">
      <alignment vertical="center"/>
    </xf>
    <xf numFmtId="175" fontId="8" fillId="0" borderId="38" xfId="34" applyNumberFormat="1" applyFont="1" applyFill="1" applyBorder="1" applyAlignment="1">
      <alignment vertical="center"/>
    </xf>
    <xf numFmtId="175" fontId="8" fillId="0" borderId="104" xfId="34" quotePrefix="1" applyNumberFormat="1" applyFont="1" applyFill="1" applyBorder="1" applyAlignment="1">
      <alignment vertical="center" wrapText="1"/>
    </xf>
    <xf numFmtId="175" fontId="8" fillId="0" borderId="0" xfId="34" quotePrefix="1" applyNumberFormat="1" applyFont="1" applyFill="1" applyBorder="1" applyAlignment="1">
      <alignment vertical="center" wrapText="1"/>
    </xf>
    <xf numFmtId="0" fontId="8" fillId="0" borderId="10" xfId="0" applyFont="1" applyBorder="1" applyAlignment="1">
      <alignment horizontal="left" vertical="center"/>
    </xf>
    <xf numFmtId="175" fontId="8" fillId="0" borderId="13" xfId="34" quotePrefix="1" applyNumberFormat="1" applyFont="1" applyFill="1" applyBorder="1" applyAlignment="1">
      <alignment vertical="center" wrapText="1"/>
    </xf>
    <xf numFmtId="175" fontId="10" fillId="0" borderId="10" xfId="0" applyNumberFormat="1" applyFont="1" applyBorder="1"/>
    <xf numFmtId="175" fontId="10" fillId="0" borderId="38" xfId="0" applyNumberFormat="1" applyFont="1" applyBorder="1"/>
    <xf numFmtId="175" fontId="8" fillId="0" borderId="48" xfId="37" applyNumberFormat="1" applyFont="1" applyFill="1" applyBorder="1"/>
    <xf numFmtId="175" fontId="10" fillId="0" borderId="48" xfId="37" applyNumberFormat="1" applyFont="1" applyFill="1" applyBorder="1"/>
    <xf numFmtId="175" fontId="8" fillId="0" borderId="10" xfId="0" applyNumberFormat="1" applyFont="1" applyBorder="1"/>
    <xf numFmtId="175" fontId="8" fillId="0" borderId="38" xfId="0" applyNumberFormat="1" applyFont="1" applyBorder="1"/>
    <xf numFmtId="44" fontId="10" fillId="0" borderId="0" xfId="37" applyFont="1"/>
    <xf numFmtId="175" fontId="10" fillId="0" borderId="103" xfId="37" applyNumberFormat="1" applyFont="1" applyFill="1" applyBorder="1" applyAlignment="1">
      <alignment vertical="center"/>
    </xf>
    <xf numFmtId="175" fontId="8" fillId="0" borderId="10" xfId="0" applyNumberFormat="1" applyFont="1" applyBorder="1" applyAlignment="1">
      <alignment vertical="center"/>
    </xf>
    <xf numFmtId="175" fontId="8" fillId="0" borderId="38" xfId="0" applyNumberFormat="1" applyFont="1" applyBorder="1" applyAlignment="1">
      <alignment vertical="center"/>
    </xf>
    <xf numFmtId="175" fontId="10" fillId="0" borderId="104" xfId="34" quotePrefix="1" applyNumberFormat="1" applyFont="1" applyFill="1" applyBorder="1" applyAlignment="1">
      <alignment vertical="center" wrapText="1"/>
    </xf>
    <xf numFmtId="175" fontId="10" fillId="0" borderId="0" xfId="34" quotePrefix="1" applyNumberFormat="1" applyFont="1" applyFill="1" applyBorder="1" applyAlignment="1">
      <alignment vertical="center" wrapText="1"/>
    </xf>
    <xf numFmtId="175" fontId="8" fillId="0" borderId="12" xfId="37" applyNumberFormat="1" applyFont="1" applyFill="1" applyBorder="1" applyAlignment="1">
      <alignment vertical="center"/>
    </xf>
    <xf numFmtId="175" fontId="8" fillId="0" borderId="103" xfId="37" applyNumberFormat="1" applyFont="1" applyFill="1" applyBorder="1" applyAlignment="1">
      <alignment vertical="center"/>
    </xf>
    <xf numFmtId="4" fontId="8" fillId="0" borderId="81" xfId="31" applyNumberFormat="1" applyFont="1" applyFill="1" applyBorder="1"/>
    <xf numFmtId="173" fontId="10" fillId="26" borderId="48" xfId="0" applyNumberFormat="1" applyFont="1" applyFill="1" applyBorder="1"/>
    <xf numFmtId="173" fontId="8" fillId="26" borderId="48" xfId="0" applyNumberFormat="1" applyFont="1" applyFill="1" applyBorder="1"/>
    <xf numFmtId="0" fontId="8" fillId="0" borderId="105" xfId="0" applyFont="1" applyBorder="1" applyAlignment="1">
      <alignment horizontal="left"/>
    </xf>
    <xf numFmtId="0" fontId="8" fillId="0" borderId="85" xfId="0" applyFont="1" applyBorder="1" applyAlignment="1">
      <alignment vertical="center" wrapText="1"/>
    </xf>
    <xf numFmtId="175" fontId="8" fillId="0" borderId="51" xfId="37" applyNumberFormat="1" applyFont="1" applyFill="1" applyBorder="1" applyAlignment="1">
      <alignment vertical="center" wrapText="1"/>
    </xf>
    <xf numFmtId="175" fontId="8" fillId="0" borderId="105" xfId="37" applyNumberFormat="1" applyFont="1" applyFill="1" applyBorder="1"/>
    <xf numFmtId="175" fontId="8" fillId="0" borderId="114" xfId="37" applyNumberFormat="1" applyFont="1" applyFill="1" applyBorder="1"/>
    <xf numFmtId="175" fontId="8" fillId="0" borderId="52" xfId="0" applyNumberFormat="1" applyFont="1" applyBorder="1"/>
    <xf numFmtId="175" fontId="8" fillId="0" borderId="70" xfId="0" applyNumberFormat="1" applyFont="1" applyBorder="1"/>
    <xf numFmtId="175" fontId="8" fillId="0" borderId="105" xfId="34" quotePrefix="1" applyNumberFormat="1" applyFont="1" applyFill="1" applyBorder="1" applyAlignment="1">
      <alignment wrapText="1"/>
    </xf>
    <xf numFmtId="0" fontId="8" fillId="0" borderId="30" xfId="0" applyFont="1" applyBorder="1"/>
    <xf numFmtId="175" fontId="10" fillId="0" borderId="53" xfId="37" applyNumberFormat="1" applyFont="1" applyFill="1" applyBorder="1"/>
    <xf numFmtId="175" fontId="10" fillId="0" borderId="54" xfId="0" applyNumberFormat="1" applyFont="1" applyBorder="1"/>
    <xf numFmtId="175" fontId="10" fillId="0" borderId="56" xfId="0" applyNumberFormat="1" applyFont="1" applyBorder="1"/>
    <xf numFmtId="175" fontId="10" fillId="0" borderId="30" xfId="0" applyNumberFormat="1" applyFont="1" applyBorder="1"/>
    <xf numFmtId="175" fontId="10" fillId="0" borderId="0" xfId="0" applyNumberFormat="1" applyFont="1"/>
    <xf numFmtId="0" fontId="68" fillId="0" borderId="0" xfId="0" applyFont="1"/>
    <xf numFmtId="0" fontId="62" fillId="0" borderId="0" xfId="0" applyFont="1"/>
    <xf numFmtId="173" fontId="8" fillId="0" borderId="0" xfId="0" applyNumberFormat="1" applyFont="1"/>
    <xf numFmtId="43" fontId="8" fillId="0" borderId="0" xfId="0" applyNumberFormat="1" applyFont="1"/>
    <xf numFmtId="0" fontId="68" fillId="0" borderId="0" xfId="0" applyFont="1" applyAlignment="1">
      <alignment horizontal="right"/>
    </xf>
    <xf numFmtId="44" fontId="72" fillId="0" borderId="0" xfId="37" applyFont="1" applyFill="1" applyBorder="1" applyAlignment="1">
      <alignment horizontal="center" wrapText="1"/>
    </xf>
    <xf numFmtId="0" fontId="8" fillId="25" borderId="13" xfId="0" applyFont="1" applyFill="1" applyBorder="1" applyAlignment="1">
      <alignment horizontal="justify" vertical="top" wrapText="1"/>
    </xf>
    <xf numFmtId="0" fontId="19" fillId="25" borderId="0" xfId="0" applyFont="1" applyFill="1" applyAlignment="1">
      <alignment horizontal="center"/>
    </xf>
    <xf numFmtId="0" fontId="21" fillId="25" borderId="0" xfId="0" applyFont="1" applyFill="1" applyAlignment="1">
      <alignment horizontal="center"/>
    </xf>
    <xf numFmtId="49" fontId="10" fillId="25" borderId="12" xfId="0" applyNumberFormat="1" applyFont="1" applyFill="1" applyBorder="1" applyAlignment="1">
      <alignment horizontal="center" vertical="center"/>
    </xf>
    <xf numFmtId="49" fontId="10" fillId="25" borderId="10" xfId="0" applyNumberFormat="1" applyFont="1" applyFill="1" applyBorder="1" applyAlignment="1">
      <alignment horizontal="center" vertical="center"/>
    </xf>
    <xf numFmtId="49" fontId="10" fillId="25" borderId="13" xfId="0" applyNumberFormat="1" applyFont="1" applyFill="1" applyBorder="1" applyAlignment="1">
      <alignment horizontal="center" vertical="center"/>
    </xf>
    <xf numFmtId="0" fontId="8" fillId="25" borderId="40" xfId="0" applyFont="1" applyFill="1" applyBorder="1" applyAlignment="1">
      <alignment horizontal="justify" vertical="center" wrapText="1"/>
    </xf>
    <xf numFmtId="0" fontId="8" fillId="25" borderId="21" xfId="0" applyFont="1" applyFill="1" applyBorder="1" applyAlignment="1">
      <alignment horizontal="justify" vertical="center" wrapText="1"/>
    </xf>
    <xf numFmtId="0" fontId="8" fillId="25" borderId="39" xfId="0" applyFont="1" applyFill="1" applyBorder="1" applyAlignment="1">
      <alignment horizontal="justify" vertical="center" wrapText="1"/>
    </xf>
    <xf numFmtId="0" fontId="8" fillId="25" borderId="13" xfId="0" applyFont="1" applyFill="1" applyBorder="1" applyAlignment="1">
      <alignment horizontal="justify" vertical="center" wrapText="1"/>
    </xf>
    <xf numFmtId="0" fontId="8" fillId="25" borderId="15" xfId="0" applyFont="1" applyFill="1" applyBorder="1" applyAlignment="1">
      <alignment horizontal="justify" vertical="center" wrapText="1"/>
    </xf>
    <xf numFmtId="0" fontId="8" fillId="25" borderId="40" xfId="0" applyFont="1" applyFill="1" applyBorder="1" applyAlignment="1">
      <alignment horizontal="left" vertical="center" wrapText="1"/>
    </xf>
    <xf numFmtId="0" fontId="8" fillId="25" borderId="21" xfId="0" applyFont="1" applyFill="1" applyBorder="1" applyAlignment="1">
      <alignment horizontal="left" vertical="center" wrapText="1"/>
    </xf>
    <xf numFmtId="0" fontId="5" fillId="0" borderId="30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7" fillId="26" borderId="33" xfId="0" applyFont="1" applyFill="1" applyBorder="1" applyAlignment="1">
      <alignment horizontal="center" vertical="center" wrapText="1"/>
    </xf>
    <xf numFmtId="0" fontId="7" fillId="26" borderId="34" xfId="0" applyFont="1" applyFill="1" applyBorder="1" applyAlignment="1">
      <alignment horizontal="center" vertical="center" wrapText="1"/>
    </xf>
    <xf numFmtId="0" fontId="7" fillId="26" borderId="3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0" fontId="7" fillId="26" borderId="52" xfId="0" applyFont="1" applyFill="1" applyBorder="1" applyAlignment="1">
      <alignment horizontal="center" vertical="center" wrapText="1"/>
    </xf>
    <xf numFmtId="0" fontId="7" fillId="26" borderId="29" xfId="0" applyFont="1" applyFill="1" applyBorder="1" applyAlignment="1">
      <alignment horizontal="center" vertical="center" wrapText="1"/>
    </xf>
    <xf numFmtId="0" fontId="7" fillId="26" borderId="75" xfId="0" applyFont="1" applyFill="1" applyBorder="1" applyAlignment="1">
      <alignment horizontal="center" vertical="center" wrapText="1"/>
    </xf>
    <xf numFmtId="0" fontId="7" fillId="26" borderId="23" xfId="0" applyFont="1" applyFill="1" applyBorder="1" applyAlignment="1">
      <alignment horizontal="center" vertical="center" wrapText="1"/>
    </xf>
    <xf numFmtId="0" fontId="7" fillId="26" borderId="76" xfId="0" applyFont="1" applyFill="1" applyBorder="1" applyAlignment="1">
      <alignment horizontal="center" vertical="center" wrapText="1"/>
    </xf>
    <xf numFmtId="0" fontId="7" fillId="26" borderId="100" xfId="0" applyFont="1" applyFill="1" applyBorder="1" applyAlignment="1">
      <alignment horizontal="center" vertical="center" wrapText="1"/>
    </xf>
    <xf numFmtId="0" fontId="7" fillId="26" borderId="101" xfId="0" applyFont="1" applyFill="1" applyBorder="1" applyAlignment="1">
      <alignment horizontal="center" vertical="center" wrapText="1"/>
    </xf>
    <xf numFmtId="0" fontId="7" fillId="26" borderId="102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26" borderId="42" xfId="0" applyFont="1" applyFill="1" applyBorder="1" applyAlignment="1">
      <alignment horizontal="center" vertical="center" wrapText="1"/>
    </xf>
    <xf numFmtId="0" fontId="7" fillId="26" borderId="43" xfId="0" applyFont="1" applyFill="1" applyBorder="1" applyAlignment="1">
      <alignment horizontal="center" vertical="center" wrapText="1"/>
    </xf>
    <xf numFmtId="0" fontId="7" fillId="26" borderId="4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0" fontId="40" fillId="33" borderId="33" xfId="0" applyFont="1" applyFill="1" applyBorder="1" applyAlignment="1">
      <alignment horizontal="center" vertical="center" wrapText="1"/>
    </xf>
    <xf numFmtId="0" fontId="4" fillId="33" borderId="34" xfId="0" applyFont="1" applyFill="1" applyBorder="1" applyAlignment="1">
      <alignment horizontal="center" vertical="center" wrapText="1"/>
    </xf>
    <xf numFmtId="0" fontId="4" fillId="33" borderId="35" xfId="0" applyFont="1" applyFill="1" applyBorder="1" applyAlignment="1">
      <alignment horizontal="center" vertical="center" wrapText="1"/>
    </xf>
    <xf numFmtId="0" fontId="10" fillId="33" borderId="33" xfId="0" applyFont="1" applyFill="1" applyBorder="1" applyAlignment="1">
      <alignment horizontal="center" vertical="center" wrapText="1"/>
    </xf>
    <xf numFmtId="0" fontId="40" fillId="33" borderId="35" xfId="0" applyFont="1" applyFill="1" applyBorder="1" applyAlignment="1">
      <alignment horizontal="center" vertical="center" wrapText="1"/>
    </xf>
    <xf numFmtId="0" fontId="10" fillId="33" borderId="33" xfId="0" applyFont="1" applyFill="1" applyBorder="1" applyAlignment="1">
      <alignment horizontal="center" vertical="center"/>
    </xf>
    <xf numFmtId="0" fontId="40" fillId="33" borderId="35" xfId="0" applyFont="1" applyFill="1" applyBorder="1" applyAlignment="1">
      <alignment horizontal="center" vertical="center"/>
    </xf>
    <xf numFmtId="0" fontId="40" fillId="33" borderId="33" xfId="0" applyFont="1" applyFill="1" applyBorder="1" applyAlignment="1">
      <alignment horizontal="center" vertical="center"/>
    </xf>
    <xf numFmtId="0" fontId="10" fillId="33" borderId="41" xfId="0" applyFont="1" applyFill="1" applyBorder="1" applyAlignment="1">
      <alignment horizontal="center" vertical="center" wrapText="1"/>
    </xf>
    <xf numFmtId="0" fontId="10" fillId="33" borderId="72" xfId="0" applyFont="1" applyFill="1" applyBorder="1" applyAlignment="1">
      <alignment horizontal="center" vertical="center" wrapText="1"/>
    </xf>
    <xf numFmtId="0" fontId="10" fillId="33" borderId="75" xfId="0" applyFont="1" applyFill="1" applyBorder="1" applyAlignment="1">
      <alignment horizontal="center" vertical="center" wrapText="1"/>
    </xf>
    <xf numFmtId="0" fontId="10" fillId="33" borderId="44" xfId="0" applyFont="1" applyFill="1" applyBorder="1" applyAlignment="1">
      <alignment horizontal="center" vertical="center" wrapText="1"/>
    </xf>
    <xf numFmtId="0" fontId="10" fillId="33" borderId="31" xfId="0" applyFont="1" applyFill="1" applyBorder="1" applyAlignment="1">
      <alignment horizontal="center" vertical="center" wrapText="1"/>
    </xf>
    <xf numFmtId="0" fontId="10" fillId="33" borderId="76" xfId="0" applyFont="1" applyFill="1" applyBorder="1" applyAlignment="1">
      <alignment horizontal="center" vertical="center" wrapText="1"/>
    </xf>
    <xf numFmtId="0" fontId="10" fillId="33" borderId="35" xfId="0" applyFont="1" applyFill="1" applyBorder="1" applyAlignment="1">
      <alignment horizontal="center" vertical="center" wrapText="1"/>
    </xf>
    <xf numFmtId="0" fontId="40" fillId="33" borderId="41" xfId="0" applyFont="1" applyFill="1" applyBorder="1" applyAlignment="1">
      <alignment horizontal="center" vertical="center"/>
    </xf>
    <xf numFmtId="0" fontId="40" fillId="33" borderId="20" xfId="0" applyFont="1" applyFill="1" applyBorder="1" applyAlignment="1">
      <alignment horizontal="center" vertical="center"/>
    </xf>
    <xf numFmtId="0" fontId="40" fillId="33" borderId="44" xfId="0" applyFont="1" applyFill="1" applyBorder="1" applyAlignment="1">
      <alignment horizontal="center" vertical="center"/>
    </xf>
    <xf numFmtId="0" fontId="4" fillId="33" borderId="34" xfId="0" applyFont="1" applyFill="1" applyBorder="1" applyAlignment="1">
      <alignment horizontal="center" vertical="center"/>
    </xf>
    <xf numFmtId="0" fontId="4" fillId="33" borderId="35" xfId="0" applyFont="1" applyFill="1" applyBorder="1" applyAlignment="1">
      <alignment horizontal="center" vertical="center"/>
    </xf>
    <xf numFmtId="0" fontId="40" fillId="33" borderId="41" xfId="0" applyFont="1" applyFill="1" applyBorder="1" applyAlignment="1">
      <alignment horizontal="center" vertical="center" wrapText="1"/>
    </xf>
    <xf numFmtId="0" fontId="40" fillId="33" borderId="72" xfId="0" applyFont="1" applyFill="1" applyBorder="1" applyAlignment="1">
      <alignment horizontal="center" vertical="center" wrapText="1"/>
    </xf>
    <xf numFmtId="0" fontId="40" fillId="33" borderId="75" xfId="0" applyFont="1" applyFill="1" applyBorder="1" applyAlignment="1">
      <alignment horizontal="center" vertical="center" wrapText="1"/>
    </xf>
    <xf numFmtId="0" fontId="40" fillId="33" borderId="20" xfId="0" applyFont="1" applyFill="1" applyBorder="1" applyAlignment="1">
      <alignment horizontal="center" vertical="center" wrapText="1"/>
    </xf>
    <xf numFmtId="0" fontId="40" fillId="33" borderId="0" xfId="0" applyFont="1" applyFill="1" applyAlignment="1">
      <alignment horizontal="center" vertical="center" wrapText="1"/>
    </xf>
    <xf numFmtId="0" fontId="40" fillId="33" borderId="23" xfId="0" applyFont="1" applyFill="1" applyBorder="1" applyAlignment="1">
      <alignment horizontal="center" vertical="center" wrapText="1"/>
    </xf>
    <xf numFmtId="0" fontId="10" fillId="27" borderId="20" xfId="0" applyFont="1" applyFill="1" applyBorder="1" applyAlignment="1">
      <alignment horizontal="center" vertical="center"/>
    </xf>
    <xf numFmtId="0" fontId="10" fillId="27" borderId="0" xfId="0" applyFont="1" applyFill="1" applyAlignment="1">
      <alignment horizontal="center" vertical="center"/>
    </xf>
    <xf numFmtId="0" fontId="10" fillId="27" borderId="23" xfId="0" applyFont="1" applyFill="1" applyBorder="1" applyAlignment="1">
      <alignment horizontal="center" vertical="center"/>
    </xf>
    <xf numFmtId="0" fontId="10" fillId="27" borderId="41" xfId="0" applyFont="1" applyFill="1" applyBorder="1" applyAlignment="1">
      <alignment horizontal="center" vertical="center"/>
    </xf>
    <xf numFmtId="0" fontId="10" fillId="27" borderId="72" xfId="0" applyFont="1" applyFill="1" applyBorder="1" applyAlignment="1">
      <alignment horizontal="center" vertical="center"/>
    </xf>
    <xf numFmtId="0" fontId="10" fillId="27" borderId="75" xfId="0" applyFont="1" applyFill="1" applyBorder="1" applyAlignment="1">
      <alignment horizontal="center" vertical="center"/>
    </xf>
    <xf numFmtId="0" fontId="40" fillId="33" borderId="75" xfId="0" applyFont="1" applyFill="1" applyBorder="1" applyAlignment="1">
      <alignment horizontal="center" vertical="center"/>
    </xf>
    <xf numFmtId="0" fontId="40" fillId="33" borderId="23" xfId="0" applyFont="1" applyFill="1" applyBorder="1" applyAlignment="1">
      <alignment horizontal="center" vertical="center"/>
    </xf>
    <xf numFmtId="0" fontId="40" fillId="33" borderId="34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73" fontId="5" fillId="0" borderId="33" xfId="31" applyNumberFormat="1" applyFont="1" applyFill="1" applyBorder="1" applyAlignment="1">
      <alignment horizontal="center" vertical="center" wrapText="1"/>
    </xf>
    <xf numFmtId="173" fontId="5" fillId="0" borderId="35" xfId="0" applyNumberFormat="1" applyFont="1" applyBorder="1" applyAlignment="1">
      <alignment horizontal="center" vertical="center" wrapText="1"/>
    </xf>
    <xf numFmtId="4" fontId="5" fillId="0" borderId="33" xfId="31" applyNumberFormat="1" applyFont="1" applyFill="1" applyBorder="1" applyAlignment="1">
      <alignment horizontal="center" vertical="center" wrapText="1"/>
    </xf>
    <xf numFmtId="4" fontId="5" fillId="0" borderId="34" xfId="31" applyNumberFormat="1" applyFont="1" applyFill="1" applyBorder="1" applyAlignment="1">
      <alignment horizontal="center" vertical="center" wrapText="1"/>
    </xf>
    <xf numFmtId="4" fontId="5" fillId="0" borderId="35" xfId="31" applyNumberFormat="1" applyFont="1" applyFill="1" applyBorder="1" applyAlignment="1">
      <alignment horizontal="center" vertical="center" wrapText="1"/>
    </xf>
    <xf numFmtId="173" fontId="5" fillId="0" borderId="41" xfId="31" applyNumberFormat="1" applyFont="1" applyFill="1" applyBorder="1" applyAlignment="1">
      <alignment horizontal="center"/>
    </xf>
    <xf numFmtId="173" fontId="5" fillId="0" borderId="72" xfId="31" applyNumberFormat="1" applyFont="1" applyFill="1" applyBorder="1" applyAlignment="1">
      <alignment horizontal="center"/>
    </xf>
    <xf numFmtId="173" fontId="5" fillId="0" borderId="75" xfId="31" applyNumberFormat="1" applyFont="1" applyFill="1" applyBorder="1" applyAlignment="1">
      <alignment horizontal="center"/>
    </xf>
    <xf numFmtId="4" fontId="5" fillId="35" borderId="33" xfId="31" applyNumberFormat="1" applyFont="1" applyFill="1" applyBorder="1" applyAlignment="1">
      <alignment horizontal="center" vertical="center" wrapText="1"/>
    </xf>
    <xf numFmtId="4" fontId="5" fillId="35" borderId="34" xfId="31" applyNumberFormat="1" applyFont="1" applyFill="1" applyBorder="1" applyAlignment="1">
      <alignment horizontal="center" vertical="center" wrapText="1"/>
    </xf>
    <xf numFmtId="4" fontId="5" fillId="35" borderId="35" xfId="31" applyNumberFormat="1" applyFont="1" applyFill="1" applyBorder="1" applyAlignment="1">
      <alignment horizontal="center" vertical="center" wrapText="1"/>
    </xf>
    <xf numFmtId="173" fontId="5" fillId="35" borderId="41" xfId="31" applyNumberFormat="1" applyFont="1" applyFill="1" applyBorder="1" applyAlignment="1">
      <alignment horizontal="center"/>
    </xf>
    <xf numFmtId="173" fontId="5" fillId="35" borderId="72" xfId="31" applyNumberFormat="1" applyFont="1" applyFill="1" applyBorder="1" applyAlignment="1">
      <alignment horizontal="center"/>
    </xf>
    <xf numFmtId="173" fontId="5" fillId="35" borderId="75" xfId="31" applyNumberFormat="1" applyFont="1" applyFill="1" applyBorder="1" applyAlignment="1">
      <alignment horizontal="center"/>
    </xf>
    <xf numFmtId="173" fontId="5" fillId="35" borderId="33" xfId="31" applyNumberFormat="1" applyFont="1" applyFill="1" applyBorder="1" applyAlignment="1">
      <alignment horizontal="center" vertical="center" wrapText="1"/>
    </xf>
    <xf numFmtId="173" fontId="5" fillId="35" borderId="35" xfId="0" applyNumberFormat="1" applyFont="1" applyFill="1" applyBorder="1" applyAlignment="1">
      <alignment horizontal="center" vertical="center" wrapText="1"/>
    </xf>
    <xf numFmtId="4" fontId="5" fillId="28" borderId="33" xfId="31" applyNumberFormat="1" applyFont="1" applyFill="1" applyBorder="1" applyAlignment="1">
      <alignment horizontal="center" vertical="center" wrapText="1"/>
    </xf>
    <xf numFmtId="4" fontId="5" fillId="28" borderId="34" xfId="31" applyNumberFormat="1" applyFont="1" applyFill="1" applyBorder="1" applyAlignment="1">
      <alignment horizontal="center" vertical="center" wrapText="1"/>
    </xf>
    <xf numFmtId="4" fontId="5" fillId="28" borderId="35" xfId="31" applyNumberFormat="1" applyFont="1" applyFill="1" applyBorder="1" applyAlignment="1">
      <alignment horizontal="center" vertical="center" wrapText="1"/>
    </xf>
    <xf numFmtId="173" fontId="5" fillId="28" borderId="41" xfId="31" applyNumberFormat="1" applyFont="1" applyFill="1" applyBorder="1" applyAlignment="1">
      <alignment horizontal="center"/>
    </xf>
    <xf numFmtId="173" fontId="5" fillId="28" borderId="72" xfId="31" applyNumberFormat="1" applyFont="1" applyFill="1" applyBorder="1" applyAlignment="1">
      <alignment horizontal="center"/>
    </xf>
    <xf numFmtId="173" fontId="5" fillId="28" borderId="75" xfId="31" applyNumberFormat="1" applyFont="1" applyFill="1" applyBorder="1" applyAlignment="1">
      <alignment horizontal="center"/>
    </xf>
    <xf numFmtId="173" fontId="5" fillId="28" borderId="33" xfId="31" applyNumberFormat="1" applyFont="1" applyFill="1" applyBorder="1" applyAlignment="1">
      <alignment horizontal="center" vertical="center" wrapText="1"/>
    </xf>
    <xf numFmtId="173" fontId="5" fillId="28" borderId="35" xfId="0" applyNumberFormat="1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/>
    </xf>
    <xf numFmtId="0" fontId="10" fillId="0" borderId="3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center" vertical="center" wrapText="1"/>
    </xf>
    <xf numFmtId="49" fontId="10" fillId="0" borderId="34" xfId="0" applyNumberFormat="1" applyFont="1" applyBorder="1" applyAlignment="1">
      <alignment horizontal="center" vertical="center" wrapText="1"/>
    </xf>
    <xf numFmtId="49" fontId="10" fillId="0" borderId="35" xfId="0" applyNumberFormat="1" applyFont="1" applyBorder="1" applyAlignment="1">
      <alignment horizontal="center" vertical="center" wrapText="1"/>
    </xf>
    <xf numFmtId="4" fontId="10" fillId="0" borderId="75" xfId="31" applyNumberFormat="1" applyFont="1" applyFill="1" applyBorder="1" applyAlignment="1">
      <alignment horizontal="center" vertical="center" wrapText="1"/>
    </xf>
    <xf numFmtId="4" fontId="10" fillId="0" borderId="23" xfId="31" applyNumberFormat="1" applyFont="1" applyFill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54" fillId="0" borderId="33" xfId="0" applyFont="1" applyBorder="1" applyAlignment="1">
      <alignment horizontal="center" vertical="center" wrapText="1"/>
    </xf>
    <xf numFmtId="0" fontId="54" fillId="0" borderId="35" xfId="0" applyFont="1" applyBorder="1" applyAlignment="1">
      <alignment horizontal="center" vertical="center" wrapText="1"/>
    </xf>
    <xf numFmtId="4" fontId="54" fillId="0" borderId="33" xfId="31" applyNumberFormat="1" applyFont="1" applyFill="1" applyBorder="1" applyAlignment="1">
      <alignment horizontal="center" vertical="center" wrapText="1"/>
    </xf>
    <xf numFmtId="0" fontId="54" fillId="0" borderId="44" xfId="0" applyFont="1" applyBorder="1" applyAlignment="1">
      <alignment horizontal="center" vertical="center" wrapText="1"/>
    </xf>
    <xf numFmtId="0" fontId="54" fillId="0" borderId="41" xfId="0" applyFont="1" applyBorder="1" applyAlignment="1">
      <alignment horizontal="center" vertical="center" wrapText="1"/>
    </xf>
    <xf numFmtId="0" fontId="54" fillId="0" borderId="72" xfId="0" applyFont="1" applyBorder="1" applyAlignment="1">
      <alignment horizontal="center" vertical="center" wrapText="1"/>
    </xf>
    <xf numFmtId="0" fontId="54" fillId="0" borderId="75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47" fillId="0" borderId="41" xfId="0" applyFont="1" applyBorder="1" applyAlignment="1">
      <alignment horizontal="center" vertical="center" wrapText="1"/>
    </xf>
    <xf numFmtId="0" fontId="47" fillId="0" borderId="72" xfId="0" applyFont="1" applyBorder="1" applyAlignment="1">
      <alignment horizontal="center" vertical="center" wrapText="1"/>
    </xf>
    <xf numFmtId="0" fontId="47" fillId="0" borderId="75" xfId="0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47" fillId="0" borderId="35" xfId="0" applyFont="1" applyBorder="1" applyAlignment="1">
      <alignment horizontal="center" vertical="center" wrapText="1"/>
    </xf>
    <xf numFmtId="4" fontId="47" fillId="0" borderId="33" xfId="31" applyNumberFormat="1" applyFont="1" applyFill="1" applyBorder="1" applyAlignment="1">
      <alignment horizontal="center" vertical="center" wrapText="1"/>
    </xf>
    <xf numFmtId="4" fontId="47" fillId="0" borderId="35" xfId="31" applyNumberFormat="1" applyFont="1" applyFill="1" applyBorder="1" applyAlignment="1">
      <alignment horizontal="center" vertical="center" wrapText="1"/>
    </xf>
    <xf numFmtId="4" fontId="10" fillId="33" borderId="134" xfId="31" applyNumberFormat="1" applyFont="1" applyFill="1" applyBorder="1" applyAlignment="1">
      <alignment horizontal="center" vertical="center" wrapText="1"/>
    </xf>
    <xf numFmtId="4" fontId="10" fillId="33" borderId="135" xfId="31" applyNumberFormat="1" applyFont="1" applyFill="1" applyBorder="1" applyAlignment="1">
      <alignment horizontal="center" vertical="center" wrapText="1"/>
    </xf>
    <xf numFmtId="4" fontId="10" fillId="33" borderId="136" xfId="31" applyNumberFormat="1" applyFont="1" applyFill="1" applyBorder="1" applyAlignment="1">
      <alignment horizontal="center" vertical="center" wrapText="1"/>
    </xf>
    <xf numFmtId="4" fontId="10" fillId="33" borderId="93" xfId="31" applyNumberFormat="1" applyFont="1" applyFill="1" applyBorder="1" applyAlignment="1">
      <alignment horizontal="center" vertical="center" wrapText="1"/>
    </xf>
    <xf numFmtId="4" fontId="10" fillId="33" borderId="74" xfId="31" applyNumberFormat="1" applyFont="1" applyFill="1" applyBorder="1" applyAlignment="1">
      <alignment horizontal="center" vertical="center" wrapText="1"/>
    </xf>
    <xf numFmtId="4" fontId="10" fillId="33" borderId="95" xfId="31" applyNumberFormat="1" applyFont="1" applyFill="1" applyBorder="1" applyAlignment="1">
      <alignment horizontal="center" vertical="center" wrapText="1"/>
    </xf>
    <xf numFmtId="4" fontId="10" fillId="33" borderId="60" xfId="31" applyNumberFormat="1" applyFont="1" applyFill="1" applyBorder="1" applyAlignment="1">
      <alignment horizontal="center" vertical="center" wrapText="1"/>
    </xf>
    <xf numFmtId="4" fontId="10" fillId="33" borderId="140" xfId="31" applyNumberFormat="1" applyFont="1" applyFill="1" applyBorder="1" applyAlignment="1">
      <alignment horizontal="center" vertical="center" wrapText="1"/>
    </xf>
    <xf numFmtId="4" fontId="10" fillId="33" borderId="125" xfId="31" applyNumberFormat="1" applyFont="1" applyFill="1" applyBorder="1" applyAlignment="1">
      <alignment horizontal="center" vertical="center" wrapText="1"/>
    </xf>
    <xf numFmtId="4" fontId="10" fillId="33" borderId="85" xfId="31" applyNumberFormat="1" applyFont="1" applyFill="1" applyBorder="1" applyAlignment="1">
      <alignment horizontal="center" vertical="center" wrapText="1"/>
    </xf>
    <xf numFmtId="4" fontId="10" fillId="33" borderId="115" xfId="31" applyNumberFormat="1" applyFont="1" applyFill="1" applyBorder="1" applyAlignment="1">
      <alignment horizontal="center" vertical="center" wrapText="1"/>
    </xf>
    <xf numFmtId="49" fontId="10" fillId="33" borderId="126" xfId="31" applyNumberFormat="1" applyFont="1" applyFill="1" applyBorder="1" applyAlignment="1">
      <alignment horizontal="center" vertical="center" textRotation="90" wrapText="1"/>
    </xf>
    <xf numFmtId="0" fontId="10" fillId="33" borderId="58" xfId="0" applyFont="1" applyFill="1" applyBorder="1" applyAlignment="1">
      <alignment horizontal="center" vertical="center" textRotation="90" wrapText="1"/>
    </xf>
    <xf numFmtId="0" fontId="10" fillId="33" borderId="137" xfId="0" applyFont="1" applyFill="1" applyBorder="1" applyAlignment="1">
      <alignment horizontal="center" vertical="center" textRotation="90" wrapText="1"/>
    </xf>
    <xf numFmtId="4" fontId="10" fillId="33" borderId="127" xfId="31" applyNumberFormat="1" applyFont="1" applyFill="1" applyBorder="1" applyAlignment="1">
      <alignment horizontal="center" vertical="center" wrapText="1"/>
    </xf>
    <xf numFmtId="0" fontId="10" fillId="33" borderId="10" xfId="0" applyFont="1" applyFill="1" applyBorder="1" applyAlignment="1">
      <alignment horizontal="center" vertical="center" wrapText="1"/>
    </xf>
    <xf numFmtId="0" fontId="10" fillId="33" borderId="138" xfId="0" applyFont="1" applyFill="1" applyBorder="1" applyAlignment="1">
      <alignment horizontal="center" vertical="center" wrapText="1"/>
    </xf>
    <xf numFmtId="173" fontId="10" fillId="33" borderId="10" xfId="31" applyNumberFormat="1" applyFont="1" applyFill="1" applyBorder="1" applyAlignment="1">
      <alignment horizontal="center"/>
    </xf>
    <xf numFmtId="173" fontId="10" fillId="33" borderId="38" xfId="31" applyNumberFormat="1" applyFont="1" applyFill="1" applyBorder="1" applyAlignment="1">
      <alignment horizontal="center"/>
    </xf>
    <xf numFmtId="173" fontId="10" fillId="33" borderId="10" xfId="37" applyNumberFormat="1" applyFont="1" applyFill="1" applyBorder="1" applyAlignment="1">
      <alignment horizontal="center" vertical="center" wrapText="1"/>
    </xf>
    <xf numFmtId="173" fontId="10" fillId="33" borderId="138" xfId="37" applyNumberFormat="1" applyFont="1" applyFill="1" applyBorder="1" applyAlignment="1">
      <alignment horizontal="center" vertical="center" wrapText="1"/>
    </xf>
    <xf numFmtId="4" fontId="10" fillId="33" borderId="58" xfId="31" applyNumberFormat="1" applyFont="1" applyFill="1" applyBorder="1" applyAlignment="1">
      <alignment horizontal="center"/>
    </xf>
    <xf numFmtId="4" fontId="10" fillId="33" borderId="10" xfId="31" applyNumberFormat="1" applyFont="1" applyFill="1" applyBorder="1" applyAlignment="1">
      <alignment horizontal="center"/>
    </xf>
    <xf numFmtId="173" fontId="10" fillId="33" borderId="127" xfId="37" applyNumberFormat="1" applyFont="1" applyFill="1" applyBorder="1" applyAlignment="1">
      <alignment horizontal="center" vertical="center"/>
    </xf>
    <xf numFmtId="173" fontId="10" fillId="33" borderId="10" xfId="37" applyNumberFormat="1" applyFont="1" applyFill="1" applyBorder="1" applyAlignment="1">
      <alignment horizontal="center" vertical="center"/>
    </xf>
    <xf numFmtId="173" fontId="10" fillId="33" borderId="38" xfId="37" applyNumberFormat="1" applyFont="1" applyFill="1" applyBorder="1" applyAlignment="1">
      <alignment horizontal="center" vertical="center" wrapText="1"/>
    </xf>
    <xf numFmtId="173" fontId="10" fillId="33" borderId="143" xfId="37" applyNumberFormat="1" applyFont="1" applyFill="1" applyBorder="1" applyAlignment="1">
      <alignment horizontal="center" vertical="center" wrapText="1"/>
    </xf>
    <xf numFmtId="173" fontId="10" fillId="33" borderId="10" xfId="31" applyNumberFormat="1" applyFont="1" applyFill="1" applyBorder="1" applyAlignment="1">
      <alignment horizontal="center" vertical="center" wrapText="1"/>
    </xf>
    <xf numFmtId="173" fontId="10" fillId="33" borderId="138" xfId="31" applyNumberFormat="1" applyFont="1" applyFill="1" applyBorder="1" applyAlignment="1">
      <alignment horizontal="center" vertical="center" wrapText="1"/>
    </xf>
    <xf numFmtId="173" fontId="10" fillId="33" borderId="130" xfId="37" applyNumberFormat="1" applyFont="1" applyFill="1" applyBorder="1" applyAlignment="1">
      <alignment horizontal="center"/>
    </xf>
    <xf numFmtId="173" fontId="10" fillId="33" borderId="127" xfId="37" applyNumberFormat="1" applyFont="1" applyFill="1" applyBorder="1" applyAlignment="1">
      <alignment horizontal="center"/>
    </xf>
    <xf numFmtId="173" fontId="10" fillId="33" borderId="131" xfId="37" applyNumberFormat="1" applyFont="1" applyFill="1" applyBorder="1" applyAlignment="1">
      <alignment horizontal="center"/>
    </xf>
    <xf numFmtId="173" fontId="10" fillId="33" borderId="132" xfId="37" applyNumberFormat="1" applyFont="1" applyFill="1" applyBorder="1" applyAlignment="1">
      <alignment horizontal="center"/>
    </xf>
    <xf numFmtId="173" fontId="10" fillId="33" borderId="129" xfId="37" applyNumberFormat="1" applyFont="1" applyFill="1" applyBorder="1" applyAlignment="1">
      <alignment horizontal="center"/>
    </xf>
    <xf numFmtId="173" fontId="10" fillId="33" borderId="133" xfId="37" applyNumberFormat="1" applyFont="1" applyFill="1" applyBorder="1" applyAlignment="1">
      <alignment horizontal="center"/>
    </xf>
    <xf numFmtId="173" fontId="10" fillId="33" borderId="52" xfId="37" applyNumberFormat="1" applyFont="1" applyFill="1" applyBorder="1" applyAlignment="1">
      <alignment horizontal="center" vertical="center" wrapText="1"/>
    </xf>
    <xf numFmtId="173" fontId="10" fillId="33" borderId="139" xfId="37" applyNumberFormat="1" applyFont="1" applyFill="1" applyBorder="1" applyAlignment="1">
      <alignment horizontal="center" vertical="center" wrapText="1"/>
    </xf>
    <xf numFmtId="173" fontId="10" fillId="33" borderId="60" xfId="37" applyNumberFormat="1" applyFont="1" applyFill="1" applyBorder="1" applyAlignment="1">
      <alignment horizontal="center" vertical="center" wrapText="1"/>
    </xf>
    <xf numFmtId="173" fontId="10" fillId="33" borderId="96" xfId="37" applyNumberFormat="1" applyFont="1" applyFill="1" applyBorder="1" applyAlignment="1">
      <alignment horizontal="center" vertical="center" wrapText="1"/>
    </xf>
    <xf numFmtId="173" fontId="10" fillId="33" borderId="140" xfId="37" applyNumberFormat="1" applyFont="1" applyFill="1" applyBorder="1" applyAlignment="1">
      <alignment horizontal="center" vertical="center" wrapText="1"/>
    </xf>
    <xf numFmtId="4" fontId="10" fillId="33" borderId="59" xfId="31" applyNumberFormat="1" applyFont="1" applyFill="1" applyBorder="1" applyAlignment="1">
      <alignment horizontal="center"/>
    </xf>
    <xf numFmtId="4" fontId="10" fillId="33" borderId="59" xfId="31" applyNumberFormat="1" applyFont="1" applyFill="1" applyBorder="1" applyAlignment="1">
      <alignment horizontal="center" vertical="center" wrapText="1"/>
    </xf>
    <xf numFmtId="4" fontId="10" fillId="33" borderId="142" xfId="31" applyNumberFormat="1" applyFont="1" applyFill="1" applyBorder="1" applyAlignment="1">
      <alignment horizontal="center" vertical="center" wrapText="1"/>
    </xf>
    <xf numFmtId="173" fontId="10" fillId="33" borderId="10" xfId="31" applyNumberFormat="1" applyFont="1" applyFill="1" applyBorder="1" applyAlignment="1">
      <alignment horizontal="left"/>
    </xf>
    <xf numFmtId="173" fontId="10" fillId="33" borderId="38" xfId="31" applyNumberFormat="1" applyFont="1" applyFill="1" applyBorder="1" applyAlignment="1">
      <alignment horizontal="left"/>
    </xf>
    <xf numFmtId="173" fontId="10" fillId="33" borderId="22" xfId="37" applyNumberFormat="1" applyFont="1" applyFill="1" applyBorder="1" applyAlignment="1">
      <alignment horizontal="center" vertical="center" wrapText="1"/>
    </xf>
    <xf numFmtId="4" fontId="10" fillId="33" borderId="131" xfId="31" applyNumberFormat="1" applyFont="1" applyFill="1" applyBorder="1" applyAlignment="1">
      <alignment horizontal="center" vertical="center" wrapText="1"/>
    </xf>
    <xf numFmtId="4" fontId="10" fillId="33" borderId="59" xfId="31" applyNumberFormat="1" applyFont="1" applyFill="1" applyBorder="1" applyAlignment="1">
      <alignment horizontal="center" vertical="center"/>
    </xf>
    <xf numFmtId="4" fontId="10" fillId="33" borderId="142" xfId="31" applyNumberFormat="1" applyFont="1" applyFill="1" applyBorder="1" applyAlignment="1">
      <alignment horizontal="center" vertical="center"/>
    </xf>
    <xf numFmtId="4" fontId="10" fillId="33" borderId="126" xfId="31" applyNumberFormat="1" applyFont="1" applyFill="1" applyBorder="1" applyAlignment="1">
      <alignment horizontal="center" vertical="center" wrapText="1"/>
    </xf>
    <xf numFmtId="4" fontId="10" fillId="33" borderId="130" xfId="31" applyNumberFormat="1" applyFont="1" applyFill="1" applyBorder="1" applyAlignment="1">
      <alignment horizontal="center" vertical="center" wrapText="1"/>
    </xf>
    <xf numFmtId="4" fontId="10" fillId="33" borderId="36" xfId="31" applyNumberFormat="1" applyFont="1" applyFill="1" applyBorder="1" applyAlignment="1">
      <alignment horizontal="center" vertical="center" wrapText="1"/>
    </xf>
    <xf numFmtId="4" fontId="8" fillId="0" borderId="0" xfId="31" applyNumberFormat="1" applyFont="1" applyAlignment="1">
      <alignment horizontal="center"/>
    </xf>
    <xf numFmtId="4" fontId="10" fillId="33" borderId="36" xfId="31" applyNumberFormat="1" applyFont="1" applyFill="1" applyBorder="1" applyAlignment="1">
      <alignment horizontal="left"/>
    </xf>
    <xf numFmtId="4" fontId="10" fillId="33" borderId="10" xfId="31" applyNumberFormat="1" applyFont="1" applyFill="1" applyBorder="1" applyAlignment="1">
      <alignment horizontal="left"/>
    </xf>
    <xf numFmtId="4" fontId="10" fillId="33" borderId="59" xfId="31" applyNumberFormat="1" applyFont="1" applyFill="1" applyBorder="1" applyAlignment="1">
      <alignment horizontal="left"/>
    </xf>
    <xf numFmtId="4" fontId="10" fillId="33" borderId="52" xfId="31" applyNumberFormat="1" applyFont="1" applyFill="1" applyBorder="1" applyAlignment="1">
      <alignment horizontal="center" vertical="center" wrapText="1"/>
    </xf>
    <xf numFmtId="4" fontId="10" fillId="33" borderId="22" xfId="31" applyNumberFormat="1" applyFont="1" applyFill="1" applyBorder="1" applyAlignment="1">
      <alignment horizontal="center" vertical="center" wrapText="1"/>
    </xf>
    <xf numFmtId="4" fontId="10" fillId="33" borderId="139" xfId="31" applyNumberFormat="1" applyFont="1" applyFill="1" applyBorder="1" applyAlignment="1">
      <alignment horizontal="center" vertical="center" wrapText="1"/>
    </xf>
    <xf numFmtId="0" fontId="42" fillId="0" borderId="20" xfId="50" applyFont="1" applyBorder="1" applyAlignment="1">
      <alignment horizontal="center"/>
    </xf>
    <xf numFmtId="0" fontId="42" fillId="0" borderId="0" xfId="50" applyFont="1" applyAlignment="1">
      <alignment horizontal="center"/>
    </xf>
    <xf numFmtId="0" fontId="42" fillId="0" borderId="23" xfId="50" applyFont="1" applyBorder="1" applyAlignment="1">
      <alignment horizontal="center"/>
    </xf>
    <xf numFmtId="0" fontId="41" fillId="0" borderId="0" xfId="50" applyFont="1" applyAlignment="1">
      <alignment horizontal="center"/>
    </xf>
    <xf numFmtId="0" fontId="42" fillId="0" borderId="41" xfId="50" applyFont="1" applyBorder="1" applyAlignment="1">
      <alignment horizontal="center"/>
    </xf>
    <xf numFmtId="0" fontId="42" fillId="0" borderId="72" xfId="50" applyFont="1" applyBorder="1" applyAlignment="1">
      <alignment horizontal="center"/>
    </xf>
    <xf numFmtId="0" fontId="42" fillId="0" borderId="75" xfId="50" applyFont="1" applyBorder="1" applyAlignment="1">
      <alignment horizontal="center"/>
    </xf>
    <xf numFmtId="49" fontId="42" fillId="0" borderId="20" xfId="50" applyNumberFormat="1" applyFont="1" applyBorder="1" applyAlignment="1">
      <alignment horizontal="center"/>
    </xf>
    <xf numFmtId="49" fontId="42" fillId="0" borderId="0" xfId="50" applyNumberFormat="1" applyFont="1" applyAlignment="1">
      <alignment horizontal="center"/>
    </xf>
    <xf numFmtId="49" fontId="42" fillId="0" borderId="23" xfId="50" applyNumberFormat="1" applyFont="1" applyBorder="1" applyAlignment="1">
      <alignment horizontal="center"/>
    </xf>
    <xf numFmtId="0" fontId="44" fillId="0" borderId="44" xfId="50" applyFont="1" applyBorder="1" applyAlignment="1">
      <alignment horizontal="center"/>
    </xf>
    <xf numFmtId="0" fontId="44" fillId="0" borderId="31" xfId="50" applyFont="1" applyBorder="1" applyAlignment="1">
      <alignment horizontal="center"/>
    </xf>
    <xf numFmtId="0" fontId="44" fillId="0" borderId="76" xfId="50" applyFont="1" applyBorder="1" applyAlignment="1">
      <alignment horizontal="center"/>
    </xf>
    <xf numFmtId="0" fontId="41" fillId="0" borderId="0" xfId="0" applyFont="1" applyAlignment="1">
      <alignment horizontal="center"/>
    </xf>
    <xf numFmtId="49" fontId="41" fillId="0" borderId="0" xfId="0" applyNumberFormat="1" applyFont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41" fillId="0" borderId="0" xfId="0" applyFont="1" applyAlignment="1">
      <alignment horizontal="center" vertical="center" wrapText="1"/>
    </xf>
    <xf numFmtId="49" fontId="41" fillId="0" borderId="31" xfId="0" applyNumberFormat="1" applyFont="1" applyBorder="1" applyAlignment="1">
      <alignment horizontal="center"/>
    </xf>
    <xf numFmtId="0" fontId="45" fillId="0" borderId="33" xfId="0" applyFont="1" applyBorder="1" applyAlignment="1">
      <alignment horizontal="center" vertical="center" wrapText="1"/>
    </xf>
    <xf numFmtId="0" fontId="46" fillId="0" borderId="35" xfId="0" applyFont="1" applyBorder="1" applyAlignment="1">
      <alignment vertical="center" wrapText="1"/>
    </xf>
    <xf numFmtId="0" fontId="45" fillId="0" borderId="27" xfId="0" applyFont="1" applyBorder="1" applyAlignment="1">
      <alignment horizontal="center" vertical="center" wrapText="1"/>
    </xf>
    <xf numFmtId="0" fontId="46" fillId="0" borderId="77" xfId="0" applyFont="1" applyBorder="1" applyAlignment="1">
      <alignment vertical="center" wrapText="1"/>
    </xf>
    <xf numFmtId="0" fontId="55" fillId="0" borderId="27" xfId="0" applyFont="1" applyBorder="1" applyAlignment="1">
      <alignment horizontal="center" vertical="center" wrapText="1"/>
    </xf>
    <xf numFmtId="0" fontId="56" fillId="0" borderId="77" xfId="0" applyFont="1" applyBorder="1" applyAlignment="1">
      <alignment vertical="center" wrapText="1"/>
    </xf>
    <xf numFmtId="49" fontId="55" fillId="0" borderId="33" xfId="0" applyNumberFormat="1" applyFont="1" applyBorder="1" applyAlignment="1">
      <alignment horizontal="center" vertical="center" wrapText="1"/>
    </xf>
    <xf numFmtId="49" fontId="55" fillId="0" borderId="35" xfId="0" applyNumberFormat="1" applyFont="1" applyBorder="1" applyAlignment="1">
      <alignment horizontal="center" vertical="center" wrapText="1"/>
    </xf>
    <xf numFmtId="0" fontId="55" fillId="0" borderId="33" xfId="0" applyFont="1" applyBorder="1" applyAlignment="1">
      <alignment horizontal="center" vertical="center" wrapText="1"/>
    </xf>
    <xf numFmtId="0" fontId="56" fillId="0" borderId="35" xfId="0" applyFont="1" applyBorder="1" applyAlignment="1">
      <alignment vertical="center" wrapText="1"/>
    </xf>
    <xf numFmtId="0" fontId="7" fillId="0" borderId="0" xfId="52" applyFont="1" applyAlignment="1">
      <alignment horizontal="center"/>
    </xf>
    <xf numFmtId="0" fontId="7" fillId="0" borderId="0" xfId="52" applyFont="1" applyAlignment="1">
      <alignment horizontal="center" vertical="center"/>
    </xf>
    <xf numFmtId="0" fontId="67" fillId="0" borderId="0" xfId="55" applyFont="1" applyAlignment="1">
      <alignment horizontal="center" vertical="center"/>
    </xf>
    <xf numFmtId="0" fontId="7" fillId="0" borderId="0" xfId="52" applyFont="1" applyAlignment="1">
      <alignment horizontal="left" vertical="center" wrapText="1"/>
    </xf>
  </cellXfs>
  <cellStyles count="5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4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Incorrecto" xfId="32" builtinId="27" customBuiltin="1"/>
    <cellStyle name="Millares" xfId="33" builtinId="3"/>
    <cellStyle name="Millares_bienes y servicios 2003 juayua" xfId="34" xr:uid="{00000000-0005-0000-0000-000021000000}"/>
    <cellStyle name="Millares_FORMATOS" xfId="35" xr:uid="{00000000-0005-0000-0000-000022000000}"/>
    <cellStyle name="Millares_Presupuesto_Ingresos2003" xfId="36" xr:uid="{00000000-0005-0000-0000-000023000000}"/>
    <cellStyle name="Moneda" xfId="37" builtinId="4"/>
    <cellStyle name="Moneda 2" xfId="49" xr:uid="{00000000-0005-0000-0000-000025000000}"/>
    <cellStyle name="Moneda 2 2" xfId="54" xr:uid="{BE9A8DBA-C276-438E-A6A9-1F60F3DCC8DA}"/>
    <cellStyle name="Neutral" xfId="38" builtinId="28" customBuiltin="1"/>
    <cellStyle name="Normal" xfId="0" builtinId="0"/>
    <cellStyle name="Normal 2" xfId="48" xr:uid="{00000000-0005-0000-0000-000028000000}"/>
    <cellStyle name="Normal 2 2" xfId="52" xr:uid="{68F72A79-4E5A-4F98-B8C1-BAD04D3D0E48}"/>
    <cellStyle name="Normal 3" xfId="50" xr:uid="{00000000-0005-0000-0000-000029000000}"/>
    <cellStyle name="Normal 4" xfId="53" xr:uid="{C80B20B5-3B6A-47B1-869B-AF9141385D18}"/>
    <cellStyle name="Normal 5" xfId="55" xr:uid="{D76FA4C7-C344-4A60-9B3C-E06F9C7A2A32}"/>
    <cellStyle name="Notas" xfId="39" builtinId="10" customBuiltin="1"/>
    <cellStyle name="Notas 2" xfId="51" xr:uid="{00000000-0005-0000-0000-00002B000000}"/>
    <cellStyle name="Salida" xfId="40" builtinId="21" customBuiltin="1"/>
    <cellStyle name="Texto de advertencia" xfId="41" builtinId="11" customBuiltin="1"/>
    <cellStyle name="Texto explicativo" xfId="42" builtinId="53" customBuiltin="1"/>
    <cellStyle name="Título" xfId="43" builtinId="15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6768</xdr:colOff>
      <xdr:row>0</xdr:row>
      <xdr:rowOff>23044</xdr:rowOff>
    </xdr:from>
    <xdr:to>
      <xdr:col>2</xdr:col>
      <xdr:colOff>38407</xdr:colOff>
      <xdr:row>5</xdr:row>
      <xdr:rowOff>27437</xdr:rowOff>
    </xdr:to>
    <xdr:pic>
      <xdr:nvPicPr>
        <xdr:cNvPr id="2" name="Picture 1" descr="COL_ESCU">
          <a:extLst>
            <a:ext uri="{FF2B5EF4-FFF2-40B4-BE49-F238E27FC236}">
              <a16:creationId xmlns:a16="http://schemas.microsoft.com/office/drawing/2014/main" id="{1F185A91-2A70-42E7-A8BE-1C519A347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68" y="23044"/>
          <a:ext cx="879364" cy="842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4255525</xdr:colOff>
      <xdr:row>0</xdr:row>
      <xdr:rowOff>0</xdr:rowOff>
    </xdr:from>
    <xdr:to>
      <xdr:col>3</xdr:col>
      <xdr:colOff>645251</xdr:colOff>
      <xdr:row>5</xdr:row>
      <xdr:rowOff>53769</xdr:rowOff>
    </xdr:to>
    <xdr:pic>
      <xdr:nvPicPr>
        <xdr:cNvPr id="3" name="Picture 2" descr="Alcaldía El Carmen">
          <a:extLst>
            <a:ext uri="{FF2B5EF4-FFF2-40B4-BE49-F238E27FC236}">
              <a16:creationId xmlns:a16="http://schemas.microsoft.com/office/drawing/2014/main" id="{ED261622-AA14-44AC-AD41-862307DC1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3750" y="0"/>
          <a:ext cx="904576" cy="891969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1:F39"/>
  <sheetViews>
    <sheetView zoomScale="115" zoomScaleNormal="115" workbookViewId="0">
      <selection activeCell="D10" sqref="D10"/>
    </sheetView>
  </sheetViews>
  <sheetFormatPr baseColWidth="10" defaultRowHeight="12.75" x14ac:dyDescent="0.2"/>
  <cols>
    <col min="1" max="1" width="1.28515625" style="524" customWidth="1"/>
    <col min="2" max="2" width="7.28515625" style="524" customWidth="1"/>
    <col min="3" max="3" width="7.140625" style="524" customWidth="1"/>
    <col min="4" max="4" width="31.7109375" style="524" customWidth="1"/>
    <col min="5" max="5" width="50" style="524" customWidth="1"/>
    <col min="6" max="16384" width="11.42578125" style="524"/>
  </cols>
  <sheetData>
    <row r="1" spans="2:5" x14ac:dyDescent="0.2">
      <c r="B1" s="1351" t="s">
        <v>294</v>
      </c>
      <c r="C1" s="1351"/>
      <c r="D1" s="1351"/>
      <c r="E1" s="1351"/>
    </row>
    <row r="2" spans="2:5" x14ac:dyDescent="0.2">
      <c r="B2" s="1352" t="s">
        <v>776</v>
      </c>
      <c r="C2" s="1352"/>
      <c r="D2" s="1352"/>
      <c r="E2" s="1352"/>
    </row>
    <row r="3" spans="2:5" ht="13.5" thickBot="1" x14ac:dyDescent="0.25">
      <c r="B3" s="1352" t="s">
        <v>845</v>
      </c>
      <c r="C3" s="1352"/>
      <c r="D3" s="1352"/>
      <c r="E3" s="1352"/>
    </row>
    <row r="4" spans="2:5" ht="33.75" x14ac:dyDescent="0.2">
      <c r="B4" s="546" t="s">
        <v>501</v>
      </c>
      <c r="C4" s="547" t="s">
        <v>500</v>
      </c>
      <c r="D4" s="547" t="s">
        <v>103</v>
      </c>
      <c r="E4" s="548" t="s">
        <v>499</v>
      </c>
    </row>
    <row r="5" spans="2:5" s="795" customFormat="1" ht="20.25" customHeight="1" x14ac:dyDescent="0.2">
      <c r="B5" s="1353" t="s">
        <v>590</v>
      </c>
      <c r="C5" s="1354"/>
      <c r="D5" s="1354"/>
      <c r="E5" s="1355"/>
    </row>
    <row r="6" spans="2:5" s="795" customFormat="1" ht="16.5" customHeight="1" x14ac:dyDescent="0.2">
      <c r="B6" s="796" t="s">
        <v>265</v>
      </c>
      <c r="C6" s="797"/>
      <c r="D6" s="797" t="s">
        <v>306</v>
      </c>
      <c r="E6" s="798"/>
    </row>
    <row r="7" spans="2:5" ht="60" customHeight="1" x14ac:dyDescent="0.2">
      <c r="B7" s="549"/>
      <c r="C7" s="550" t="s">
        <v>20</v>
      </c>
      <c r="D7" s="551" t="s">
        <v>411</v>
      </c>
      <c r="E7" s="669" t="s">
        <v>788</v>
      </c>
    </row>
    <row r="8" spans="2:5" ht="30" customHeight="1" x14ac:dyDescent="0.2">
      <c r="B8" s="549"/>
      <c r="C8" s="550" t="s">
        <v>21</v>
      </c>
      <c r="D8" s="551" t="s">
        <v>412</v>
      </c>
      <c r="E8" s="535" t="s">
        <v>846</v>
      </c>
    </row>
    <row r="9" spans="2:5" s="795" customFormat="1" ht="16.5" customHeight="1" x14ac:dyDescent="0.2">
      <c r="B9" s="796" t="s">
        <v>269</v>
      </c>
      <c r="C9" s="799"/>
      <c r="D9" s="797" t="s">
        <v>270</v>
      </c>
      <c r="E9" s="798"/>
    </row>
    <row r="10" spans="2:5" ht="33.75" x14ac:dyDescent="0.2">
      <c r="B10" s="549"/>
      <c r="C10" s="550" t="s">
        <v>24</v>
      </c>
      <c r="D10" s="551" t="s">
        <v>307</v>
      </c>
      <c r="E10" s="535" t="s">
        <v>787</v>
      </c>
    </row>
    <row r="11" spans="2:5" ht="27" customHeight="1" x14ac:dyDescent="0.2">
      <c r="B11" s="549"/>
      <c r="C11" s="550" t="s">
        <v>244</v>
      </c>
      <c r="D11" s="551" t="s">
        <v>308</v>
      </c>
      <c r="E11" s="535" t="s">
        <v>789</v>
      </c>
    </row>
    <row r="12" spans="2:5" s="795" customFormat="1" ht="20.25" customHeight="1" x14ac:dyDescent="0.2">
      <c r="B12" s="1353" t="s">
        <v>309</v>
      </c>
      <c r="C12" s="1354"/>
      <c r="D12" s="1354"/>
      <c r="E12" s="1355"/>
    </row>
    <row r="13" spans="2:5" s="795" customFormat="1" ht="16.5" customHeight="1" x14ac:dyDescent="0.2">
      <c r="B13" s="796" t="s">
        <v>272</v>
      </c>
      <c r="C13" s="799"/>
      <c r="D13" s="797" t="s">
        <v>310</v>
      </c>
      <c r="E13" s="798"/>
    </row>
    <row r="14" spans="2:5" x14ac:dyDescent="0.2">
      <c r="B14" s="549"/>
      <c r="C14" s="550" t="s">
        <v>224</v>
      </c>
      <c r="D14" s="552" t="s">
        <v>311</v>
      </c>
      <c r="E14" s="1350" t="s">
        <v>786</v>
      </c>
    </row>
    <row r="15" spans="2:5" ht="70.5" customHeight="1" x14ac:dyDescent="0.2">
      <c r="B15" s="549"/>
      <c r="C15" s="550" t="s">
        <v>225</v>
      </c>
      <c r="D15" s="552" t="s">
        <v>312</v>
      </c>
      <c r="E15" s="1350"/>
    </row>
    <row r="16" spans="2:5" ht="81" customHeight="1" x14ac:dyDescent="0.2">
      <c r="B16" s="549"/>
      <c r="C16" s="550" t="s">
        <v>623</v>
      </c>
      <c r="D16" s="552" t="s">
        <v>312</v>
      </c>
      <c r="E16" s="535" t="s">
        <v>596</v>
      </c>
    </row>
    <row r="17" spans="2:5" s="795" customFormat="1" ht="16.5" customHeight="1" x14ac:dyDescent="0.2">
      <c r="B17" s="800" t="s">
        <v>624</v>
      </c>
      <c r="C17" s="554"/>
      <c r="D17" s="555" t="s">
        <v>626</v>
      </c>
      <c r="E17" s="801"/>
    </row>
    <row r="18" spans="2:5" x14ac:dyDescent="0.2">
      <c r="B18" s="549"/>
      <c r="C18" s="550" t="s">
        <v>617</v>
      </c>
      <c r="D18" s="552" t="s">
        <v>627</v>
      </c>
      <c r="E18" s="1356" t="s">
        <v>628</v>
      </c>
    </row>
    <row r="19" spans="2:5" x14ac:dyDescent="0.2">
      <c r="B19" s="549"/>
      <c r="C19" s="550" t="s">
        <v>618</v>
      </c>
      <c r="D19" s="552" t="s">
        <v>629</v>
      </c>
      <c r="E19" s="1357"/>
    </row>
    <row r="20" spans="2:5" x14ac:dyDescent="0.2">
      <c r="B20" s="549"/>
      <c r="C20" s="550" t="s">
        <v>625</v>
      </c>
      <c r="D20" s="552" t="s">
        <v>630</v>
      </c>
      <c r="E20" s="1358"/>
    </row>
    <row r="21" spans="2:5" s="795" customFormat="1" ht="16.5" customHeight="1" x14ac:dyDescent="0.2">
      <c r="B21" s="800" t="s">
        <v>905</v>
      </c>
      <c r="C21" s="554"/>
      <c r="D21" s="555" t="s">
        <v>48</v>
      </c>
      <c r="E21" s="801"/>
    </row>
    <row r="22" spans="2:5" x14ac:dyDescent="0.2">
      <c r="B22" s="549"/>
      <c r="C22" s="550" t="s">
        <v>889</v>
      </c>
      <c r="D22" s="552" t="s">
        <v>707</v>
      </c>
      <c r="E22" s="1361" t="s">
        <v>952</v>
      </c>
    </row>
    <row r="23" spans="2:5" x14ac:dyDescent="0.2">
      <c r="B23" s="549"/>
      <c r="C23" s="550" t="s">
        <v>891</v>
      </c>
      <c r="D23" s="552" t="s">
        <v>892</v>
      </c>
      <c r="E23" s="1362"/>
    </row>
    <row r="24" spans="2:5" x14ac:dyDescent="0.2">
      <c r="B24" s="549"/>
      <c r="C24" s="550" t="s">
        <v>893</v>
      </c>
      <c r="D24" s="552" t="s">
        <v>894</v>
      </c>
      <c r="E24" s="1362"/>
    </row>
    <row r="25" spans="2:5" x14ac:dyDescent="0.2">
      <c r="B25" s="549"/>
      <c r="C25" s="550" t="s">
        <v>895</v>
      </c>
      <c r="D25" s="552" t="s">
        <v>896</v>
      </c>
      <c r="E25" s="1362"/>
    </row>
    <row r="26" spans="2:5" x14ac:dyDescent="0.2">
      <c r="B26" s="553" t="s">
        <v>950</v>
      </c>
      <c r="C26" s="554"/>
      <c r="D26" s="555" t="s">
        <v>951</v>
      </c>
      <c r="E26" s="895"/>
    </row>
    <row r="27" spans="2:5" x14ac:dyDescent="0.2">
      <c r="B27" s="549"/>
      <c r="C27" s="550" t="s">
        <v>949</v>
      </c>
      <c r="D27" s="552" t="s">
        <v>898</v>
      </c>
      <c r="E27" s="895"/>
    </row>
    <row r="28" spans="2:5" x14ac:dyDescent="0.2">
      <c r="B28" s="549"/>
      <c r="C28" s="550"/>
      <c r="D28" s="552"/>
      <c r="E28" s="895"/>
    </row>
    <row r="29" spans="2:5" s="795" customFormat="1" ht="20.25" customHeight="1" x14ac:dyDescent="0.2">
      <c r="B29" s="1353" t="s">
        <v>313</v>
      </c>
      <c r="C29" s="1354"/>
      <c r="D29" s="1354"/>
      <c r="E29" s="1355"/>
    </row>
    <row r="30" spans="2:5" s="795" customFormat="1" ht="16.5" customHeight="1" x14ac:dyDescent="0.2">
      <c r="B30" s="796" t="s">
        <v>277</v>
      </c>
      <c r="C30" s="551"/>
      <c r="D30" s="797" t="s">
        <v>314</v>
      </c>
      <c r="E30" s="802"/>
    </row>
    <row r="31" spans="2:5" ht="56.25" x14ac:dyDescent="0.2">
      <c r="B31" s="549"/>
      <c r="C31" s="550" t="s">
        <v>226</v>
      </c>
      <c r="D31" s="552" t="s">
        <v>410</v>
      </c>
      <c r="E31" s="669" t="s">
        <v>597</v>
      </c>
    </row>
    <row r="32" spans="2:5" ht="56.25" x14ac:dyDescent="0.2">
      <c r="B32" s="549"/>
      <c r="C32" s="550" t="s">
        <v>408</v>
      </c>
      <c r="D32" s="552" t="s">
        <v>410</v>
      </c>
      <c r="E32" s="669" t="s">
        <v>689</v>
      </c>
    </row>
    <row r="33" spans="2:6" s="795" customFormat="1" ht="20.25" customHeight="1" x14ac:dyDescent="0.2">
      <c r="B33" s="1353" t="s">
        <v>315</v>
      </c>
      <c r="C33" s="1354"/>
      <c r="D33" s="1354"/>
      <c r="E33" s="1355"/>
    </row>
    <row r="34" spans="2:6" s="795" customFormat="1" ht="16.5" customHeight="1" x14ac:dyDescent="0.2">
      <c r="B34" s="796" t="s">
        <v>281</v>
      </c>
      <c r="C34" s="551"/>
      <c r="D34" s="797" t="s">
        <v>282</v>
      </c>
      <c r="E34" s="803"/>
    </row>
    <row r="35" spans="2:6" x14ac:dyDescent="0.2">
      <c r="B35" s="553"/>
      <c r="C35" s="550" t="s">
        <v>227</v>
      </c>
      <c r="D35" s="552" t="s">
        <v>417</v>
      </c>
      <c r="E35" s="1359" t="s">
        <v>598</v>
      </c>
    </row>
    <row r="36" spans="2:6" x14ac:dyDescent="0.2">
      <c r="B36" s="553"/>
      <c r="C36" s="550" t="s">
        <v>544</v>
      </c>
      <c r="D36" s="552" t="s">
        <v>557</v>
      </c>
      <c r="E36" s="1359"/>
    </row>
    <row r="37" spans="2:6" ht="13.5" thickBot="1" x14ac:dyDescent="0.25">
      <c r="B37" s="556"/>
      <c r="C37" s="557" t="s">
        <v>416</v>
      </c>
      <c r="D37" s="558" t="s">
        <v>212</v>
      </c>
      <c r="E37" s="1360"/>
    </row>
    <row r="39" spans="2:6" x14ac:dyDescent="0.2">
      <c r="F39" s="559"/>
    </row>
  </sheetData>
  <mergeCells count="11">
    <mergeCell ref="E18:E20"/>
    <mergeCell ref="B29:E29"/>
    <mergeCell ref="B33:E33"/>
    <mergeCell ref="E35:E37"/>
    <mergeCell ref="E22:E25"/>
    <mergeCell ref="E14:E15"/>
    <mergeCell ref="B1:E1"/>
    <mergeCell ref="B2:E2"/>
    <mergeCell ref="B3:E3"/>
    <mergeCell ref="B5:E5"/>
    <mergeCell ref="B12:E12"/>
  </mergeCells>
  <printOptions horizontalCentered="1"/>
  <pageMargins left="0.55118110236220474" right="0.31496062992125984" top="0.51181102362204722" bottom="0.35433070866141736" header="0" footer="0"/>
  <pageSetup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theme="8" tint="0.39997558519241921"/>
  </sheetPr>
  <dimension ref="A2:N68"/>
  <sheetViews>
    <sheetView showGridLines="0" workbookViewId="0">
      <selection activeCell="B6" sqref="B6"/>
    </sheetView>
  </sheetViews>
  <sheetFormatPr baseColWidth="10" defaultRowHeight="12.75" x14ac:dyDescent="0.2"/>
  <cols>
    <col min="1" max="1" width="9.7109375" style="412" customWidth="1"/>
    <col min="2" max="2" width="57.5703125" customWidth="1"/>
    <col min="3" max="3" width="19.85546875" customWidth="1"/>
    <col min="4" max="5" width="18.42578125" hidden="1" customWidth="1"/>
    <col min="6" max="6" width="14.140625" hidden="1" customWidth="1"/>
    <col min="7" max="7" width="18.140625" hidden="1" customWidth="1"/>
    <col min="8" max="8" width="15.85546875" customWidth="1"/>
    <col min="9" max="9" width="13" customWidth="1"/>
    <col min="10" max="10" width="12.42578125" bestFit="1" customWidth="1"/>
    <col min="11" max="12" width="13.28515625" customWidth="1"/>
  </cols>
  <sheetData>
    <row r="2" spans="1:8" ht="15" x14ac:dyDescent="0.2">
      <c r="A2" s="826" t="s">
        <v>447</v>
      </c>
      <c r="B2" s="826"/>
      <c r="C2" s="826"/>
      <c r="D2" s="826"/>
      <c r="E2" s="826"/>
      <c r="F2" s="826"/>
      <c r="G2" s="826"/>
      <c r="H2" s="826"/>
    </row>
    <row r="3" spans="1:8" x14ac:dyDescent="0.2">
      <c r="A3" s="827" t="s">
        <v>523</v>
      </c>
      <c r="B3" s="827"/>
      <c r="C3" s="827"/>
      <c r="D3" s="827"/>
      <c r="E3" s="827"/>
      <c r="F3" s="827"/>
      <c r="G3" s="827"/>
      <c r="H3" s="827"/>
    </row>
    <row r="4" spans="1:8" x14ac:dyDescent="0.2">
      <c r="A4" s="73"/>
      <c r="B4" s="73"/>
      <c r="C4" s="73"/>
      <c r="D4" s="73"/>
      <c r="E4" s="73"/>
      <c r="F4" s="73"/>
      <c r="G4" s="73"/>
      <c r="H4" s="73"/>
    </row>
    <row r="5" spans="1:8" ht="16.7" customHeight="1" x14ac:dyDescent="0.2">
      <c r="A5" s="825" t="s">
        <v>406</v>
      </c>
      <c r="B5" s="825"/>
      <c r="C5" s="825"/>
      <c r="D5" s="825"/>
      <c r="E5" s="825"/>
      <c r="F5" s="825"/>
      <c r="G5" s="825"/>
      <c r="H5" s="825"/>
    </row>
    <row r="6" spans="1:8" ht="16.7" customHeight="1" x14ac:dyDescent="0.2">
      <c r="A6" s="825" t="s">
        <v>861</v>
      </c>
      <c r="B6" s="825"/>
      <c r="C6" s="825"/>
      <c r="D6" s="825"/>
      <c r="E6" s="825"/>
      <c r="F6" s="825"/>
      <c r="G6" s="825"/>
      <c r="H6" s="825"/>
    </row>
    <row r="7" spans="1:8" ht="16.7" customHeight="1" x14ac:dyDescent="0.2">
      <c r="A7" s="825" t="s">
        <v>323</v>
      </c>
      <c r="B7" s="825"/>
      <c r="C7" s="825"/>
      <c r="D7" s="825"/>
      <c r="E7" s="825"/>
      <c r="F7" s="825"/>
      <c r="G7" s="825"/>
      <c r="H7" s="825"/>
    </row>
    <row r="8" spans="1:8" ht="16.7" customHeight="1" x14ac:dyDescent="0.2">
      <c r="A8" s="825" t="s">
        <v>324</v>
      </c>
      <c r="B8" s="825"/>
      <c r="C8" s="825"/>
      <c r="D8" s="825"/>
      <c r="E8" s="825"/>
      <c r="F8" s="825"/>
      <c r="G8" s="825"/>
      <c r="H8" s="825"/>
    </row>
    <row r="9" spans="1:8" ht="16.7" customHeight="1" x14ac:dyDescent="0.2">
      <c r="A9" s="825" t="s">
        <v>451</v>
      </c>
      <c r="B9" s="825"/>
      <c r="C9" s="825"/>
      <c r="D9" s="825"/>
      <c r="E9" s="825"/>
      <c r="F9" s="825"/>
      <c r="G9" s="825"/>
      <c r="H9" s="825"/>
    </row>
    <row r="10" spans="1:8" ht="13.5" thickBot="1" x14ac:dyDescent="0.25">
      <c r="A10" s="131"/>
      <c r="B10" s="131"/>
      <c r="C10" s="131"/>
      <c r="D10" s="131"/>
      <c r="E10" s="131"/>
      <c r="F10" s="131"/>
      <c r="G10" s="131"/>
      <c r="H10" s="131"/>
    </row>
    <row r="11" spans="1:8" ht="28.5" customHeight="1" thickBot="1" x14ac:dyDescent="0.25">
      <c r="A11" s="414" t="s">
        <v>207</v>
      </c>
      <c r="B11" s="1520" t="s">
        <v>188</v>
      </c>
      <c r="C11" s="1515" t="s">
        <v>189</v>
      </c>
      <c r="D11" s="1516"/>
      <c r="E11" s="1516"/>
      <c r="F11" s="1516"/>
      <c r="G11" s="1517"/>
      <c r="H11" s="1518" t="s">
        <v>434</v>
      </c>
    </row>
    <row r="12" spans="1:8" ht="18.75" customHeight="1" thickBot="1" x14ac:dyDescent="0.3">
      <c r="A12" s="415" t="s">
        <v>208</v>
      </c>
      <c r="B12" s="1521"/>
      <c r="C12" s="141" t="s">
        <v>190</v>
      </c>
      <c r="D12" s="141" t="s">
        <v>1</v>
      </c>
      <c r="E12" s="141" t="s">
        <v>2</v>
      </c>
      <c r="F12" s="142" t="s">
        <v>3</v>
      </c>
      <c r="G12" s="32" t="s">
        <v>119</v>
      </c>
      <c r="H12" s="1519"/>
    </row>
    <row r="13" spans="1:8" hidden="1" x14ac:dyDescent="0.2">
      <c r="A13" s="416"/>
      <c r="B13" s="417"/>
      <c r="C13" s="418"/>
      <c r="D13" s="8"/>
      <c r="E13" s="8"/>
      <c r="F13" s="8"/>
      <c r="G13" s="8"/>
      <c r="H13" s="9"/>
    </row>
    <row r="14" spans="1:8" hidden="1" x14ac:dyDescent="0.2">
      <c r="A14" s="419"/>
      <c r="B14" s="420"/>
      <c r="C14" s="421"/>
      <c r="D14" s="6"/>
      <c r="E14" s="6"/>
      <c r="F14" s="6"/>
      <c r="G14" s="6"/>
      <c r="H14" s="10"/>
    </row>
    <row r="15" spans="1:8" ht="7.5" customHeight="1" x14ac:dyDescent="0.2">
      <c r="A15" s="422"/>
      <c r="B15" s="423"/>
      <c r="C15" s="424"/>
      <c r="D15" s="80"/>
      <c r="E15" s="80"/>
      <c r="F15" s="80"/>
      <c r="G15" s="80"/>
      <c r="H15" s="80"/>
    </row>
    <row r="16" spans="1:8" ht="17.25" customHeight="1" x14ac:dyDescent="0.2">
      <c r="A16" s="54">
        <v>55</v>
      </c>
      <c r="B16" s="425" t="s">
        <v>83</v>
      </c>
      <c r="C16" s="426">
        <f>C17+C22</f>
        <v>120737.44000000002</v>
      </c>
      <c r="D16" s="81">
        <f>+D17</f>
        <v>0</v>
      </c>
      <c r="E16" s="81">
        <f>+E17</f>
        <v>0</v>
      </c>
      <c r="F16" s="81">
        <f>+F17</f>
        <v>0</v>
      </c>
      <c r="G16" s="81">
        <f>+G17</f>
        <v>0</v>
      </c>
      <c r="H16" s="81">
        <f t="shared" ref="H16:H22" si="0">SUM(C16:G16)</f>
        <v>120737.44000000002</v>
      </c>
    </row>
    <row r="17" spans="1:11" ht="17.25" customHeight="1" x14ac:dyDescent="0.2">
      <c r="A17" s="54">
        <v>553</v>
      </c>
      <c r="B17" s="427" t="s">
        <v>84</v>
      </c>
      <c r="C17" s="426">
        <f>SUM(C18:C20)</f>
        <v>120737.44000000002</v>
      </c>
      <c r="D17" s="81">
        <f>SUM(D18:D20)</f>
        <v>0</v>
      </c>
      <c r="E17" s="81">
        <f>SUM(E18:E20)</f>
        <v>0</v>
      </c>
      <c r="F17" s="81">
        <f>SUM(F18:F20)</f>
        <v>0</v>
      </c>
      <c r="G17" s="81">
        <f>SUM(G18:G20)</f>
        <v>0</v>
      </c>
      <c r="H17" s="81">
        <f>SUM(C17:G17)</f>
        <v>120737.44000000002</v>
      </c>
    </row>
    <row r="18" spans="1:11" ht="21" hidden="1" customHeight="1" x14ac:dyDescent="0.2">
      <c r="A18" s="422">
        <v>55303</v>
      </c>
      <c r="B18" s="428" t="s">
        <v>209</v>
      </c>
      <c r="C18" s="424"/>
      <c r="D18" s="80">
        <v>0</v>
      </c>
      <c r="E18" s="80">
        <v>0</v>
      </c>
      <c r="F18" s="80">
        <v>0</v>
      </c>
      <c r="G18" s="80">
        <v>0</v>
      </c>
      <c r="H18" s="80">
        <f t="shared" si="0"/>
        <v>0</v>
      </c>
    </row>
    <row r="19" spans="1:11" ht="21" hidden="1" customHeight="1" x14ac:dyDescent="0.2">
      <c r="A19" s="428">
        <v>55304</v>
      </c>
      <c r="B19" s="428" t="s">
        <v>210</v>
      </c>
      <c r="C19" s="424">
        <v>0</v>
      </c>
      <c r="D19" s="80">
        <v>0</v>
      </c>
      <c r="E19" s="80">
        <v>0</v>
      </c>
      <c r="F19" s="80">
        <v>0</v>
      </c>
      <c r="G19" s="80">
        <v>0</v>
      </c>
      <c r="H19" s="80">
        <f t="shared" si="0"/>
        <v>0</v>
      </c>
    </row>
    <row r="20" spans="1:11" ht="17.25" customHeight="1" x14ac:dyDescent="0.2">
      <c r="A20" s="422">
        <v>55304</v>
      </c>
      <c r="B20" s="429" t="s">
        <v>401</v>
      </c>
      <c r="C20" s="430">
        <f>L63</f>
        <v>120737.44000000002</v>
      </c>
      <c r="D20" s="80">
        <v>0</v>
      </c>
      <c r="E20" s="80">
        <v>0</v>
      </c>
      <c r="F20" s="80">
        <v>0</v>
      </c>
      <c r="G20" s="80">
        <v>0</v>
      </c>
      <c r="H20" s="80">
        <f>SUM(C20:G20)</f>
        <v>120737.44000000002</v>
      </c>
      <c r="J20" s="16"/>
      <c r="K20" s="16"/>
    </row>
    <row r="21" spans="1:11" ht="17.25" customHeight="1" x14ac:dyDescent="0.2">
      <c r="A21" s="422"/>
      <c r="B21" s="428"/>
      <c r="C21" s="424"/>
      <c r="D21" s="80"/>
      <c r="E21" s="80"/>
      <c r="F21" s="80"/>
      <c r="G21" s="80"/>
      <c r="H21" s="80"/>
    </row>
    <row r="22" spans="1:11" ht="17.25" hidden="1" customHeight="1" x14ac:dyDescent="0.2">
      <c r="A22" s="54">
        <v>556</v>
      </c>
      <c r="B22" s="431" t="s">
        <v>211</v>
      </c>
      <c r="C22" s="426">
        <f>C23</f>
        <v>0</v>
      </c>
      <c r="D22" s="81">
        <f>SUM(D23:D26)</f>
        <v>0</v>
      </c>
      <c r="E22" s="81">
        <f>SUM(E23:E26)</f>
        <v>0</v>
      </c>
      <c r="F22" s="81">
        <f>SUM(F23:F26)</f>
        <v>0</v>
      </c>
      <c r="G22" s="81">
        <f>SUM(G23:G26)</f>
        <v>0</v>
      </c>
      <c r="H22" s="81">
        <f t="shared" si="0"/>
        <v>0</v>
      </c>
      <c r="J22" s="11"/>
    </row>
    <row r="23" spans="1:11" ht="17.25" hidden="1" customHeight="1" x14ac:dyDescent="0.2">
      <c r="A23" s="422">
        <v>55603</v>
      </c>
      <c r="B23" s="432" t="s">
        <v>212</v>
      </c>
      <c r="C23" s="424"/>
      <c r="D23" s="80"/>
      <c r="E23" s="80"/>
      <c r="F23" s="80">
        <v>0</v>
      </c>
      <c r="G23" s="80"/>
      <c r="H23" s="80">
        <f>+C23</f>
        <v>0</v>
      </c>
    </row>
    <row r="24" spans="1:11" ht="17.25" customHeight="1" x14ac:dyDescent="0.2">
      <c r="A24" s="54">
        <v>71</v>
      </c>
      <c r="B24" s="427" t="s">
        <v>213</v>
      </c>
      <c r="C24" s="426">
        <f>+C25</f>
        <v>230867.48</v>
      </c>
      <c r="D24" s="81">
        <f>+D25</f>
        <v>0</v>
      </c>
      <c r="E24" s="81">
        <f>+E25</f>
        <v>0</v>
      </c>
      <c r="F24" s="81">
        <f>+F25</f>
        <v>0</v>
      </c>
      <c r="G24" s="81">
        <f>+G25</f>
        <v>0</v>
      </c>
      <c r="H24" s="81">
        <f>SUM(C24:G24)</f>
        <v>230867.48</v>
      </c>
    </row>
    <row r="25" spans="1:11" ht="17.25" customHeight="1" x14ac:dyDescent="0.2">
      <c r="A25" s="422">
        <v>713</v>
      </c>
      <c r="B25" s="427" t="s">
        <v>214</v>
      </c>
      <c r="C25" s="426">
        <f>SUM(C26:C27)</f>
        <v>230867.48</v>
      </c>
      <c r="D25" s="81">
        <f>SUM(D26:D27)</f>
        <v>0</v>
      </c>
      <c r="E25" s="81">
        <f>SUM(E26:E27)</f>
        <v>0</v>
      </c>
      <c r="F25" s="81">
        <f>SUM(F26:F27)</f>
        <v>0</v>
      </c>
      <c r="G25" s="81">
        <f>SUM(G26:G27)</f>
        <v>0</v>
      </c>
      <c r="H25" s="81">
        <f>SUM(C25:G25)</f>
        <v>230867.48</v>
      </c>
      <c r="J25" s="11"/>
    </row>
    <row r="26" spans="1:11" ht="21" hidden="1" customHeight="1" x14ac:dyDescent="0.2">
      <c r="A26" s="422">
        <v>71303</v>
      </c>
      <c r="B26" s="428" t="s">
        <v>209</v>
      </c>
      <c r="C26" s="424"/>
      <c r="D26" s="80">
        <v>0</v>
      </c>
      <c r="E26" s="80">
        <v>0</v>
      </c>
      <c r="F26" s="80">
        <v>0</v>
      </c>
      <c r="G26" s="80">
        <v>0</v>
      </c>
      <c r="H26" s="80">
        <f>SUM(C26:G26)</f>
        <v>0</v>
      </c>
    </row>
    <row r="27" spans="1:11" ht="17.25" customHeight="1" thickBot="1" x14ac:dyDescent="0.25">
      <c r="A27" s="422">
        <v>71304</v>
      </c>
      <c r="B27" s="428" t="s">
        <v>433</v>
      </c>
      <c r="C27" s="430">
        <f>K63</f>
        <v>230867.48</v>
      </c>
      <c r="D27" s="80">
        <v>0</v>
      </c>
      <c r="E27" s="80">
        <v>0</v>
      </c>
      <c r="F27" s="80">
        <v>0</v>
      </c>
      <c r="G27" s="80">
        <v>0</v>
      </c>
      <c r="H27" s="80">
        <f>SUM(C27:G27)</f>
        <v>230867.48</v>
      </c>
      <c r="J27" s="526"/>
      <c r="K27" s="16"/>
    </row>
    <row r="28" spans="1:11" ht="13.5" hidden="1" thickBot="1" x14ac:dyDescent="0.25">
      <c r="A28" s="433"/>
      <c r="B28" s="434"/>
      <c r="C28" s="435"/>
      <c r="D28" s="99"/>
      <c r="E28" s="99"/>
      <c r="F28" s="99"/>
      <c r="G28" s="99"/>
      <c r="H28" s="98"/>
      <c r="J28" s="11"/>
    </row>
    <row r="29" spans="1:11" ht="13.5" hidden="1" thickBot="1" x14ac:dyDescent="0.25">
      <c r="A29" s="419"/>
      <c r="B29" s="436"/>
      <c r="C29" s="435"/>
      <c r="D29" s="99"/>
      <c r="E29" s="99"/>
      <c r="F29" s="99"/>
      <c r="G29" s="99"/>
      <c r="H29" s="100"/>
    </row>
    <row r="30" spans="1:11" ht="13.5" hidden="1" thickBot="1" x14ac:dyDescent="0.25">
      <c r="A30" s="433"/>
      <c r="B30" s="434"/>
      <c r="C30" s="437"/>
      <c r="D30" s="97"/>
      <c r="E30" s="97"/>
      <c r="F30" s="97"/>
      <c r="G30" s="97"/>
      <c r="H30" s="100"/>
    </row>
    <row r="31" spans="1:11" ht="13.5" hidden="1" thickBot="1" x14ac:dyDescent="0.25">
      <c r="A31" s="433"/>
      <c r="B31" s="434"/>
      <c r="C31" s="438"/>
      <c r="D31" s="101"/>
      <c r="E31" s="101"/>
      <c r="F31" s="101"/>
      <c r="G31" s="101"/>
      <c r="H31" s="100"/>
    </row>
    <row r="32" spans="1:11" ht="13.5" hidden="1" thickBot="1" x14ac:dyDescent="0.25">
      <c r="A32" s="433"/>
      <c r="B32" s="434"/>
      <c r="C32" s="438"/>
      <c r="D32" s="101"/>
      <c r="E32" s="101"/>
      <c r="F32" s="101"/>
      <c r="G32" s="101"/>
      <c r="H32" s="100"/>
    </row>
    <row r="33" spans="1:10" ht="13.5" hidden="1" thickBot="1" x14ac:dyDescent="0.25">
      <c r="A33" s="433"/>
      <c r="B33" s="434"/>
      <c r="C33" s="437"/>
      <c r="D33" s="97"/>
      <c r="E33" s="97"/>
      <c r="F33" s="97"/>
      <c r="G33" s="97"/>
      <c r="H33" s="100"/>
    </row>
    <row r="34" spans="1:10" ht="13.5" hidden="1" thickBot="1" x14ac:dyDescent="0.25">
      <c r="A34" s="419"/>
      <c r="B34" s="439"/>
      <c r="C34" s="435"/>
      <c r="D34" s="99"/>
      <c r="E34" s="99"/>
      <c r="F34" s="99"/>
      <c r="G34" s="99"/>
      <c r="H34" s="100"/>
    </row>
    <row r="35" spans="1:10" ht="13.5" hidden="1" thickBot="1" x14ac:dyDescent="0.25">
      <c r="A35" s="433"/>
      <c r="B35" s="440"/>
      <c r="C35" s="437"/>
      <c r="D35" s="97"/>
      <c r="E35" s="97"/>
      <c r="F35" s="97"/>
      <c r="G35" s="97"/>
      <c r="H35" s="100"/>
    </row>
    <row r="36" spans="1:10" ht="13.5" hidden="1" thickBot="1" x14ac:dyDescent="0.25">
      <c r="A36" s="419"/>
      <c r="B36" s="439"/>
      <c r="C36" s="435"/>
      <c r="D36" s="99"/>
      <c r="E36" s="99"/>
      <c r="F36" s="99"/>
      <c r="G36" s="99"/>
      <c r="H36" s="100"/>
    </row>
    <row r="37" spans="1:10" ht="13.5" hidden="1" thickBot="1" x14ac:dyDescent="0.25">
      <c r="A37" s="433"/>
      <c r="B37" s="434"/>
      <c r="C37" s="437"/>
      <c r="D37" s="97"/>
      <c r="E37" s="97"/>
      <c r="F37" s="97"/>
      <c r="G37" s="97"/>
      <c r="H37" s="98"/>
    </row>
    <row r="38" spans="1:10" ht="13.5" hidden="1" thickBot="1" x14ac:dyDescent="0.25">
      <c r="A38" s="433"/>
      <c r="B38" s="434"/>
      <c r="C38" s="437"/>
      <c r="D38" s="97"/>
      <c r="E38" s="97"/>
      <c r="F38" s="97"/>
      <c r="G38" s="97"/>
      <c r="H38" s="98"/>
    </row>
    <row r="39" spans="1:10" ht="13.5" hidden="1" thickBot="1" x14ac:dyDescent="0.25">
      <c r="A39" s="433"/>
      <c r="B39" s="434"/>
      <c r="C39" s="437"/>
      <c r="D39" s="97"/>
      <c r="E39" s="97"/>
      <c r="F39" s="97"/>
      <c r="G39" s="97"/>
      <c r="H39" s="98"/>
    </row>
    <row r="40" spans="1:10" ht="13.5" hidden="1" thickBot="1" x14ac:dyDescent="0.25">
      <c r="A40" s="433"/>
      <c r="B40" s="434"/>
      <c r="C40" s="437"/>
      <c r="D40" s="97"/>
      <c r="E40" s="97"/>
      <c r="F40" s="97"/>
      <c r="G40" s="97"/>
      <c r="H40" s="100"/>
    </row>
    <row r="41" spans="1:10" ht="13.5" hidden="1" thickBot="1" x14ac:dyDescent="0.25">
      <c r="A41" s="433"/>
      <c r="B41" s="434"/>
      <c r="C41" s="437"/>
      <c r="D41" s="97"/>
      <c r="E41" s="97"/>
      <c r="F41" s="97"/>
      <c r="G41" s="97"/>
      <c r="H41" s="100"/>
    </row>
    <row r="42" spans="1:10" ht="13.5" hidden="1" thickBot="1" x14ac:dyDescent="0.25">
      <c r="A42" s="433"/>
      <c r="B42" s="434"/>
      <c r="C42" s="437"/>
      <c r="D42" s="97"/>
      <c r="E42" s="97"/>
      <c r="F42" s="97"/>
      <c r="G42" s="97"/>
      <c r="H42" s="102"/>
    </row>
    <row r="43" spans="1:10" ht="18.75" hidden="1" thickBot="1" x14ac:dyDescent="0.3">
      <c r="A43" s="441"/>
      <c r="B43" s="442"/>
      <c r="C43" s="443"/>
      <c r="D43" s="103"/>
      <c r="E43" s="103"/>
      <c r="F43" s="103"/>
      <c r="G43" s="103"/>
      <c r="H43" s="104"/>
    </row>
    <row r="44" spans="1:10" ht="13.5" hidden="1" thickBot="1" x14ac:dyDescent="0.25">
      <c r="A44" s="433"/>
      <c r="B44" s="434"/>
      <c r="C44" s="438"/>
      <c r="D44" s="101"/>
      <c r="E44" s="101"/>
      <c r="F44" s="101"/>
      <c r="G44" s="101"/>
      <c r="H44" s="102"/>
    </row>
    <row r="45" spans="1:10" ht="13.5" hidden="1" thickBot="1" x14ac:dyDescent="0.25">
      <c r="A45" s="444"/>
      <c r="B45" s="445"/>
      <c r="C45" s="446"/>
      <c r="D45" s="105"/>
      <c r="E45" s="105"/>
      <c r="F45" s="105"/>
      <c r="G45" s="105"/>
      <c r="H45" s="106"/>
    </row>
    <row r="46" spans="1:10" ht="15" customHeight="1" thickBot="1" x14ac:dyDescent="0.25">
      <c r="A46" s="447"/>
      <c r="B46" s="448" t="s">
        <v>183</v>
      </c>
      <c r="C46" s="449">
        <f>C16+C24</f>
        <v>351604.92000000004</v>
      </c>
      <c r="D46" s="107" t="e">
        <f>+D16+D19+D24+#REF!+D29</f>
        <v>#REF!</v>
      </c>
      <c r="E46" s="89" t="e">
        <f>+E16+E19+E24+#REF!+E29</f>
        <v>#REF!</v>
      </c>
      <c r="F46" s="107">
        <f>+F16+F19+F24+F29</f>
        <v>0</v>
      </c>
      <c r="G46" s="89" t="e">
        <f>+G16+G19+G24+#REF!+G29</f>
        <v>#REF!</v>
      </c>
      <c r="H46" s="89">
        <f>+H16+H24</f>
        <v>351604.92000000004</v>
      </c>
      <c r="J46" s="219"/>
    </row>
    <row r="47" spans="1:10" x14ac:dyDescent="0.2">
      <c r="C47" s="11"/>
      <c r="H47" s="11"/>
    </row>
    <row r="48" spans="1:10" x14ac:dyDescent="0.2">
      <c r="C48" s="179"/>
      <c r="H48" s="1"/>
    </row>
    <row r="49" spans="3:14" x14ac:dyDescent="0.2">
      <c r="C49" s="179"/>
      <c r="H49" s="1"/>
    </row>
    <row r="50" spans="3:14" x14ac:dyDescent="0.2">
      <c r="K50" s="676" t="s">
        <v>637</v>
      </c>
      <c r="L50" s="678" t="s">
        <v>638</v>
      </c>
      <c r="M50" s="677" t="s">
        <v>639</v>
      </c>
    </row>
    <row r="51" spans="3:14" x14ac:dyDescent="0.2">
      <c r="K51" s="673">
        <v>21030.3</v>
      </c>
      <c r="L51" s="527">
        <v>8270.11</v>
      </c>
      <c r="M51" s="528" t="s">
        <v>634</v>
      </c>
      <c r="N51" s="1">
        <f t="shared" ref="N51:N62" si="1">K51+L51</f>
        <v>29300.41</v>
      </c>
    </row>
    <row r="52" spans="3:14" x14ac:dyDescent="0.2">
      <c r="K52" s="673">
        <v>19797.150000000001</v>
      </c>
      <c r="L52" s="527">
        <v>9503.26</v>
      </c>
      <c r="M52" s="528" t="s">
        <v>529</v>
      </c>
      <c r="N52" s="1">
        <f t="shared" si="1"/>
        <v>29300.410000000003</v>
      </c>
    </row>
    <row r="53" spans="3:14" x14ac:dyDescent="0.2">
      <c r="K53" s="673">
        <v>15919.59</v>
      </c>
      <c r="L53" s="527">
        <v>13380.82</v>
      </c>
      <c r="M53" s="528" t="s">
        <v>530</v>
      </c>
      <c r="N53" s="1">
        <f t="shared" si="1"/>
        <v>29300.41</v>
      </c>
    </row>
    <row r="54" spans="3:14" x14ac:dyDescent="0.2">
      <c r="K54" s="673">
        <v>23019.1</v>
      </c>
      <c r="L54" s="527">
        <v>6281.31</v>
      </c>
      <c r="M54" s="528" t="s">
        <v>531</v>
      </c>
      <c r="N54" s="1">
        <f t="shared" si="1"/>
        <v>29300.41</v>
      </c>
    </row>
    <row r="55" spans="3:14" x14ac:dyDescent="0.2">
      <c r="K55" s="673">
        <v>19552.830000000002</v>
      </c>
      <c r="L55" s="527">
        <v>9747.58</v>
      </c>
      <c r="M55" s="528" t="s">
        <v>635</v>
      </c>
      <c r="N55" s="1">
        <f t="shared" si="1"/>
        <v>29300.410000000003</v>
      </c>
    </row>
    <row r="56" spans="3:14" x14ac:dyDescent="0.2">
      <c r="K56" s="673">
        <v>8814.14</v>
      </c>
      <c r="L56" s="527">
        <v>20486.27</v>
      </c>
      <c r="M56" s="528" t="s">
        <v>532</v>
      </c>
      <c r="N56" s="1">
        <f t="shared" si="1"/>
        <v>29300.41</v>
      </c>
    </row>
    <row r="57" spans="3:14" x14ac:dyDescent="0.2">
      <c r="K57" s="673">
        <v>17855.12</v>
      </c>
      <c r="L57" s="527">
        <v>11445.29</v>
      </c>
      <c r="M57" s="528" t="s">
        <v>533</v>
      </c>
      <c r="N57" s="1">
        <f t="shared" si="1"/>
        <v>29300.41</v>
      </c>
    </row>
    <row r="58" spans="3:14" x14ac:dyDescent="0.2">
      <c r="K58" s="673">
        <v>23029.97</v>
      </c>
      <c r="L58" s="527">
        <v>6270.44</v>
      </c>
      <c r="M58" s="528" t="s">
        <v>534</v>
      </c>
      <c r="N58" s="1">
        <f t="shared" si="1"/>
        <v>29300.41</v>
      </c>
    </row>
    <row r="59" spans="3:14" x14ac:dyDescent="0.2">
      <c r="K59" s="673">
        <v>23143.54</v>
      </c>
      <c r="L59" s="527">
        <v>6156.87</v>
      </c>
      <c r="M59" s="528" t="s">
        <v>535</v>
      </c>
      <c r="N59" s="1">
        <f t="shared" si="1"/>
        <v>29300.41</v>
      </c>
    </row>
    <row r="60" spans="3:14" x14ac:dyDescent="0.2">
      <c r="K60" s="673">
        <v>20840.580000000002</v>
      </c>
      <c r="L60" s="527">
        <v>8459.83</v>
      </c>
      <c r="M60" s="528" t="s">
        <v>536</v>
      </c>
      <c r="N60" s="1">
        <f t="shared" si="1"/>
        <v>29300.410000000003</v>
      </c>
    </row>
    <row r="61" spans="3:14" x14ac:dyDescent="0.2">
      <c r="K61" s="673">
        <v>24548.44</v>
      </c>
      <c r="L61" s="527">
        <v>4751.97</v>
      </c>
      <c r="M61" s="528" t="s">
        <v>636</v>
      </c>
      <c r="N61" s="1">
        <f t="shared" si="1"/>
        <v>29300.41</v>
      </c>
    </row>
    <row r="62" spans="3:14" x14ac:dyDescent="0.2">
      <c r="K62" s="673">
        <v>13316.72</v>
      </c>
      <c r="L62" s="527">
        <v>15983.69</v>
      </c>
      <c r="M62" s="528" t="s">
        <v>537</v>
      </c>
      <c r="N62" s="1">
        <f t="shared" si="1"/>
        <v>29300.41</v>
      </c>
    </row>
    <row r="63" spans="3:14" x14ac:dyDescent="0.2">
      <c r="K63" s="674">
        <f>SUM(K51:K62)</f>
        <v>230867.48</v>
      </c>
      <c r="L63" s="674">
        <f>SUM(L51:L62)</f>
        <v>120737.44000000002</v>
      </c>
      <c r="M63" s="528"/>
    </row>
    <row r="65" spans="8:12" x14ac:dyDescent="0.2">
      <c r="L65" s="675">
        <f>+K63+L63</f>
        <v>351604.92000000004</v>
      </c>
    </row>
    <row r="66" spans="8:12" x14ac:dyDescent="0.2">
      <c r="H66" s="219"/>
    </row>
    <row r="67" spans="8:12" x14ac:dyDescent="0.2">
      <c r="H67" s="219"/>
    </row>
    <row r="68" spans="8:12" x14ac:dyDescent="0.2">
      <c r="H68" s="219"/>
    </row>
  </sheetData>
  <mergeCells count="3">
    <mergeCell ref="C11:G11"/>
    <mergeCell ref="H11:H12"/>
    <mergeCell ref="B11:B12"/>
  </mergeCells>
  <phoneticPr fontId="0" type="noConversion"/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indexed="48"/>
  </sheetPr>
  <dimension ref="A1:BU192"/>
  <sheetViews>
    <sheetView showGridLines="0" tabSelected="1" topLeftCell="AO155" zoomScale="115" zoomScaleNormal="115" workbookViewId="0">
      <selection activeCell="BV178" sqref="BV178"/>
    </sheetView>
  </sheetViews>
  <sheetFormatPr baseColWidth="10" defaultRowHeight="18" customHeight="1" x14ac:dyDescent="0.2"/>
  <cols>
    <col min="1" max="1" width="6" style="283" customWidth="1"/>
    <col min="2" max="2" width="31.28515625" style="221" customWidth="1"/>
    <col min="3" max="3" width="10.5703125" style="248" customWidth="1"/>
    <col min="4" max="4" width="9.85546875" style="248" customWidth="1"/>
    <col min="5" max="5" width="10.140625" style="248" customWidth="1"/>
    <col min="6" max="6" width="10.42578125" style="248" customWidth="1"/>
    <col min="7" max="7" width="10.42578125" style="708" customWidth="1"/>
    <col min="8" max="11" width="10.42578125" style="247" hidden="1" customWidth="1"/>
    <col min="12" max="12" width="10.42578125" style="709" hidden="1" customWidth="1"/>
    <col min="13" max="13" width="10.42578125" style="221" hidden="1" customWidth="1"/>
    <col min="14" max="14" width="11.5703125" style="221" customWidth="1"/>
    <col min="15" max="15" width="10.42578125" style="221" customWidth="1"/>
    <col min="16" max="16" width="10.85546875" style="221" customWidth="1"/>
    <col min="17" max="17" width="9.140625" style="221" customWidth="1"/>
    <col min="18" max="18" width="10.5703125" style="221" customWidth="1"/>
    <col min="19" max="19" width="10.5703125" style="248" hidden="1" customWidth="1"/>
    <col min="20" max="20" width="9.85546875" style="248" hidden="1" customWidth="1"/>
    <col min="21" max="21" width="10.140625" style="248" hidden="1" customWidth="1"/>
    <col min="22" max="26" width="10.42578125" style="248" hidden="1" customWidth="1"/>
    <col min="27" max="27" width="10.42578125" style="708" hidden="1" customWidth="1"/>
    <col min="28" max="28" width="10.5703125" style="248" hidden="1" customWidth="1"/>
    <col min="29" max="29" width="9.85546875" style="248" hidden="1" customWidth="1"/>
    <col min="30" max="30" width="10.140625" style="248" hidden="1" customWidth="1"/>
    <col min="31" max="35" width="10.42578125" style="248" hidden="1" customWidth="1"/>
    <col min="36" max="36" width="11.140625" style="708" hidden="1" customWidth="1"/>
    <col min="37" max="37" width="10.5703125" style="248" customWidth="1"/>
    <col min="38" max="38" width="9.85546875" style="248" customWidth="1"/>
    <col min="39" max="39" width="10.140625" style="248" customWidth="1"/>
    <col min="40" max="41" width="10.42578125" style="248" customWidth="1"/>
    <col min="42" max="42" width="10.42578125" style="248" hidden="1" customWidth="1"/>
    <col min="43" max="45" width="10.42578125" style="248" customWidth="1"/>
    <col min="46" max="46" width="10" style="248" customWidth="1"/>
    <col min="47" max="47" width="10.42578125" style="248" customWidth="1"/>
    <col min="48" max="48" width="11.140625" style="248" customWidth="1"/>
    <col min="49" max="49" width="12.28515625" style="708" customWidth="1"/>
    <col min="50" max="50" width="10.42578125" style="221" customWidth="1"/>
    <col min="51" max="51" width="10.7109375" style="221" customWidth="1"/>
    <col min="52" max="52" width="10" style="221" hidden="1" customWidth="1"/>
    <col min="53" max="53" width="12.140625" style="221" customWidth="1"/>
    <col min="54" max="54" width="11.140625" style="221" customWidth="1"/>
    <col min="55" max="55" width="8.85546875" style="221" hidden="1" customWidth="1"/>
    <col min="56" max="56" width="10.42578125" style="221" hidden="1" customWidth="1"/>
    <col min="57" max="57" width="9.5703125" style="221" customWidth="1"/>
    <col min="58" max="59" width="9.28515625" style="221" hidden="1" customWidth="1"/>
    <col min="60" max="60" width="8.85546875" style="221" hidden="1" customWidth="1"/>
    <col min="61" max="61" width="8.5703125" style="221" hidden="1" customWidth="1"/>
    <col min="62" max="62" width="7.85546875" style="221" customWidth="1"/>
    <col min="63" max="63" width="8.28515625" style="221" customWidth="1"/>
    <col min="64" max="64" width="8.5703125" style="221" customWidth="1"/>
    <col min="65" max="65" width="7.85546875" style="221" hidden="1" customWidth="1"/>
    <col min="66" max="66" width="8.28515625" style="221" customWidth="1"/>
    <col min="67" max="67" width="10.140625" style="221" customWidth="1"/>
    <col min="68" max="68" width="10.5703125" style="221" hidden="1" customWidth="1"/>
    <col min="69" max="69" width="10.28515625" style="221" customWidth="1"/>
    <col min="70" max="70" width="12" style="221" hidden="1" customWidth="1"/>
    <col min="71" max="71" width="12" style="221" customWidth="1"/>
    <col min="72" max="72" width="0.5703125" style="284" customWidth="1"/>
    <col min="73" max="16384" width="11.42578125" style="221"/>
  </cols>
  <sheetData>
    <row r="1" spans="1:72" ht="18" customHeight="1" x14ac:dyDescent="0.2">
      <c r="A1" s="1214" t="s">
        <v>863</v>
      </c>
      <c r="B1" s="995"/>
      <c r="C1" s="995"/>
      <c r="D1" s="995"/>
      <c r="E1" s="995"/>
      <c r="F1" s="995"/>
      <c r="G1" s="995"/>
      <c r="H1" s="995"/>
      <c r="I1" s="995"/>
      <c r="J1" s="995"/>
      <c r="K1" s="995"/>
      <c r="L1" s="995"/>
      <c r="M1" s="995"/>
      <c r="N1" s="995"/>
      <c r="O1" s="995"/>
      <c r="P1" s="995"/>
      <c r="Q1" s="995"/>
      <c r="R1" s="995"/>
      <c r="S1" s="995"/>
      <c r="T1" s="995"/>
      <c r="U1" s="995"/>
      <c r="V1" s="995"/>
      <c r="W1" s="995"/>
      <c r="X1" s="995"/>
      <c r="Y1" s="995"/>
      <c r="Z1" s="995"/>
      <c r="AA1" s="995"/>
      <c r="AB1" s="995"/>
      <c r="AC1" s="995"/>
      <c r="AD1" s="995"/>
      <c r="AE1" s="995"/>
      <c r="AF1" s="995"/>
      <c r="AG1" s="995"/>
      <c r="AH1" s="995"/>
      <c r="AI1" s="995"/>
      <c r="AJ1" s="995"/>
      <c r="AK1" s="995"/>
      <c r="AL1" s="995"/>
      <c r="AM1" s="995"/>
      <c r="AN1" s="995"/>
      <c r="AO1" s="995"/>
      <c r="AP1" s="995"/>
      <c r="AQ1" s="995"/>
      <c r="AR1" s="995"/>
      <c r="AS1" s="995"/>
      <c r="AT1" s="995"/>
      <c r="AU1" s="995"/>
      <c r="AV1" s="995"/>
      <c r="AW1" s="995"/>
      <c r="AX1" s="995"/>
      <c r="AY1" s="995"/>
      <c r="AZ1" s="995"/>
      <c r="BA1" s="995"/>
      <c r="BB1" s="995"/>
      <c r="BC1" s="995"/>
      <c r="BD1" s="995"/>
      <c r="BE1" s="995"/>
      <c r="BF1" s="995"/>
      <c r="BG1" s="995"/>
      <c r="BH1" s="995"/>
      <c r="BI1" s="995"/>
      <c r="BJ1" s="995"/>
      <c r="BK1" s="995"/>
      <c r="BL1" s="995"/>
      <c r="BM1" s="995"/>
      <c r="BN1" s="995"/>
      <c r="BO1" s="995"/>
      <c r="BP1" s="995"/>
      <c r="BQ1" s="995"/>
      <c r="BR1" s="995"/>
      <c r="BS1" s="995"/>
    </row>
    <row r="2" spans="1:72" ht="18" customHeight="1" thickBot="1" x14ac:dyDescent="0.25">
      <c r="A2" s="996"/>
      <c r="B2" s="996"/>
      <c r="C2" s="996"/>
      <c r="D2" s="996"/>
      <c r="E2" s="996"/>
      <c r="F2" s="996"/>
      <c r="G2" s="996"/>
      <c r="H2" s="996"/>
      <c r="I2" s="996"/>
      <c r="J2" s="996"/>
      <c r="K2" s="996"/>
      <c r="L2" s="996"/>
      <c r="M2" s="996"/>
      <c r="N2" s="996"/>
      <c r="O2" s="996"/>
      <c r="P2" s="996"/>
      <c r="Q2" s="996"/>
      <c r="R2" s="996"/>
      <c r="S2" s="996"/>
      <c r="T2" s="996"/>
      <c r="U2" s="996"/>
      <c r="V2" s="996"/>
      <c r="W2" s="996"/>
      <c r="X2" s="996"/>
      <c r="Y2" s="996"/>
      <c r="Z2" s="996"/>
      <c r="AA2" s="996"/>
      <c r="AB2" s="996"/>
      <c r="AC2" s="996"/>
      <c r="AD2" s="996"/>
      <c r="AE2" s="996"/>
      <c r="AF2" s="996"/>
      <c r="AG2" s="996"/>
      <c r="AH2" s="996"/>
      <c r="AI2" s="996"/>
      <c r="AJ2" s="996"/>
      <c r="AK2" s="996"/>
      <c r="AL2" s="996"/>
      <c r="AM2" s="996"/>
      <c r="AN2" s="996"/>
      <c r="AO2" s="996"/>
      <c r="AP2" s="996"/>
      <c r="AQ2" s="996"/>
      <c r="AR2" s="996"/>
      <c r="AS2" s="996"/>
      <c r="AT2" s="996"/>
      <c r="AU2" s="996"/>
      <c r="AV2" s="996"/>
      <c r="AW2" s="996"/>
      <c r="AX2" s="996"/>
      <c r="AY2" s="996"/>
      <c r="AZ2" s="996"/>
      <c r="BA2" s="996"/>
      <c r="BB2" s="996"/>
      <c r="BC2" s="996"/>
      <c r="BD2" s="996"/>
      <c r="BE2" s="996"/>
      <c r="BF2" s="996"/>
      <c r="BG2" s="996"/>
      <c r="BH2" s="996"/>
      <c r="BI2" s="996"/>
      <c r="BJ2" s="996"/>
      <c r="BK2" s="996"/>
      <c r="BL2" s="996"/>
      <c r="BM2" s="996"/>
      <c r="BN2" s="996"/>
      <c r="BO2" s="996"/>
      <c r="BP2" s="996"/>
      <c r="BQ2" s="996"/>
      <c r="BR2" s="996"/>
      <c r="BS2" s="996"/>
    </row>
    <row r="3" spans="1:72" ht="29.25" customHeight="1" thickTop="1" thickBot="1" x14ac:dyDescent="0.25">
      <c r="A3" s="1533" t="s">
        <v>522</v>
      </c>
      <c r="B3" s="1536" t="s">
        <v>103</v>
      </c>
      <c r="C3" s="1545" t="s">
        <v>215</v>
      </c>
      <c r="D3" s="1545"/>
      <c r="E3" s="1545"/>
      <c r="F3" s="1545"/>
      <c r="G3" s="1545"/>
      <c r="H3" s="1150"/>
      <c r="I3" s="1151"/>
      <c r="J3" s="1151"/>
      <c r="K3" s="1151"/>
      <c r="L3" s="1151"/>
      <c r="M3" s="1152" t="s">
        <v>700</v>
      </c>
      <c r="N3" s="1151"/>
      <c r="O3" s="1151"/>
      <c r="P3" s="1151"/>
      <c r="Q3" s="1151"/>
      <c r="R3" s="1151"/>
      <c r="S3" s="1153"/>
      <c r="T3" s="1154"/>
      <c r="U3" s="1154"/>
      <c r="V3" s="1154"/>
      <c r="W3" s="1154"/>
      <c r="X3" s="1154"/>
      <c r="Y3" s="1154"/>
      <c r="Z3" s="1154"/>
      <c r="AA3" s="1154"/>
      <c r="AB3" s="1154"/>
      <c r="AC3" s="1154"/>
      <c r="AD3" s="1154"/>
      <c r="AE3" s="1154"/>
      <c r="AF3" s="1154"/>
      <c r="AG3" s="1154"/>
      <c r="AH3" s="1154"/>
      <c r="AI3" s="1154"/>
      <c r="AJ3" s="1155"/>
      <c r="AK3" s="1156"/>
      <c r="AL3" s="1156"/>
      <c r="AM3" s="1156"/>
      <c r="AN3" s="1156"/>
      <c r="AO3" s="1156"/>
      <c r="AP3" s="1156"/>
      <c r="AQ3" s="1157" t="s">
        <v>494</v>
      </c>
      <c r="AR3" s="1156"/>
      <c r="AS3" s="1156"/>
      <c r="AT3" s="1156"/>
      <c r="AU3" s="1156"/>
      <c r="AV3" s="1156"/>
      <c r="AW3" s="1158"/>
      <c r="AX3" s="1152" t="s">
        <v>899</v>
      </c>
      <c r="AY3" s="1151"/>
      <c r="AZ3" s="1151"/>
      <c r="BA3" s="1159"/>
      <c r="BB3" s="1551"/>
      <c r="BC3" s="1552"/>
      <c r="BD3" s="1552"/>
      <c r="BE3" s="1553"/>
      <c r="BF3" s="1554"/>
      <c r="BG3" s="1555"/>
      <c r="BH3" s="1556"/>
      <c r="BI3" s="1522" t="s">
        <v>420</v>
      </c>
      <c r="BJ3" s="1523"/>
      <c r="BK3" s="1524"/>
      <c r="BL3" s="1522" t="s">
        <v>420</v>
      </c>
      <c r="BM3" s="1523"/>
      <c r="BN3" s="1524"/>
      <c r="BO3" s="1571" t="s">
        <v>422</v>
      </c>
      <c r="BP3" s="1536"/>
      <c r="BQ3" s="1568"/>
      <c r="BR3" s="1572" t="s">
        <v>216</v>
      </c>
      <c r="BS3" s="1568" t="s">
        <v>963</v>
      </c>
    </row>
    <row r="4" spans="1:72" ht="14.25" customHeight="1" thickTop="1" x14ac:dyDescent="0.2">
      <c r="A4" s="1534"/>
      <c r="B4" s="1537"/>
      <c r="C4" s="1546"/>
      <c r="D4" s="1546"/>
      <c r="E4" s="1546"/>
      <c r="F4" s="1546"/>
      <c r="G4" s="1546"/>
      <c r="H4" s="1539" t="s">
        <v>217</v>
      </c>
      <c r="I4" s="1539"/>
      <c r="J4" s="1539"/>
      <c r="K4" s="1539"/>
      <c r="L4" s="1540"/>
      <c r="M4" s="1160"/>
      <c r="N4" s="1161" t="s">
        <v>612</v>
      </c>
      <c r="O4" s="1162"/>
      <c r="P4" s="1163" t="s">
        <v>613</v>
      </c>
      <c r="Q4" s="1164"/>
      <c r="R4" s="1578" t="s">
        <v>106</v>
      </c>
      <c r="S4" s="1154" t="s">
        <v>766</v>
      </c>
      <c r="T4" s="1165"/>
      <c r="U4" s="1165"/>
      <c r="V4" s="1165"/>
      <c r="W4" s="1165"/>
      <c r="X4" s="1165"/>
      <c r="Y4" s="1165"/>
      <c r="Z4" s="1165"/>
      <c r="AA4" s="1165"/>
      <c r="AB4" s="1154" t="s">
        <v>774</v>
      </c>
      <c r="AC4" s="1165"/>
      <c r="AD4" s="1165"/>
      <c r="AE4" s="1165"/>
      <c r="AF4" s="1165"/>
      <c r="AG4" s="1165"/>
      <c r="AH4" s="1165"/>
      <c r="AI4" s="1165"/>
      <c r="AJ4" s="1165"/>
      <c r="AK4" s="1166"/>
      <c r="AL4" s="1167"/>
      <c r="AM4" s="1167" t="s">
        <v>697</v>
      </c>
      <c r="AN4" s="1167"/>
      <c r="AO4" s="1167"/>
      <c r="AP4" s="1167"/>
      <c r="AQ4" s="1168"/>
      <c r="AR4" s="1169" t="s">
        <v>850</v>
      </c>
      <c r="AS4" s="1169"/>
      <c r="AT4" s="1169"/>
      <c r="AU4" s="1169"/>
      <c r="AV4" s="1169"/>
      <c r="AW4" s="1170"/>
      <c r="AX4" s="1171" t="s">
        <v>900</v>
      </c>
      <c r="AY4" s="1172"/>
      <c r="AZ4" s="1172"/>
      <c r="BA4" s="1173"/>
      <c r="BB4" s="1575" t="s">
        <v>962</v>
      </c>
      <c r="BC4" s="1576"/>
      <c r="BD4" s="1576"/>
      <c r="BE4" s="1577"/>
      <c r="BF4" s="1543" t="s">
        <v>644</v>
      </c>
      <c r="BG4" s="1544"/>
      <c r="BH4" s="1562"/>
      <c r="BI4" s="1525"/>
      <c r="BJ4" s="1526"/>
      <c r="BK4" s="1527"/>
      <c r="BL4" s="1525"/>
      <c r="BM4" s="1526"/>
      <c r="BN4" s="1527"/>
      <c r="BO4" s="1543" t="s">
        <v>556</v>
      </c>
      <c r="BP4" s="1544" t="s">
        <v>521</v>
      </c>
      <c r="BQ4" s="1563" t="s">
        <v>106</v>
      </c>
      <c r="BR4" s="1573"/>
      <c r="BS4" s="1569"/>
    </row>
    <row r="5" spans="1:72" ht="15" customHeight="1" x14ac:dyDescent="0.2">
      <c r="A5" s="1534"/>
      <c r="B5" s="1537"/>
      <c r="C5" s="1174" t="s">
        <v>414</v>
      </c>
      <c r="D5" s="1174"/>
      <c r="E5" s="1174"/>
      <c r="F5" s="1174"/>
      <c r="G5" s="1174"/>
      <c r="H5" s="1539" t="s">
        <v>773</v>
      </c>
      <c r="I5" s="1539"/>
      <c r="J5" s="1539"/>
      <c r="K5" s="1539"/>
      <c r="L5" s="1540"/>
      <c r="M5" s="1543" t="s">
        <v>218</v>
      </c>
      <c r="N5" s="1544"/>
      <c r="O5" s="1175" t="s">
        <v>219</v>
      </c>
      <c r="P5" s="1175" t="s">
        <v>219</v>
      </c>
      <c r="Q5" s="1175" t="s">
        <v>219</v>
      </c>
      <c r="R5" s="1579"/>
      <c r="S5" s="1174" t="s">
        <v>414</v>
      </c>
      <c r="T5" s="1174"/>
      <c r="U5" s="1174"/>
      <c r="V5" s="1174"/>
      <c r="W5" s="1174"/>
      <c r="X5" s="1174"/>
      <c r="Y5" s="1174"/>
      <c r="Z5" s="1174"/>
      <c r="AA5" s="1557" t="s">
        <v>25</v>
      </c>
      <c r="AB5" s="1174" t="s">
        <v>414</v>
      </c>
      <c r="AC5" s="1174"/>
      <c r="AD5" s="1174"/>
      <c r="AE5" s="1174"/>
      <c r="AF5" s="1174"/>
      <c r="AG5" s="1174"/>
      <c r="AH5" s="1174"/>
      <c r="AI5" s="1174"/>
      <c r="AJ5" s="1557" t="s">
        <v>25</v>
      </c>
      <c r="AK5" s="1176"/>
      <c r="AL5" s="1177"/>
      <c r="AM5" s="1178" t="s">
        <v>414</v>
      </c>
      <c r="AN5" s="1177"/>
      <c r="AO5" s="1179"/>
      <c r="AP5" s="1180"/>
      <c r="AQ5" s="1181"/>
      <c r="AR5" s="1177"/>
      <c r="AS5" s="1178" t="s">
        <v>888</v>
      </c>
      <c r="AT5" s="1177"/>
      <c r="AU5" s="1177"/>
      <c r="AV5" s="1179"/>
      <c r="AW5" s="1559" t="s">
        <v>25</v>
      </c>
      <c r="AX5" s="1171"/>
      <c r="AY5" s="1172" t="s">
        <v>220</v>
      </c>
      <c r="AZ5" s="1162"/>
      <c r="BA5" s="1563" t="s">
        <v>106</v>
      </c>
      <c r="BB5" s="1182" t="s">
        <v>219</v>
      </c>
      <c r="BC5" s="1175" t="s">
        <v>219</v>
      </c>
      <c r="BD5" s="1175" t="s">
        <v>219</v>
      </c>
      <c r="BE5" s="1563" t="s">
        <v>106</v>
      </c>
      <c r="BF5" s="1183"/>
      <c r="BG5" s="1184"/>
      <c r="BH5" s="1563" t="s">
        <v>106</v>
      </c>
      <c r="BI5" s="1530" t="s">
        <v>396</v>
      </c>
      <c r="BJ5" s="1531"/>
      <c r="BK5" s="1532"/>
      <c r="BL5" s="1530" t="s">
        <v>691</v>
      </c>
      <c r="BM5" s="1531"/>
      <c r="BN5" s="1532"/>
      <c r="BO5" s="1543"/>
      <c r="BP5" s="1544"/>
      <c r="BQ5" s="1563"/>
      <c r="BR5" s="1182" t="s">
        <v>218</v>
      </c>
      <c r="BS5" s="1569"/>
    </row>
    <row r="6" spans="1:72" ht="15.75" customHeight="1" x14ac:dyDescent="0.2">
      <c r="A6" s="1534"/>
      <c r="B6" s="1537"/>
      <c r="C6" s="1174" t="s">
        <v>415</v>
      </c>
      <c r="D6" s="1174"/>
      <c r="E6" s="1174"/>
      <c r="F6" s="1174"/>
      <c r="G6" s="1174"/>
      <c r="H6" s="1565" t="s">
        <v>772</v>
      </c>
      <c r="I6" s="1565"/>
      <c r="J6" s="1565"/>
      <c r="K6" s="1565"/>
      <c r="L6" s="1566"/>
      <c r="M6" s="1543" t="s">
        <v>221</v>
      </c>
      <c r="N6" s="1544"/>
      <c r="O6" s="1175" t="s">
        <v>222</v>
      </c>
      <c r="P6" s="1175" t="s">
        <v>607</v>
      </c>
      <c r="Q6" s="1175" t="s">
        <v>606</v>
      </c>
      <c r="R6" s="1579"/>
      <c r="S6" s="1180" t="s">
        <v>415</v>
      </c>
      <c r="T6" s="1177"/>
      <c r="U6" s="1177"/>
      <c r="V6" s="1177"/>
      <c r="W6" s="1179"/>
      <c r="X6" s="1180" t="s">
        <v>767</v>
      </c>
      <c r="Y6" s="1177"/>
      <c r="Z6" s="1179"/>
      <c r="AA6" s="1567"/>
      <c r="AB6" s="1180" t="s">
        <v>415</v>
      </c>
      <c r="AC6" s="1177"/>
      <c r="AD6" s="1177"/>
      <c r="AE6" s="1177"/>
      <c r="AF6" s="1179"/>
      <c r="AG6" s="1180" t="s">
        <v>767</v>
      </c>
      <c r="AH6" s="1177"/>
      <c r="AI6" s="1179"/>
      <c r="AJ6" s="1567"/>
      <c r="AK6" s="1185"/>
      <c r="AL6" s="1178" t="s">
        <v>415</v>
      </c>
      <c r="AM6" s="1177"/>
      <c r="AN6" s="1177"/>
      <c r="AO6" s="1179"/>
      <c r="AP6" s="1177"/>
      <c r="AQ6" s="1181"/>
      <c r="AR6" s="1177"/>
      <c r="AS6" s="1177" t="s">
        <v>767</v>
      </c>
      <c r="AT6" s="1178"/>
      <c r="AU6" s="1177"/>
      <c r="AV6" s="1179"/>
      <c r="AW6" s="1560"/>
      <c r="AX6" s="1171"/>
      <c r="AY6" s="1172" t="s">
        <v>223</v>
      </c>
      <c r="AZ6" s="1162"/>
      <c r="BA6" s="1563"/>
      <c r="BB6" s="1182" t="s">
        <v>620</v>
      </c>
      <c r="BC6" s="1175" t="s">
        <v>620</v>
      </c>
      <c r="BD6" s="1175" t="s">
        <v>620</v>
      </c>
      <c r="BE6" s="1563"/>
      <c r="BF6" s="1183"/>
      <c r="BG6" s="1184"/>
      <c r="BH6" s="1563"/>
      <c r="BI6" s="1525"/>
      <c r="BJ6" s="1526"/>
      <c r="BK6" s="1527"/>
      <c r="BL6" s="1525"/>
      <c r="BM6" s="1526"/>
      <c r="BN6" s="1527"/>
      <c r="BO6" s="1186"/>
      <c r="BP6" s="1175" t="s">
        <v>222</v>
      </c>
      <c r="BQ6" s="1563"/>
      <c r="BR6" s="1182" t="s">
        <v>221</v>
      </c>
      <c r="BS6" s="1569"/>
    </row>
    <row r="7" spans="1:72" ht="14.25" customHeight="1" x14ac:dyDescent="0.2">
      <c r="A7" s="1534"/>
      <c r="B7" s="1537"/>
      <c r="C7" s="1541" t="s">
        <v>432</v>
      </c>
      <c r="D7" s="1541" t="s">
        <v>431</v>
      </c>
      <c r="E7" s="1541" t="s">
        <v>423</v>
      </c>
      <c r="F7" s="1541" t="s">
        <v>424</v>
      </c>
      <c r="G7" s="1541" t="s">
        <v>106</v>
      </c>
      <c r="H7" s="1549" t="s">
        <v>432</v>
      </c>
      <c r="I7" s="1549" t="s">
        <v>431</v>
      </c>
      <c r="J7" s="1549" t="s">
        <v>423</v>
      </c>
      <c r="K7" s="1549" t="s">
        <v>424</v>
      </c>
      <c r="L7" s="1547" t="s">
        <v>106</v>
      </c>
      <c r="M7" s="1187" t="s">
        <v>224</v>
      </c>
      <c r="N7" s="1188" t="s">
        <v>225</v>
      </c>
      <c r="O7" s="1188" t="s">
        <v>226</v>
      </c>
      <c r="P7" s="1188" t="s">
        <v>225</v>
      </c>
      <c r="Q7" s="1188" t="s">
        <v>226</v>
      </c>
      <c r="R7" s="1579"/>
      <c r="S7" s="1541" t="s">
        <v>432</v>
      </c>
      <c r="T7" s="1541" t="s">
        <v>431</v>
      </c>
      <c r="U7" s="1541" t="s">
        <v>423</v>
      </c>
      <c r="V7" s="1541" t="s">
        <v>424</v>
      </c>
      <c r="W7" s="1557"/>
      <c r="X7" s="1188" t="s">
        <v>224</v>
      </c>
      <c r="Y7" s="1188" t="s">
        <v>225</v>
      </c>
      <c r="Z7" s="1188"/>
      <c r="AA7" s="1567"/>
      <c r="AB7" s="1541" t="s">
        <v>432</v>
      </c>
      <c r="AC7" s="1541" t="s">
        <v>431</v>
      </c>
      <c r="AD7" s="1541" t="s">
        <v>423</v>
      </c>
      <c r="AE7" s="1541" t="s">
        <v>424</v>
      </c>
      <c r="AF7" s="1557"/>
      <c r="AG7" s="1188" t="s">
        <v>224</v>
      </c>
      <c r="AH7" s="1188" t="s">
        <v>225</v>
      </c>
      <c r="AI7" s="1188"/>
      <c r="AJ7" s="1567"/>
      <c r="AK7" s="1541" t="s">
        <v>432</v>
      </c>
      <c r="AL7" s="1541" t="s">
        <v>431</v>
      </c>
      <c r="AM7" s="1541" t="s">
        <v>423</v>
      </c>
      <c r="AN7" s="1541" t="s">
        <v>424</v>
      </c>
      <c r="AO7" s="1541" t="s">
        <v>106</v>
      </c>
      <c r="AP7" s="1189"/>
      <c r="AQ7" s="1187" t="s">
        <v>889</v>
      </c>
      <c r="AR7" s="1190" t="s">
        <v>891</v>
      </c>
      <c r="AS7" s="1190" t="s">
        <v>893</v>
      </c>
      <c r="AT7" s="1190" t="s">
        <v>895</v>
      </c>
      <c r="AU7" s="1188" t="s">
        <v>949</v>
      </c>
      <c r="AV7" s="1541" t="s">
        <v>106</v>
      </c>
      <c r="AW7" s="1560"/>
      <c r="AX7" s="1187" t="s">
        <v>227</v>
      </c>
      <c r="AY7" s="1188" t="s">
        <v>544</v>
      </c>
      <c r="AZ7" s="1188" t="s">
        <v>416</v>
      </c>
      <c r="BA7" s="1563"/>
      <c r="BB7" s="1190" t="s">
        <v>617</v>
      </c>
      <c r="BC7" s="1188" t="s">
        <v>618</v>
      </c>
      <c r="BD7" s="1188" t="s">
        <v>625</v>
      </c>
      <c r="BE7" s="1563"/>
      <c r="BF7" s="1191">
        <v>3601</v>
      </c>
      <c r="BG7" s="1192" t="s">
        <v>632</v>
      </c>
      <c r="BH7" s="1563"/>
      <c r="BI7" s="1186" t="s">
        <v>645</v>
      </c>
      <c r="BJ7" s="1188" t="s">
        <v>408</v>
      </c>
      <c r="BK7" s="1528" t="s">
        <v>106</v>
      </c>
      <c r="BL7" s="1186" t="s">
        <v>645</v>
      </c>
      <c r="BM7" s="1188" t="s">
        <v>226</v>
      </c>
      <c r="BN7" s="1528" t="s">
        <v>106</v>
      </c>
      <c r="BO7" s="1187" t="s">
        <v>225</v>
      </c>
      <c r="BP7" s="1188" t="s">
        <v>226</v>
      </c>
      <c r="BQ7" s="1563"/>
      <c r="BR7" s="1190" t="s">
        <v>225</v>
      </c>
      <c r="BS7" s="1569"/>
    </row>
    <row r="8" spans="1:72" ht="68.25" customHeight="1" thickBot="1" x14ac:dyDescent="0.25">
      <c r="A8" s="1535"/>
      <c r="B8" s="1538"/>
      <c r="C8" s="1542"/>
      <c r="D8" s="1542"/>
      <c r="E8" s="1542"/>
      <c r="F8" s="1542"/>
      <c r="G8" s="1542"/>
      <c r="H8" s="1550"/>
      <c r="I8" s="1550"/>
      <c r="J8" s="1550"/>
      <c r="K8" s="1550"/>
      <c r="L8" s="1548"/>
      <c r="M8" s="1193" t="s">
        <v>524</v>
      </c>
      <c r="N8" s="1194" t="s">
        <v>525</v>
      </c>
      <c r="O8" s="1194" t="s">
        <v>449</v>
      </c>
      <c r="P8" s="1194" t="s">
        <v>525</v>
      </c>
      <c r="Q8" s="1194" t="s">
        <v>449</v>
      </c>
      <c r="R8" s="1580"/>
      <c r="S8" s="1542"/>
      <c r="T8" s="1542"/>
      <c r="U8" s="1542"/>
      <c r="V8" s="1542"/>
      <c r="W8" s="1558"/>
      <c r="X8" s="1194" t="s">
        <v>524</v>
      </c>
      <c r="Y8" s="1194" t="s">
        <v>525</v>
      </c>
      <c r="Z8" s="1194"/>
      <c r="AA8" s="1558"/>
      <c r="AB8" s="1542"/>
      <c r="AC8" s="1542"/>
      <c r="AD8" s="1542"/>
      <c r="AE8" s="1542"/>
      <c r="AF8" s="1558"/>
      <c r="AG8" s="1194" t="s">
        <v>524</v>
      </c>
      <c r="AH8" s="1194" t="s">
        <v>525</v>
      </c>
      <c r="AI8" s="1194"/>
      <c r="AJ8" s="1558"/>
      <c r="AK8" s="1542"/>
      <c r="AL8" s="1542"/>
      <c r="AM8" s="1542"/>
      <c r="AN8" s="1542"/>
      <c r="AO8" s="1542"/>
      <c r="AP8" s="1195"/>
      <c r="AQ8" s="1193" t="s">
        <v>890</v>
      </c>
      <c r="AR8" s="1196" t="s">
        <v>892</v>
      </c>
      <c r="AS8" s="1196" t="s">
        <v>894</v>
      </c>
      <c r="AT8" s="1196" t="s">
        <v>896</v>
      </c>
      <c r="AU8" s="1194" t="s">
        <v>898</v>
      </c>
      <c r="AV8" s="1542"/>
      <c r="AW8" s="1561"/>
      <c r="AX8" s="1193" t="s">
        <v>545</v>
      </c>
      <c r="AY8" s="1194" t="s">
        <v>546</v>
      </c>
      <c r="AZ8" s="1194" t="s">
        <v>418</v>
      </c>
      <c r="BA8" s="1564"/>
      <c r="BB8" s="1196" t="s">
        <v>649</v>
      </c>
      <c r="BC8" s="1194" t="s">
        <v>619</v>
      </c>
      <c r="BD8" s="1194" t="s">
        <v>640</v>
      </c>
      <c r="BE8" s="1564"/>
      <c r="BF8" s="1193" t="s">
        <v>631</v>
      </c>
      <c r="BG8" s="1194" t="s">
        <v>633</v>
      </c>
      <c r="BH8" s="1564"/>
      <c r="BI8" s="1193" t="s">
        <v>525</v>
      </c>
      <c r="BJ8" s="1194" t="s">
        <v>555</v>
      </c>
      <c r="BK8" s="1529"/>
      <c r="BL8" s="1193" t="s">
        <v>525</v>
      </c>
      <c r="BM8" s="1194" t="s">
        <v>555</v>
      </c>
      <c r="BN8" s="1529"/>
      <c r="BO8" s="1193" t="s">
        <v>448</v>
      </c>
      <c r="BP8" s="1194" t="s">
        <v>450</v>
      </c>
      <c r="BQ8" s="1564"/>
      <c r="BR8" s="1196" t="s">
        <v>228</v>
      </c>
      <c r="BS8" s="1570"/>
    </row>
    <row r="9" spans="1:72" ht="8.25" customHeight="1" thickTop="1" x14ac:dyDescent="0.2">
      <c r="A9" s="960" t="s">
        <v>419</v>
      </c>
      <c r="B9" s="961" t="s">
        <v>419</v>
      </c>
      <c r="C9" s="962" t="s">
        <v>419</v>
      </c>
      <c r="D9" s="963" t="s">
        <v>419</v>
      </c>
      <c r="E9" s="963" t="s">
        <v>419</v>
      </c>
      <c r="F9" s="963" t="s">
        <v>419</v>
      </c>
      <c r="G9" s="964" t="s">
        <v>419</v>
      </c>
      <c r="H9" s="965" t="s">
        <v>419</v>
      </c>
      <c r="I9" s="966" t="s">
        <v>419</v>
      </c>
      <c r="J9" s="966" t="s">
        <v>419</v>
      </c>
      <c r="K9" s="966" t="s">
        <v>419</v>
      </c>
      <c r="L9" s="964" t="s">
        <v>419</v>
      </c>
      <c r="M9" s="967" t="s">
        <v>419</v>
      </c>
      <c r="N9" s="968" t="s">
        <v>419</v>
      </c>
      <c r="O9" s="969" t="s">
        <v>419</v>
      </c>
      <c r="P9" s="968" t="s">
        <v>419</v>
      </c>
      <c r="Q9" s="968" t="s">
        <v>419</v>
      </c>
      <c r="R9" s="970" t="s">
        <v>419</v>
      </c>
      <c r="S9" s="971" t="s">
        <v>419</v>
      </c>
      <c r="T9" s="972" t="s">
        <v>419</v>
      </c>
      <c r="U9" s="972" t="s">
        <v>419</v>
      </c>
      <c r="V9" s="972" t="s">
        <v>419</v>
      </c>
      <c r="W9" s="973" t="s">
        <v>419</v>
      </c>
      <c r="X9" s="974" t="s">
        <v>419</v>
      </c>
      <c r="Y9" s="974" t="s">
        <v>419</v>
      </c>
      <c r="Z9" s="975" t="s">
        <v>419</v>
      </c>
      <c r="AA9" s="973" t="s">
        <v>419</v>
      </c>
      <c r="AB9" s="976" t="s">
        <v>419</v>
      </c>
      <c r="AC9" s="977" t="s">
        <v>419</v>
      </c>
      <c r="AD9" s="977" t="s">
        <v>419</v>
      </c>
      <c r="AE9" s="977" t="s">
        <v>419</v>
      </c>
      <c r="AF9" s="978" t="s">
        <v>419</v>
      </c>
      <c r="AG9" s="979" t="s">
        <v>419</v>
      </c>
      <c r="AH9" s="979" t="s">
        <v>419</v>
      </c>
      <c r="AI9" s="980" t="s">
        <v>419</v>
      </c>
      <c r="AJ9" s="978" t="s">
        <v>419</v>
      </c>
      <c r="AK9" s="981" t="s">
        <v>419</v>
      </c>
      <c r="AL9" s="982" t="s">
        <v>419</v>
      </c>
      <c r="AM9" s="982" t="s">
        <v>419</v>
      </c>
      <c r="AN9" s="982" t="s">
        <v>419</v>
      </c>
      <c r="AO9" s="983" t="s">
        <v>419</v>
      </c>
      <c r="AP9" s="983"/>
      <c r="AQ9" s="984" t="s">
        <v>419</v>
      </c>
      <c r="AR9" s="985"/>
      <c r="AS9" s="985"/>
      <c r="AT9" s="985"/>
      <c r="AU9" s="986" t="s">
        <v>419</v>
      </c>
      <c r="AV9" s="987" t="s">
        <v>419</v>
      </c>
      <c r="AW9" s="988" t="s">
        <v>419</v>
      </c>
      <c r="AX9" s="967" t="s">
        <v>419</v>
      </c>
      <c r="AY9" s="968" t="s">
        <v>419</v>
      </c>
      <c r="AZ9" s="968" t="s">
        <v>419</v>
      </c>
      <c r="BA9" s="989" t="s">
        <v>419</v>
      </c>
      <c r="BB9" s="990" t="s">
        <v>419</v>
      </c>
      <c r="BC9" s="968" t="s">
        <v>419</v>
      </c>
      <c r="BD9" s="968" t="s">
        <v>419</v>
      </c>
      <c r="BE9" s="989" t="s">
        <v>419</v>
      </c>
      <c r="BF9" s="967" t="s">
        <v>419</v>
      </c>
      <c r="BG9" s="968" t="s">
        <v>419</v>
      </c>
      <c r="BH9" s="989" t="s">
        <v>419</v>
      </c>
      <c r="BI9" s="967" t="s">
        <v>419</v>
      </c>
      <c r="BJ9" s="968" t="s">
        <v>419</v>
      </c>
      <c r="BK9" s="991" t="s">
        <v>419</v>
      </c>
      <c r="BL9" s="967" t="s">
        <v>419</v>
      </c>
      <c r="BM9" s="968" t="s">
        <v>419</v>
      </c>
      <c r="BN9" s="991" t="s">
        <v>419</v>
      </c>
      <c r="BO9" s="967" t="s">
        <v>419</v>
      </c>
      <c r="BP9" s="990" t="s">
        <v>419</v>
      </c>
      <c r="BQ9" s="991" t="s">
        <v>419</v>
      </c>
      <c r="BR9" s="990" t="s">
        <v>419</v>
      </c>
      <c r="BS9" s="992" t="s">
        <v>419</v>
      </c>
      <c r="BT9" s="284" t="s">
        <v>419</v>
      </c>
    </row>
    <row r="10" spans="1:72" s="140" customFormat="1" ht="18" customHeight="1" x14ac:dyDescent="0.2">
      <c r="A10" s="997">
        <v>51</v>
      </c>
      <c r="B10" s="998" t="s">
        <v>120</v>
      </c>
      <c r="C10" s="999">
        <f>C11+C18+C23+C26+C29+C32+C35+C38+C40</f>
        <v>105673.60000000001</v>
      </c>
      <c r="D10" s="1000">
        <f>D11+D18+D23+D26+D29+D32+D35+D38+D40</f>
        <v>23220</v>
      </c>
      <c r="E10" s="1000">
        <f>E11+E18+E23+E26+E29+E32+E35+E38+E40</f>
        <v>13480</v>
      </c>
      <c r="F10" s="1000">
        <f>F11+F18+F23+F26+F29+F32+F35+F38+F40</f>
        <v>10069.290000000001</v>
      </c>
      <c r="G10" s="1001">
        <f>+G11+G18+G23+G26+G29+G32+G35+G40</f>
        <v>152442.89000000001</v>
      </c>
      <c r="H10" s="1002">
        <f>H11+H18+H23+H26+H29+H32+H35+H38+H40</f>
        <v>0</v>
      </c>
      <c r="I10" s="1003">
        <f>I11+I18+I23+I26+I29+I32+I35+I38</f>
        <v>0</v>
      </c>
      <c r="J10" s="1003">
        <f>J11+J18+J23+J26+J29+J32+J35+J38</f>
        <v>0</v>
      </c>
      <c r="K10" s="1003">
        <f>K11+K18+K23+K26+K29+K32+K35+K38</f>
        <v>0</v>
      </c>
      <c r="L10" s="1004">
        <f>L11+L18+L23+L26+L29+L32+L35+L38+L40</f>
        <v>0</v>
      </c>
      <c r="M10" s="1005">
        <f>M11+M18+M23+M26+M29+M32+M35+M38</f>
        <v>0</v>
      </c>
      <c r="N10" s="1006">
        <f>N11+N18+N23+N26+N29+N32+N35+N38+N40</f>
        <v>0</v>
      </c>
      <c r="O10" s="1007">
        <f>O11+O18+O23+O26+O29+O32+O35+O38</f>
        <v>0</v>
      </c>
      <c r="P10" s="1006">
        <v>0</v>
      </c>
      <c r="Q10" s="1006">
        <v>0</v>
      </c>
      <c r="R10" s="1008">
        <f>+P10+Q10</f>
        <v>0</v>
      </c>
      <c r="S10" s="999">
        <f>S11+S18+S23+S26+S29+S32+S35+S38+S40</f>
        <v>0</v>
      </c>
      <c r="T10" s="1000">
        <f>T11+T18+T23+T26+T29+T32+T35+T38+T40</f>
        <v>0</v>
      </c>
      <c r="U10" s="1000">
        <f>U11+U18+U23+U26+U29+U32+U35+U38+U40</f>
        <v>0</v>
      </c>
      <c r="V10" s="1000">
        <f>V11+V18+V23+V26+V29+V32+V35+V38+V40</f>
        <v>0</v>
      </c>
      <c r="W10" s="1001">
        <f>+W11+W18+W23+W26+W29+W32+W35+W40</f>
        <v>0</v>
      </c>
      <c r="X10" s="1000">
        <f>X11+X18+X23+X26+X29+X32+X35+X38+X40</f>
        <v>0</v>
      </c>
      <c r="Y10" s="1000">
        <f>Y11+Y18+Y23+Y26+Y29+Y32+Y35+Y38+Y40</f>
        <v>0</v>
      </c>
      <c r="Z10" s="1001">
        <f>+Z11+Z18+Z23+Z26+Z29+Z32+Z35+Z40</f>
        <v>0</v>
      </c>
      <c r="AA10" s="1001">
        <f>W10+Z10</f>
        <v>0</v>
      </c>
      <c r="AB10" s="999">
        <f>AB11+AB18+AB23+AB26+AB29+AB32+AB35+AB38+AB40</f>
        <v>179264.2</v>
      </c>
      <c r="AC10" s="1000">
        <f>AC11+AC18+AC23+AC26+AC29+AC32+AC35+AC38+AC40</f>
        <v>30600</v>
      </c>
      <c r="AD10" s="1000">
        <f>AD11+AD18+AD23+AD26+AD29+AD32+AD35+AD38+AD40</f>
        <v>35410</v>
      </c>
      <c r="AE10" s="1000">
        <f>AE11+AE18+AE23+AE26+AE29+AE32+AE35+AE38+AE40</f>
        <v>122486.416</v>
      </c>
      <c r="AF10" s="1001">
        <f>+AF11+AF18+AF23+AF26+AF29+AF32+AF35+AF40</f>
        <v>367760.61599999998</v>
      </c>
      <c r="AG10" s="1000">
        <f>AG11+AG18+AG23+AG26+AG29+AG32+AG35+AG38+AG40</f>
        <v>0</v>
      </c>
      <c r="AH10" s="1000">
        <f>AH11+AH18+AH23+AH26+AH29+AH32+AH35+AH38+AH40</f>
        <v>0</v>
      </c>
      <c r="AI10" s="1001">
        <f>+AI11+AI18+AI23+AI26+AI29+AI32+AI35+AI40</f>
        <v>0</v>
      </c>
      <c r="AJ10" s="1001">
        <f>AF10+AI10</f>
        <v>367760.61599999998</v>
      </c>
      <c r="AK10" s="999">
        <f>AK11+AK18+AK23+AK26+AK29+AK32+AK35+AK38+AK40</f>
        <v>179264.2</v>
      </c>
      <c r="AL10" s="1000">
        <f>AL11+AL18+AL23+AL26+AL29+AL32+AL35+AL38+AL40</f>
        <v>30600</v>
      </c>
      <c r="AM10" s="1000">
        <f>AM11+AM18+AM23+AM26+AM29+AM32+AM35+AM38+AM40</f>
        <v>35410</v>
      </c>
      <c r="AN10" s="1000">
        <f>AN11+AN18+AN23+AN26+AN29+AN32+AN35+AN38+AN40</f>
        <v>122486.416</v>
      </c>
      <c r="AO10" s="1001">
        <f>+AO11+AO18+AO23+AO26+AO29+AO32+AO35+AO40</f>
        <v>367760.61599999998</v>
      </c>
      <c r="AP10" s="1009"/>
      <c r="AQ10" s="999">
        <f>AQ11+AQ18+AQ23+AQ26+AQ29+AQ32+AQ35+AQ38+AQ40</f>
        <v>0</v>
      </c>
      <c r="AR10" s="1010">
        <f t="shared" ref="AR10:AT10" si="0">AR11+AR18+AR23+AR26+AR29+AR32+AR35+AR38+AR40</f>
        <v>0</v>
      </c>
      <c r="AS10" s="1010">
        <f t="shared" si="0"/>
        <v>0</v>
      </c>
      <c r="AT10" s="1010">
        <f t="shared" si="0"/>
        <v>0</v>
      </c>
      <c r="AU10" s="1000">
        <f>AU11+AU18+AU23+AU26+AU29+AU32+AU35+AU38+AU40</f>
        <v>13965</v>
      </c>
      <c r="AV10" s="1001">
        <f>+AV11+AV18+AV23+AV26+AV29+AV32+AV35+AV40</f>
        <v>13965</v>
      </c>
      <c r="AW10" s="1001">
        <f>R10+AO10+AV10</f>
        <v>381725.61599999998</v>
      </c>
      <c r="AX10" s="1005">
        <v>0</v>
      </c>
      <c r="AY10" s="1006">
        <v>0</v>
      </c>
      <c r="AZ10" s="1006">
        <v>0</v>
      </c>
      <c r="BA10" s="1011">
        <v>0</v>
      </c>
      <c r="BB10" s="1010">
        <f>BB11+BB18+BB23+BB26+BB29+BB32+BB35+BB38+BB40</f>
        <v>0</v>
      </c>
      <c r="BC10" s="1000">
        <f t="shared" ref="BC10:BD10" si="1">BC11+BC18+BC23+BC26+BC29+BC32+BC35+BC38+BC40</f>
        <v>0</v>
      </c>
      <c r="BD10" s="1000">
        <f t="shared" si="1"/>
        <v>0</v>
      </c>
      <c r="BE10" s="1011">
        <f>SUM(BB10:BD10)</f>
        <v>0</v>
      </c>
      <c r="BF10" s="1005">
        <v>0</v>
      </c>
      <c r="BG10" s="1006">
        <v>0</v>
      </c>
      <c r="BH10" s="1011">
        <v>0</v>
      </c>
      <c r="BI10" s="1005">
        <f>BI11+BI18+BI23+BI29+BI32+BI35+BI40</f>
        <v>0</v>
      </c>
      <c r="BJ10" s="1006">
        <v>0</v>
      </c>
      <c r="BK10" s="1008">
        <v>0</v>
      </c>
      <c r="BL10" s="1005">
        <f>BL11+BL18+BL23+BL29+BL32+BL35+BL40</f>
        <v>0</v>
      </c>
      <c r="BM10" s="1006">
        <v>0</v>
      </c>
      <c r="BN10" s="1008">
        <v>0</v>
      </c>
      <c r="BO10" s="1005">
        <v>0</v>
      </c>
      <c r="BP10" s="1012">
        <v>0</v>
      </c>
      <c r="BQ10" s="1008">
        <f>+BO10+BP10</f>
        <v>0</v>
      </c>
      <c r="BR10" s="1012"/>
      <c r="BS10" s="1013">
        <f>G10+AW10+BA10+BE10+BK10+BN10+BQ10</f>
        <v>534168.50600000005</v>
      </c>
      <c r="BT10" s="993" t="s">
        <v>419</v>
      </c>
    </row>
    <row r="11" spans="1:72" s="140" customFormat="1" ht="18" customHeight="1" x14ac:dyDescent="0.2">
      <c r="A11" s="1014">
        <v>511</v>
      </c>
      <c r="B11" s="1015" t="s">
        <v>121</v>
      </c>
      <c r="C11" s="1016">
        <f t="shared" ref="C11:J11" si="2">SUM(C12:C17)</f>
        <v>66950</v>
      </c>
      <c r="D11" s="1017">
        <f t="shared" si="2"/>
        <v>21920</v>
      </c>
      <c r="E11" s="1017">
        <f t="shared" si="2"/>
        <v>13080</v>
      </c>
      <c r="F11" s="1017">
        <f>SUM(F12:F17)</f>
        <v>10069.290000000001</v>
      </c>
      <c r="G11" s="1001">
        <f>SUM(G12:G17)</f>
        <v>112019.29000000001</v>
      </c>
      <c r="H11" s="1018">
        <f>SUM(H12:H17)</f>
        <v>0</v>
      </c>
      <c r="I11" s="1019">
        <f t="shared" si="2"/>
        <v>0</v>
      </c>
      <c r="J11" s="1019">
        <f t="shared" si="2"/>
        <v>0</v>
      </c>
      <c r="K11" s="1020">
        <f>SUM(K12:K22)</f>
        <v>0</v>
      </c>
      <c r="L11" s="1021">
        <f>SUM(L12:L22)</f>
        <v>0</v>
      </c>
      <c r="M11" s="1022">
        <f>SUM(M12:M17)</f>
        <v>0</v>
      </c>
      <c r="N11" s="1022">
        <f>SUM(N12:N17)</f>
        <v>0</v>
      </c>
      <c r="O11" s="1022"/>
      <c r="P11" s="1022">
        <v>0</v>
      </c>
      <c r="Q11" s="1022">
        <v>0</v>
      </c>
      <c r="R11" s="1023">
        <f t="shared" ref="R11:R74" si="3">+P11+Q11</f>
        <v>0</v>
      </c>
      <c r="S11" s="1016">
        <f t="shared" ref="S11:U11" si="4">SUM(S12:S17)</f>
        <v>0</v>
      </c>
      <c r="T11" s="1017">
        <f t="shared" si="4"/>
        <v>0</v>
      </c>
      <c r="U11" s="1017">
        <f t="shared" si="4"/>
        <v>0</v>
      </c>
      <c r="V11" s="1017">
        <f>SUM(V12:V17)</f>
        <v>0</v>
      </c>
      <c r="W11" s="1001">
        <f>SUM(W12:W17)</f>
        <v>0</v>
      </c>
      <c r="X11" s="1017">
        <f t="shared" ref="X11:Y11" si="5">SUM(X12:X17)</f>
        <v>0</v>
      </c>
      <c r="Y11" s="1017">
        <f t="shared" si="5"/>
        <v>0</v>
      </c>
      <c r="Z11" s="1001">
        <f>SUM(Z12:Z17)</f>
        <v>0</v>
      </c>
      <c r="AA11" s="1001">
        <f>W11+Z11</f>
        <v>0</v>
      </c>
      <c r="AB11" s="1016">
        <f t="shared" ref="AB11:AD11" si="6">SUM(AB12:AB17)</f>
        <v>127400</v>
      </c>
      <c r="AC11" s="1017">
        <f t="shared" si="6"/>
        <v>30600</v>
      </c>
      <c r="AD11" s="1017">
        <f t="shared" si="6"/>
        <v>35410</v>
      </c>
      <c r="AE11" s="1017">
        <f>SUM(AE12:AE17)</f>
        <v>122486.416</v>
      </c>
      <c r="AF11" s="1001">
        <f>SUM(AF12:AF17)</f>
        <v>315896.41599999997</v>
      </c>
      <c r="AG11" s="1017">
        <f t="shared" ref="AG11:AH11" si="7">SUM(AG12:AG17)</f>
        <v>0</v>
      </c>
      <c r="AH11" s="1017">
        <f t="shared" si="7"/>
        <v>0</v>
      </c>
      <c r="AI11" s="1001">
        <f>SUM(AI12:AI17)</f>
        <v>0</v>
      </c>
      <c r="AJ11" s="1001">
        <f>AF11+AI11</f>
        <v>315896.41599999997</v>
      </c>
      <c r="AK11" s="1016">
        <f>SUM(AK12:AK17)</f>
        <v>127400</v>
      </c>
      <c r="AL11" s="1017">
        <f t="shared" ref="AL11:AM11" si="8">SUM(AL12:AL17)</f>
        <v>30600</v>
      </c>
      <c r="AM11" s="1017">
        <f t="shared" si="8"/>
        <v>35410</v>
      </c>
      <c r="AN11" s="1017">
        <f>SUM(AN12:AN17)</f>
        <v>122486.416</v>
      </c>
      <c r="AO11" s="1001">
        <f>SUM(AO12:AO17)</f>
        <v>315896.41599999997</v>
      </c>
      <c r="AP11" s="1009"/>
      <c r="AQ11" s="1024">
        <f t="shared" ref="AQ11:AU11" si="9">SUM(AQ12:AQ17)</f>
        <v>0</v>
      </c>
      <c r="AR11" s="1025">
        <f t="shared" si="9"/>
        <v>0</v>
      </c>
      <c r="AS11" s="1025">
        <f t="shared" si="9"/>
        <v>0</v>
      </c>
      <c r="AT11" s="1025">
        <f t="shared" si="9"/>
        <v>0</v>
      </c>
      <c r="AU11" s="1017">
        <f t="shared" si="9"/>
        <v>0</v>
      </c>
      <c r="AV11" s="1001">
        <f>SUM(AV12:AV17)</f>
        <v>0</v>
      </c>
      <c r="AW11" s="1001">
        <f t="shared" ref="AW11:AW74" si="10">R11+AO11+AV11</f>
        <v>315896.41599999997</v>
      </c>
      <c r="AX11" s="1026">
        <f t="shared" ref="AX11:BA11" si="11">SUM(AX12:AX17)</f>
        <v>0</v>
      </c>
      <c r="AY11" s="1022">
        <f t="shared" si="11"/>
        <v>0</v>
      </c>
      <c r="AZ11" s="1022">
        <f t="shared" si="11"/>
        <v>0</v>
      </c>
      <c r="BA11" s="1027">
        <f t="shared" si="11"/>
        <v>0</v>
      </c>
      <c r="BB11" s="1025">
        <f t="shared" ref="BB11:BD11" si="12">SUM(BB12:BB17)</f>
        <v>0</v>
      </c>
      <c r="BC11" s="1017">
        <f t="shared" si="12"/>
        <v>0</v>
      </c>
      <c r="BD11" s="1000">
        <f t="shared" si="12"/>
        <v>0</v>
      </c>
      <c r="BE11" s="1027">
        <f>SUM(BB11:BD11)</f>
        <v>0</v>
      </c>
      <c r="BF11" s="1026">
        <v>0</v>
      </c>
      <c r="BG11" s="1022">
        <v>0</v>
      </c>
      <c r="BH11" s="1027">
        <v>0</v>
      </c>
      <c r="BI11" s="1026">
        <f>SUM(BI12:BI17)</f>
        <v>0</v>
      </c>
      <c r="BJ11" s="1022">
        <f t="shared" ref="BJ11" si="13">SUM(BJ12:BJ17)</f>
        <v>0</v>
      </c>
      <c r="BK11" s="1023">
        <f>SUM(BK12:BK17)</f>
        <v>0</v>
      </c>
      <c r="BL11" s="1026">
        <f>SUM(BL12:BL17)</f>
        <v>0</v>
      </c>
      <c r="BM11" s="1022">
        <f t="shared" ref="BM11" si="14">SUM(BM12:BM17)</f>
        <v>0</v>
      </c>
      <c r="BN11" s="1023">
        <f>SUM(BN12:BN17)</f>
        <v>0</v>
      </c>
      <c r="BO11" s="1026">
        <v>0</v>
      </c>
      <c r="BP11" s="1028">
        <v>0</v>
      </c>
      <c r="BQ11" s="1008">
        <f t="shared" ref="BQ11:BQ74" si="15">+BO11+BP11</f>
        <v>0</v>
      </c>
      <c r="BR11" s="1028"/>
      <c r="BS11" s="1013">
        <f t="shared" ref="BS11:BS74" si="16">G11+AW11+BA11+BE11+BK11+BN11+BQ11</f>
        <v>427915.70600000001</v>
      </c>
      <c r="BT11" s="284" t="s">
        <v>419</v>
      </c>
    </row>
    <row r="12" spans="1:72" s="1049" customFormat="1" ht="18" customHeight="1" x14ac:dyDescent="0.2">
      <c r="A12" s="1029" t="s">
        <v>122</v>
      </c>
      <c r="B12" s="1030" t="s">
        <v>123</v>
      </c>
      <c r="C12" s="1031">
        <f>'PLLA MUNICIPAL LEY SAL'!AJ25</f>
        <v>45000</v>
      </c>
      <c r="D12" s="1032">
        <f>'PLLA MUNICIPAL LEY SAL'!AJ37</f>
        <v>17880</v>
      </c>
      <c r="E12" s="1032">
        <f>'PLLA MUNICIPAL LEY SAL'!AJ47</f>
        <v>9350</v>
      </c>
      <c r="F12" s="1033">
        <f>'PLLA MUNICIPAL LEY SAL'!AJ70</f>
        <v>0</v>
      </c>
      <c r="G12" s="1034">
        <f t="shared" ref="G12:G17" si="17">SUM(C12:F12)</f>
        <v>72230</v>
      </c>
      <c r="H12" s="1035">
        <v>0</v>
      </c>
      <c r="I12" s="1036">
        <v>0</v>
      </c>
      <c r="J12" s="1037">
        <v>0</v>
      </c>
      <c r="K12" s="1036">
        <v>0</v>
      </c>
      <c r="L12" s="1038">
        <f>SUM(H12:K12)</f>
        <v>0</v>
      </c>
      <c r="M12" s="1039">
        <v>0</v>
      </c>
      <c r="N12" s="1040">
        <v>0</v>
      </c>
      <c r="O12" s="1040">
        <v>0</v>
      </c>
      <c r="P12" s="1040">
        <v>0</v>
      </c>
      <c r="Q12" s="1040">
        <v>0</v>
      </c>
      <c r="R12" s="1041">
        <f t="shared" si="3"/>
        <v>0</v>
      </c>
      <c r="S12" s="1031">
        <v>0</v>
      </c>
      <c r="T12" s="1032">
        <v>0</v>
      </c>
      <c r="U12" s="1032">
        <v>0</v>
      </c>
      <c r="V12" s="1033">
        <v>0</v>
      </c>
      <c r="W12" s="1034">
        <v>0</v>
      </c>
      <c r="X12" s="1032">
        <v>0</v>
      </c>
      <c r="Y12" s="1032">
        <v>0</v>
      </c>
      <c r="Z12" s="1034">
        <f>SUM(X12:Y12)</f>
        <v>0</v>
      </c>
      <c r="AA12" s="1034">
        <f t="shared" ref="AA12:AA74" si="18">W12+Z12</f>
        <v>0</v>
      </c>
      <c r="AB12" s="1031">
        <f>'PLLA MUNICIPAL LEY SAL'!AT25</f>
        <v>50400</v>
      </c>
      <c r="AC12" s="1032">
        <f>'PLLA MUNICIPAL LEY SAL'!AT37</f>
        <v>30600</v>
      </c>
      <c r="AD12" s="1032">
        <f>'PLLA MUNICIPAL LEY SAL'!AT47</f>
        <v>35410</v>
      </c>
      <c r="AE12" s="1033">
        <f>'PLLA MUNICIPAL LEY SAL'!AT70</f>
        <v>120831.48</v>
      </c>
      <c r="AF12" s="1034">
        <f t="shared" ref="AF12:AF17" si="19">SUM(AB12:AE12)</f>
        <v>237241.47999999998</v>
      </c>
      <c r="AG12" s="1032">
        <v>0</v>
      </c>
      <c r="AH12" s="1032">
        <v>0</v>
      </c>
      <c r="AI12" s="1034">
        <f>SUM(AG12:AH12)</f>
        <v>0</v>
      </c>
      <c r="AJ12" s="1034">
        <f>AF12+AI12</f>
        <v>237241.47999999998</v>
      </c>
      <c r="AK12" s="1031">
        <f>S12+AB12</f>
        <v>50400</v>
      </c>
      <c r="AL12" s="1032">
        <f>T12+AC12</f>
        <v>30600</v>
      </c>
      <c r="AM12" s="1032">
        <f>U12+AD12</f>
        <v>35410</v>
      </c>
      <c r="AN12" s="1033">
        <f t="shared" ref="AM12:AN17" si="20">V12+AE12</f>
        <v>120831.48</v>
      </c>
      <c r="AO12" s="1034">
        <f>SUM(AK12:AN12)</f>
        <v>237241.47999999998</v>
      </c>
      <c r="AP12" s="1042"/>
      <c r="AQ12" s="1043">
        <v>0</v>
      </c>
      <c r="AR12" s="1044">
        <v>0</v>
      </c>
      <c r="AS12" s="1044">
        <v>0</v>
      </c>
      <c r="AT12" s="1044">
        <v>0</v>
      </c>
      <c r="AU12" s="1032">
        <v>0</v>
      </c>
      <c r="AV12" s="1034">
        <v>0</v>
      </c>
      <c r="AW12" s="1034">
        <f>R12+AO12+AV12</f>
        <v>237241.47999999998</v>
      </c>
      <c r="AX12" s="1040">
        <v>0</v>
      </c>
      <c r="AY12" s="1040">
        <v>0</v>
      </c>
      <c r="AZ12" s="1040">
        <v>0</v>
      </c>
      <c r="BA12" s="1045">
        <f t="shared" ref="BA12:BA17" si="21">SUM(AX12:AZ12)</f>
        <v>0</v>
      </c>
      <c r="BB12" s="1032">
        <v>0</v>
      </c>
      <c r="BC12" s="1033">
        <v>0</v>
      </c>
      <c r="BD12" s="1032">
        <v>0</v>
      </c>
      <c r="BE12" s="1045">
        <f t="shared" ref="BE12:BE74" si="22">+BB12+BC12</f>
        <v>0</v>
      </c>
      <c r="BF12" s="1046">
        <v>0</v>
      </c>
      <c r="BG12" s="1040">
        <v>0</v>
      </c>
      <c r="BH12" s="1045">
        <v>0</v>
      </c>
      <c r="BI12" s="1046">
        <v>0</v>
      </c>
      <c r="BJ12" s="1040">
        <v>0</v>
      </c>
      <c r="BK12" s="1041">
        <f>SUM(BI12:BJ12)</f>
        <v>0</v>
      </c>
      <c r="BL12" s="1046">
        <v>0</v>
      </c>
      <c r="BM12" s="1040">
        <v>0</v>
      </c>
      <c r="BN12" s="1041">
        <f>SUM(BL12:BM12)</f>
        <v>0</v>
      </c>
      <c r="BO12" s="1046">
        <v>0</v>
      </c>
      <c r="BP12" s="1039">
        <v>0</v>
      </c>
      <c r="BQ12" s="1047">
        <f t="shared" si="15"/>
        <v>0</v>
      </c>
      <c r="BR12" s="1039"/>
      <c r="BS12" s="1048">
        <f t="shared" si="16"/>
        <v>309471.48</v>
      </c>
      <c r="BT12" s="994" t="s">
        <v>419</v>
      </c>
    </row>
    <row r="13" spans="1:72" s="1049" customFormat="1" ht="18" hidden="1" customHeight="1" x14ac:dyDescent="0.2">
      <c r="A13" s="1050">
        <v>51102</v>
      </c>
      <c r="B13" s="1051" t="s">
        <v>124</v>
      </c>
      <c r="C13" s="1052">
        <v>0</v>
      </c>
      <c r="D13" s="1032">
        <v>0</v>
      </c>
      <c r="E13" s="1032">
        <v>0</v>
      </c>
      <c r="F13" s="1032">
        <v>0</v>
      </c>
      <c r="G13" s="1034">
        <f t="shared" si="17"/>
        <v>0</v>
      </c>
      <c r="H13" s="1053">
        <v>0</v>
      </c>
      <c r="I13" s="1036">
        <v>0</v>
      </c>
      <c r="J13" s="1036">
        <v>0</v>
      </c>
      <c r="K13" s="1036">
        <v>0</v>
      </c>
      <c r="L13" s="1038">
        <f t="shared" ref="L13:L25" si="23">SUM(H13:K13)</f>
        <v>0</v>
      </c>
      <c r="M13" s="1039">
        <v>0</v>
      </c>
      <c r="N13" s="1040">
        <v>0</v>
      </c>
      <c r="O13" s="1040">
        <v>0</v>
      </c>
      <c r="P13" s="1040">
        <v>0</v>
      </c>
      <c r="Q13" s="1040">
        <v>0</v>
      </c>
      <c r="R13" s="1041">
        <f t="shared" si="3"/>
        <v>0</v>
      </c>
      <c r="S13" s="1052">
        <v>0</v>
      </c>
      <c r="T13" s="1032">
        <v>0</v>
      </c>
      <c r="U13" s="1032">
        <v>0</v>
      </c>
      <c r="V13" s="1032">
        <v>0</v>
      </c>
      <c r="W13" s="1034">
        <v>0</v>
      </c>
      <c r="X13" s="1032">
        <v>0</v>
      </c>
      <c r="Y13" s="1032">
        <v>0</v>
      </c>
      <c r="Z13" s="1034">
        <f t="shared" ref="Z13:Z21" si="24">SUM(X13:Y13)</f>
        <v>0</v>
      </c>
      <c r="AA13" s="1034">
        <f t="shared" si="18"/>
        <v>0</v>
      </c>
      <c r="AB13" s="1052">
        <v>0</v>
      </c>
      <c r="AC13" s="1032">
        <v>0</v>
      </c>
      <c r="AD13" s="1032">
        <v>0</v>
      </c>
      <c r="AE13" s="1032">
        <v>0</v>
      </c>
      <c r="AF13" s="1034">
        <f t="shared" si="19"/>
        <v>0</v>
      </c>
      <c r="AG13" s="1032">
        <v>0</v>
      </c>
      <c r="AH13" s="1032">
        <v>0</v>
      </c>
      <c r="AI13" s="1034">
        <f t="shared" ref="AI13:AI17" si="25">SUM(AG13:AH13)</f>
        <v>0</v>
      </c>
      <c r="AJ13" s="1034">
        <f t="shared" ref="AJ13:AJ46" si="26">AF13+AI13</f>
        <v>0</v>
      </c>
      <c r="AK13" s="1052">
        <f t="shared" ref="AK13:AL17" si="27">S13+AB13</f>
        <v>0</v>
      </c>
      <c r="AL13" s="1032">
        <f t="shared" si="27"/>
        <v>0</v>
      </c>
      <c r="AM13" s="1032">
        <f t="shared" si="20"/>
        <v>0</v>
      </c>
      <c r="AN13" s="1032">
        <f t="shared" si="20"/>
        <v>0</v>
      </c>
      <c r="AO13" s="1034">
        <f t="shared" ref="AO13" si="28">SUM(AK13:AN13)</f>
        <v>0</v>
      </c>
      <c r="AP13" s="1042"/>
      <c r="AQ13" s="1043">
        <v>0</v>
      </c>
      <c r="AR13" s="1044">
        <v>0</v>
      </c>
      <c r="AS13" s="1044">
        <v>0</v>
      </c>
      <c r="AT13" s="1044">
        <v>0</v>
      </c>
      <c r="AU13" s="1032">
        <v>0</v>
      </c>
      <c r="AV13" s="1034">
        <v>0</v>
      </c>
      <c r="AW13" s="1034">
        <f t="shared" si="10"/>
        <v>0</v>
      </c>
      <c r="AX13" s="1040">
        <v>0</v>
      </c>
      <c r="AY13" s="1040">
        <v>0</v>
      </c>
      <c r="AZ13" s="1040">
        <v>0</v>
      </c>
      <c r="BA13" s="1045">
        <f>SUM(AX13:AZ13)</f>
        <v>0</v>
      </c>
      <c r="BB13" s="1032">
        <v>0</v>
      </c>
      <c r="BC13" s="1032">
        <v>0</v>
      </c>
      <c r="BD13" s="1032">
        <v>0</v>
      </c>
      <c r="BE13" s="1045">
        <f t="shared" si="22"/>
        <v>0</v>
      </c>
      <c r="BF13" s="1046">
        <v>0</v>
      </c>
      <c r="BG13" s="1040">
        <v>0</v>
      </c>
      <c r="BH13" s="1045">
        <v>0</v>
      </c>
      <c r="BI13" s="1046">
        <v>0</v>
      </c>
      <c r="BJ13" s="1040">
        <v>0</v>
      </c>
      <c r="BK13" s="1041">
        <f t="shared" ref="BK13:BK29" si="29">SUM(BI13:BJ13)</f>
        <v>0</v>
      </c>
      <c r="BL13" s="1046">
        <v>0</v>
      </c>
      <c r="BM13" s="1040">
        <v>0</v>
      </c>
      <c r="BN13" s="1041">
        <f t="shared" ref="BN13:BN17" si="30">SUM(BL13:BM13)</f>
        <v>0</v>
      </c>
      <c r="BO13" s="1046">
        <v>0</v>
      </c>
      <c r="BP13" s="1039">
        <v>0</v>
      </c>
      <c r="BQ13" s="1047">
        <f t="shared" si="15"/>
        <v>0</v>
      </c>
      <c r="BR13" s="1039"/>
      <c r="BS13" s="1048">
        <f t="shared" si="16"/>
        <v>0</v>
      </c>
      <c r="BT13" s="994" t="s">
        <v>419</v>
      </c>
    </row>
    <row r="14" spans="1:72" s="1049" customFormat="1" ht="18" customHeight="1" x14ac:dyDescent="0.2">
      <c r="A14" s="1050">
        <v>51103</v>
      </c>
      <c r="B14" s="1030" t="s">
        <v>125</v>
      </c>
      <c r="C14" s="1031">
        <f>'PLLA MUNICIPAL LEY SAL'!AP25</f>
        <v>7950</v>
      </c>
      <c r="D14" s="1032">
        <f>'PLLA MUNICIPAL LEY SAL'!AP37</f>
        <v>4040</v>
      </c>
      <c r="E14" s="1032">
        <f>'PLLA MUNICIPAL LEY SAL'!AP47</f>
        <v>3730</v>
      </c>
      <c r="F14" s="1032">
        <f>'PLLA MUNICIPAL LEY SAL'!AP70</f>
        <v>10069.290000000001</v>
      </c>
      <c r="G14" s="1034">
        <f t="shared" si="17"/>
        <v>25789.29</v>
      </c>
      <c r="H14" s="1053">
        <v>0</v>
      </c>
      <c r="I14" s="1036">
        <v>0</v>
      </c>
      <c r="J14" s="1036">
        <v>0</v>
      </c>
      <c r="K14" s="1036">
        <v>0</v>
      </c>
      <c r="L14" s="1038">
        <f t="shared" si="23"/>
        <v>0</v>
      </c>
      <c r="M14" s="1039">
        <v>0</v>
      </c>
      <c r="N14" s="1040">
        <v>0</v>
      </c>
      <c r="O14" s="1040">
        <v>0</v>
      </c>
      <c r="P14" s="1040">
        <v>0</v>
      </c>
      <c r="Q14" s="1040">
        <v>0</v>
      </c>
      <c r="R14" s="1041">
        <f t="shared" si="3"/>
        <v>0</v>
      </c>
      <c r="S14" s="1031">
        <v>0</v>
      </c>
      <c r="T14" s="1032">
        <v>0</v>
      </c>
      <c r="U14" s="1032">
        <v>0</v>
      </c>
      <c r="V14" s="1032">
        <v>0</v>
      </c>
      <c r="W14" s="1034">
        <v>0</v>
      </c>
      <c r="X14" s="1032">
        <v>0</v>
      </c>
      <c r="Y14" s="1032">
        <v>0</v>
      </c>
      <c r="Z14" s="1034">
        <f t="shared" si="24"/>
        <v>0</v>
      </c>
      <c r="AA14" s="1034">
        <f t="shared" si="18"/>
        <v>0</v>
      </c>
      <c r="AB14" s="1031">
        <v>0</v>
      </c>
      <c r="AC14" s="1032">
        <v>0</v>
      </c>
      <c r="AD14" s="1032">
        <v>0</v>
      </c>
      <c r="AE14" s="1032">
        <v>0</v>
      </c>
      <c r="AF14" s="1034">
        <f>SUM(AB14:AE14)</f>
        <v>0</v>
      </c>
      <c r="AG14" s="1032">
        <v>0</v>
      </c>
      <c r="AH14" s="1032">
        <v>0</v>
      </c>
      <c r="AI14" s="1034">
        <f t="shared" si="25"/>
        <v>0</v>
      </c>
      <c r="AJ14" s="1034">
        <f t="shared" si="26"/>
        <v>0</v>
      </c>
      <c r="AK14" s="1031">
        <f t="shared" si="27"/>
        <v>0</v>
      </c>
      <c r="AL14" s="1032">
        <f t="shared" si="27"/>
        <v>0</v>
      </c>
      <c r="AM14" s="1032">
        <f t="shared" si="20"/>
        <v>0</v>
      </c>
      <c r="AN14" s="1032">
        <f t="shared" si="20"/>
        <v>0</v>
      </c>
      <c r="AO14" s="1034">
        <f>SUM(AK14:AN14)</f>
        <v>0</v>
      </c>
      <c r="AP14" s="1042"/>
      <c r="AQ14" s="1043">
        <v>0</v>
      </c>
      <c r="AR14" s="1044">
        <v>0</v>
      </c>
      <c r="AS14" s="1044">
        <v>0</v>
      </c>
      <c r="AT14" s="1044">
        <v>0</v>
      </c>
      <c r="AU14" s="1032">
        <v>0</v>
      </c>
      <c r="AV14" s="1034">
        <v>0</v>
      </c>
      <c r="AW14" s="1034">
        <f t="shared" si="10"/>
        <v>0</v>
      </c>
      <c r="AX14" s="1040">
        <v>0</v>
      </c>
      <c r="AY14" s="1040">
        <v>0</v>
      </c>
      <c r="AZ14" s="1040">
        <v>0</v>
      </c>
      <c r="BA14" s="1045">
        <f t="shared" si="21"/>
        <v>0</v>
      </c>
      <c r="BB14" s="1032">
        <v>0</v>
      </c>
      <c r="BC14" s="1032">
        <v>0</v>
      </c>
      <c r="BD14" s="1032">
        <v>0</v>
      </c>
      <c r="BE14" s="1045">
        <f t="shared" si="22"/>
        <v>0</v>
      </c>
      <c r="BF14" s="1046">
        <v>0</v>
      </c>
      <c r="BG14" s="1040">
        <v>0</v>
      </c>
      <c r="BH14" s="1045">
        <v>0</v>
      </c>
      <c r="BI14" s="1046">
        <v>0</v>
      </c>
      <c r="BJ14" s="1040">
        <v>0</v>
      </c>
      <c r="BK14" s="1041">
        <f t="shared" si="29"/>
        <v>0</v>
      </c>
      <c r="BL14" s="1046">
        <v>0</v>
      </c>
      <c r="BM14" s="1040">
        <v>0</v>
      </c>
      <c r="BN14" s="1041">
        <f t="shared" si="30"/>
        <v>0</v>
      </c>
      <c r="BO14" s="1046">
        <v>0</v>
      </c>
      <c r="BP14" s="1039">
        <v>0</v>
      </c>
      <c r="BQ14" s="1047">
        <f t="shared" si="15"/>
        <v>0</v>
      </c>
      <c r="BR14" s="1039"/>
      <c r="BS14" s="1048">
        <f t="shared" si="16"/>
        <v>25789.29</v>
      </c>
      <c r="BT14" s="994" t="s">
        <v>419</v>
      </c>
    </row>
    <row r="15" spans="1:72" s="1049" customFormat="1" ht="18" hidden="1" customHeight="1" x14ac:dyDescent="0.2">
      <c r="A15" s="1050">
        <v>51104</v>
      </c>
      <c r="B15" s="1030" t="s">
        <v>126</v>
      </c>
      <c r="C15" s="1054">
        <v>0</v>
      </c>
      <c r="D15" s="1032">
        <v>0</v>
      </c>
      <c r="E15" s="1032">
        <v>0</v>
      </c>
      <c r="F15" s="1032">
        <v>0</v>
      </c>
      <c r="G15" s="1055">
        <f t="shared" si="17"/>
        <v>0</v>
      </c>
      <c r="H15" s="1053">
        <v>0</v>
      </c>
      <c r="I15" s="1036">
        <v>0</v>
      </c>
      <c r="J15" s="1036">
        <v>0</v>
      </c>
      <c r="K15" s="1036">
        <v>0</v>
      </c>
      <c r="L15" s="1038">
        <f t="shared" si="23"/>
        <v>0</v>
      </c>
      <c r="M15" s="1039">
        <v>0</v>
      </c>
      <c r="N15" s="1040">
        <v>0</v>
      </c>
      <c r="O15" s="1040">
        <v>0</v>
      </c>
      <c r="P15" s="1040">
        <v>0</v>
      </c>
      <c r="Q15" s="1040">
        <v>0</v>
      </c>
      <c r="R15" s="1041">
        <f t="shared" si="3"/>
        <v>0</v>
      </c>
      <c r="S15" s="1054">
        <v>0</v>
      </c>
      <c r="T15" s="1032">
        <v>0</v>
      </c>
      <c r="U15" s="1032">
        <v>0</v>
      </c>
      <c r="V15" s="1032">
        <v>0</v>
      </c>
      <c r="W15" s="1055">
        <v>0</v>
      </c>
      <c r="X15" s="1032">
        <v>0</v>
      </c>
      <c r="Y15" s="1032">
        <v>0</v>
      </c>
      <c r="Z15" s="1034">
        <f t="shared" si="24"/>
        <v>0</v>
      </c>
      <c r="AA15" s="1055">
        <f t="shared" si="18"/>
        <v>0</v>
      </c>
      <c r="AB15" s="1054">
        <v>0</v>
      </c>
      <c r="AC15" s="1032">
        <v>0</v>
      </c>
      <c r="AD15" s="1032">
        <v>0</v>
      </c>
      <c r="AE15" s="1032">
        <v>0</v>
      </c>
      <c r="AF15" s="1055">
        <f t="shared" si="19"/>
        <v>0</v>
      </c>
      <c r="AG15" s="1032">
        <v>0</v>
      </c>
      <c r="AH15" s="1032">
        <v>0</v>
      </c>
      <c r="AI15" s="1034">
        <f t="shared" si="25"/>
        <v>0</v>
      </c>
      <c r="AJ15" s="1055">
        <f t="shared" si="26"/>
        <v>0</v>
      </c>
      <c r="AK15" s="1054">
        <f t="shared" si="27"/>
        <v>0</v>
      </c>
      <c r="AL15" s="1032">
        <f t="shared" si="27"/>
        <v>0</v>
      </c>
      <c r="AM15" s="1032">
        <f t="shared" si="20"/>
        <v>0</v>
      </c>
      <c r="AN15" s="1032">
        <f t="shared" si="20"/>
        <v>0</v>
      </c>
      <c r="AO15" s="1055">
        <f t="shared" ref="AO15:AO17" si="31">SUM(AK15:AN15)</f>
        <v>0</v>
      </c>
      <c r="AP15" s="1056"/>
      <c r="AQ15" s="1043">
        <v>0</v>
      </c>
      <c r="AR15" s="1044">
        <v>0</v>
      </c>
      <c r="AS15" s="1044">
        <v>0</v>
      </c>
      <c r="AT15" s="1044">
        <v>0</v>
      </c>
      <c r="AU15" s="1032">
        <v>0</v>
      </c>
      <c r="AV15" s="1055">
        <v>0</v>
      </c>
      <c r="AW15" s="1034">
        <f t="shared" si="10"/>
        <v>0</v>
      </c>
      <c r="AX15" s="1040">
        <v>0</v>
      </c>
      <c r="AY15" s="1040">
        <v>0</v>
      </c>
      <c r="AZ15" s="1040">
        <v>0</v>
      </c>
      <c r="BA15" s="1045">
        <f t="shared" si="21"/>
        <v>0</v>
      </c>
      <c r="BB15" s="1032">
        <v>0</v>
      </c>
      <c r="BC15" s="1032">
        <v>0</v>
      </c>
      <c r="BD15" s="1032">
        <v>0</v>
      </c>
      <c r="BE15" s="1045">
        <f t="shared" si="22"/>
        <v>0</v>
      </c>
      <c r="BF15" s="1046">
        <v>0</v>
      </c>
      <c r="BG15" s="1040">
        <v>0</v>
      </c>
      <c r="BH15" s="1045">
        <v>0</v>
      </c>
      <c r="BI15" s="1046">
        <v>0</v>
      </c>
      <c r="BJ15" s="1040">
        <v>0</v>
      </c>
      <c r="BK15" s="1041">
        <f t="shared" si="29"/>
        <v>0</v>
      </c>
      <c r="BL15" s="1046">
        <v>0</v>
      </c>
      <c r="BM15" s="1040">
        <v>0</v>
      </c>
      <c r="BN15" s="1041">
        <f t="shared" si="30"/>
        <v>0</v>
      </c>
      <c r="BO15" s="1046">
        <v>0</v>
      </c>
      <c r="BP15" s="1039">
        <v>0</v>
      </c>
      <c r="BQ15" s="1047">
        <f t="shared" si="15"/>
        <v>0</v>
      </c>
      <c r="BR15" s="1039"/>
      <c r="BS15" s="1048">
        <f t="shared" si="16"/>
        <v>0</v>
      </c>
      <c r="BT15" s="994" t="s">
        <v>419</v>
      </c>
    </row>
    <row r="16" spans="1:72" s="1049" customFormat="1" ht="18" customHeight="1" x14ac:dyDescent="0.2">
      <c r="A16" s="1029" t="s">
        <v>127</v>
      </c>
      <c r="B16" s="1030" t="s">
        <v>128</v>
      </c>
      <c r="C16" s="1054">
        <f>'AG1'!G19</f>
        <v>7000</v>
      </c>
      <c r="D16" s="1032">
        <v>0</v>
      </c>
      <c r="E16" s="1032">
        <v>0</v>
      </c>
      <c r="F16" s="1032">
        <v>0</v>
      </c>
      <c r="G16" s="1055">
        <f t="shared" si="17"/>
        <v>7000</v>
      </c>
      <c r="H16" s="1053">
        <v>0</v>
      </c>
      <c r="I16" s="1036">
        <v>0</v>
      </c>
      <c r="J16" s="1036">
        <v>0</v>
      </c>
      <c r="K16" s="1036">
        <v>0</v>
      </c>
      <c r="L16" s="1038">
        <f t="shared" si="23"/>
        <v>0</v>
      </c>
      <c r="M16" s="1039">
        <v>0</v>
      </c>
      <c r="N16" s="1040">
        <v>0</v>
      </c>
      <c r="O16" s="1040">
        <v>0</v>
      </c>
      <c r="P16" s="1040">
        <v>0</v>
      </c>
      <c r="Q16" s="1040">
        <v>0</v>
      </c>
      <c r="R16" s="1041">
        <f t="shared" si="3"/>
        <v>0</v>
      </c>
      <c r="S16" s="1054">
        <v>0</v>
      </c>
      <c r="T16" s="1032">
        <v>0</v>
      </c>
      <c r="U16" s="1032">
        <v>0</v>
      </c>
      <c r="V16" s="1032">
        <v>0</v>
      </c>
      <c r="W16" s="1055">
        <v>0</v>
      </c>
      <c r="X16" s="1032">
        <v>0</v>
      </c>
      <c r="Y16" s="1032">
        <v>0</v>
      </c>
      <c r="Z16" s="1034">
        <f t="shared" si="24"/>
        <v>0</v>
      </c>
      <c r="AA16" s="1055">
        <f t="shared" si="18"/>
        <v>0</v>
      </c>
      <c r="AB16" s="1054">
        <f>'AG1'!F19</f>
        <v>77000</v>
      </c>
      <c r="AC16" s="1032">
        <v>0</v>
      </c>
      <c r="AD16" s="1032">
        <v>0</v>
      </c>
      <c r="AE16" s="1032">
        <v>0</v>
      </c>
      <c r="AF16" s="1055">
        <f t="shared" si="19"/>
        <v>77000</v>
      </c>
      <c r="AG16" s="1032">
        <v>0</v>
      </c>
      <c r="AH16" s="1032">
        <v>0</v>
      </c>
      <c r="AI16" s="1034">
        <f t="shared" si="25"/>
        <v>0</v>
      </c>
      <c r="AJ16" s="1055">
        <f t="shared" si="26"/>
        <v>77000</v>
      </c>
      <c r="AK16" s="1054">
        <f t="shared" si="27"/>
        <v>77000</v>
      </c>
      <c r="AL16" s="1032">
        <f t="shared" si="27"/>
        <v>0</v>
      </c>
      <c r="AM16" s="1032">
        <f t="shared" si="20"/>
        <v>0</v>
      </c>
      <c r="AN16" s="1032">
        <f t="shared" si="20"/>
        <v>0</v>
      </c>
      <c r="AO16" s="1055">
        <f t="shared" si="31"/>
        <v>77000</v>
      </c>
      <c r="AP16" s="1056"/>
      <c r="AQ16" s="1043">
        <v>0</v>
      </c>
      <c r="AR16" s="1044">
        <v>0</v>
      </c>
      <c r="AS16" s="1044">
        <v>0</v>
      </c>
      <c r="AT16" s="1044">
        <v>0</v>
      </c>
      <c r="AU16" s="1032">
        <v>0</v>
      </c>
      <c r="AV16" s="1055">
        <v>0</v>
      </c>
      <c r="AW16" s="1034">
        <f t="shared" si="10"/>
        <v>77000</v>
      </c>
      <c r="AX16" s="1040">
        <v>0</v>
      </c>
      <c r="AY16" s="1040">
        <v>0</v>
      </c>
      <c r="AZ16" s="1040">
        <v>0</v>
      </c>
      <c r="BA16" s="1045">
        <f t="shared" si="21"/>
        <v>0</v>
      </c>
      <c r="BB16" s="1032">
        <v>0</v>
      </c>
      <c r="BC16" s="1032">
        <v>0</v>
      </c>
      <c r="BD16" s="1032">
        <v>0</v>
      </c>
      <c r="BE16" s="1045">
        <f t="shared" si="22"/>
        <v>0</v>
      </c>
      <c r="BF16" s="1046">
        <v>0</v>
      </c>
      <c r="BG16" s="1040">
        <v>0</v>
      </c>
      <c r="BH16" s="1045">
        <v>0</v>
      </c>
      <c r="BI16" s="1046">
        <v>0</v>
      </c>
      <c r="BJ16" s="1040">
        <v>0</v>
      </c>
      <c r="BK16" s="1041">
        <f t="shared" si="29"/>
        <v>0</v>
      </c>
      <c r="BL16" s="1046">
        <v>0</v>
      </c>
      <c r="BM16" s="1040">
        <v>0</v>
      </c>
      <c r="BN16" s="1041">
        <f t="shared" si="30"/>
        <v>0</v>
      </c>
      <c r="BO16" s="1046">
        <v>0</v>
      </c>
      <c r="BP16" s="1039">
        <v>0</v>
      </c>
      <c r="BQ16" s="1047">
        <f t="shared" si="15"/>
        <v>0</v>
      </c>
      <c r="BR16" s="1039"/>
      <c r="BS16" s="1048">
        <f t="shared" si="16"/>
        <v>84000</v>
      </c>
      <c r="BT16" s="994" t="s">
        <v>419</v>
      </c>
    </row>
    <row r="17" spans="1:72" s="1049" customFormat="1" ht="18" customHeight="1" x14ac:dyDescent="0.2">
      <c r="A17" s="1029" t="s">
        <v>129</v>
      </c>
      <c r="B17" s="1030" t="s">
        <v>130</v>
      </c>
      <c r="C17" s="1054">
        <f>'AG1'!G20</f>
        <v>7000</v>
      </c>
      <c r="D17" s="1032">
        <f>'PLLA MUNICIPAL LEY SAL'!K37</f>
        <v>0</v>
      </c>
      <c r="E17" s="1032">
        <f>'PLLA MUNICIPAL LEY SAL'!K47</f>
        <v>0</v>
      </c>
      <c r="F17" s="1032">
        <f>'PLLA MUNICIPAL LEY SAL'!K70</f>
        <v>0</v>
      </c>
      <c r="G17" s="1055">
        <f t="shared" si="17"/>
        <v>7000</v>
      </c>
      <c r="H17" s="1053">
        <f>'PLLA MUNICIPAL LEY SAL'!AK24+'PLLA MUNICIPAL LEY SAL'!AL24</f>
        <v>0</v>
      </c>
      <c r="I17" s="1036">
        <f>'PLLA MUNICIPAL LEY SAL'!AK36+'PLLA MUNICIPAL LEY SAL'!AL36</f>
        <v>0</v>
      </c>
      <c r="J17" s="1036">
        <f>'PLLA MUNICIPAL LEY SAL'!AK46+'PLLA MUNICIPAL LEY SAL'!AL46</f>
        <v>0</v>
      </c>
      <c r="K17" s="1032">
        <f>'PLLA MUNICIPAL LEY SAL'!AK73+'PLLA MUNICIPAL LEY SAL'!AL73</f>
        <v>0</v>
      </c>
      <c r="L17" s="1038">
        <f>SUM(H17:K17)</f>
        <v>0</v>
      </c>
      <c r="M17" s="1039">
        <v>0</v>
      </c>
      <c r="N17" s="1040">
        <v>0</v>
      </c>
      <c r="O17" s="1040">
        <v>0</v>
      </c>
      <c r="P17" s="1040">
        <v>0</v>
      </c>
      <c r="Q17" s="1040">
        <v>0</v>
      </c>
      <c r="R17" s="1041">
        <f t="shared" si="3"/>
        <v>0</v>
      </c>
      <c r="S17" s="1054">
        <v>0</v>
      </c>
      <c r="T17" s="1032">
        <v>0</v>
      </c>
      <c r="U17" s="1032">
        <v>0</v>
      </c>
      <c r="V17" s="1032">
        <v>0</v>
      </c>
      <c r="W17" s="1055">
        <v>0</v>
      </c>
      <c r="X17" s="1032">
        <v>0</v>
      </c>
      <c r="Y17" s="1032">
        <v>0</v>
      </c>
      <c r="Z17" s="1034">
        <f t="shared" si="24"/>
        <v>0</v>
      </c>
      <c r="AA17" s="1055">
        <f t="shared" si="18"/>
        <v>0</v>
      </c>
      <c r="AB17" s="1054">
        <v>0</v>
      </c>
      <c r="AC17" s="1032">
        <v>0</v>
      </c>
      <c r="AD17" s="1032">
        <v>0</v>
      </c>
      <c r="AE17" s="1032">
        <f>'PLLA MUNICIPAL LEY SAL'!AV71</f>
        <v>1654.9359999999999</v>
      </c>
      <c r="AF17" s="1055">
        <f t="shared" si="19"/>
        <v>1654.9359999999999</v>
      </c>
      <c r="AG17" s="1032">
        <v>0</v>
      </c>
      <c r="AH17" s="1032">
        <v>0</v>
      </c>
      <c r="AI17" s="1034">
        <f t="shared" si="25"/>
        <v>0</v>
      </c>
      <c r="AJ17" s="1055">
        <f t="shared" si="26"/>
        <v>1654.9359999999999</v>
      </c>
      <c r="AK17" s="1054">
        <f t="shared" si="27"/>
        <v>0</v>
      </c>
      <c r="AL17" s="1032">
        <f t="shared" si="27"/>
        <v>0</v>
      </c>
      <c r="AM17" s="1032">
        <f t="shared" si="20"/>
        <v>0</v>
      </c>
      <c r="AN17" s="1032">
        <f t="shared" si="20"/>
        <v>1654.9359999999999</v>
      </c>
      <c r="AO17" s="1055">
        <f t="shared" si="31"/>
        <v>1654.9359999999999</v>
      </c>
      <c r="AP17" s="1056"/>
      <c r="AQ17" s="1043">
        <v>0</v>
      </c>
      <c r="AR17" s="1044">
        <v>0</v>
      </c>
      <c r="AS17" s="1044">
        <v>0</v>
      </c>
      <c r="AT17" s="1044">
        <v>0</v>
      </c>
      <c r="AU17" s="1032">
        <v>0</v>
      </c>
      <c r="AV17" s="1055">
        <v>0</v>
      </c>
      <c r="AW17" s="1034">
        <f t="shared" si="10"/>
        <v>1654.9359999999999</v>
      </c>
      <c r="AX17" s="1040">
        <v>0</v>
      </c>
      <c r="AY17" s="1040">
        <v>0</v>
      </c>
      <c r="AZ17" s="1040">
        <v>0</v>
      </c>
      <c r="BA17" s="1045">
        <f t="shared" si="21"/>
        <v>0</v>
      </c>
      <c r="BB17" s="1032">
        <v>0</v>
      </c>
      <c r="BC17" s="1032">
        <v>0</v>
      </c>
      <c r="BD17" s="1032">
        <v>0</v>
      </c>
      <c r="BE17" s="1045">
        <f t="shared" si="22"/>
        <v>0</v>
      </c>
      <c r="BF17" s="1046">
        <v>0</v>
      </c>
      <c r="BG17" s="1040">
        <v>0</v>
      </c>
      <c r="BH17" s="1045">
        <v>0</v>
      </c>
      <c r="BI17" s="1046">
        <v>0</v>
      </c>
      <c r="BJ17" s="1040">
        <v>0</v>
      </c>
      <c r="BK17" s="1041">
        <f t="shared" si="29"/>
        <v>0</v>
      </c>
      <c r="BL17" s="1046">
        <v>0</v>
      </c>
      <c r="BM17" s="1040">
        <v>0</v>
      </c>
      <c r="BN17" s="1041">
        <f t="shared" si="30"/>
        <v>0</v>
      </c>
      <c r="BO17" s="1046">
        <v>0</v>
      </c>
      <c r="BP17" s="1039">
        <v>0</v>
      </c>
      <c r="BQ17" s="1047">
        <f t="shared" si="15"/>
        <v>0</v>
      </c>
      <c r="BR17" s="1039"/>
      <c r="BS17" s="1048">
        <f t="shared" si="16"/>
        <v>8654.9359999999997</v>
      </c>
      <c r="BT17" s="994" t="s">
        <v>419</v>
      </c>
    </row>
    <row r="18" spans="1:72" ht="18" customHeight="1" x14ac:dyDescent="0.2">
      <c r="A18" s="1057" t="s">
        <v>131</v>
      </c>
      <c r="B18" s="1058" t="s">
        <v>132</v>
      </c>
      <c r="C18" s="1016">
        <f t="shared" ref="C18:K18" si="32">SUM(C19:C22)</f>
        <v>0</v>
      </c>
      <c r="D18" s="1000">
        <f t="shared" si="32"/>
        <v>0</v>
      </c>
      <c r="E18" s="1000">
        <f t="shared" si="32"/>
        <v>0</v>
      </c>
      <c r="F18" s="1000">
        <f t="shared" si="32"/>
        <v>0</v>
      </c>
      <c r="G18" s="1059">
        <f t="shared" si="32"/>
        <v>0</v>
      </c>
      <c r="H18" s="1060">
        <f t="shared" si="32"/>
        <v>0</v>
      </c>
      <c r="I18" s="1019">
        <f t="shared" si="32"/>
        <v>0</v>
      </c>
      <c r="J18" s="1019">
        <f t="shared" si="32"/>
        <v>0</v>
      </c>
      <c r="K18" s="1019">
        <f t="shared" si="32"/>
        <v>0</v>
      </c>
      <c r="L18" s="1021">
        <f t="shared" si="23"/>
        <v>0</v>
      </c>
      <c r="M18" s="1028">
        <f>M19</f>
        <v>0</v>
      </c>
      <c r="N18" s="1028">
        <f>N19</f>
        <v>0</v>
      </c>
      <c r="O18" s="1028">
        <f>SUM(O20)</f>
        <v>0</v>
      </c>
      <c r="P18" s="1028">
        <v>0</v>
      </c>
      <c r="Q18" s="1028">
        <v>0</v>
      </c>
      <c r="R18" s="1023">
        <f t="shared" si="3"/>
        <v>0</v>
      </c>
      <c r="S18" s="1016">
        <f t="shared" ref="S18:W18" si="33">SUM(S19:S22)</f>
        <v>0</v>
      </c>
      <c r="T18" s="1000">
        <f t="shared" si="33"/>
        <v>0</v>
      </c>
      <c r="U18" s="1000">
        <f t="shared" si="33"/>
        <v>0</v>
      </c>
      <c r="V18" s="1000">
        <f t="shared" si="33"/>
        <v>0</v>
      </c>
      <c r="W18" s="1059">
        <f t="shared" si="33"/>
        <v>0</v>
      </c>
      <c r="X18" s="1000">
        <f t="shared" ref="X18:Y18" si="34">SUM(X19:X22)</f>
        <v>0</v>
      </c>
      <c r="Y18" s="1000">
        <f t="shared" si="34"/>
        <v>0</v>
      </c>
      <c r="Z18" s="1059">
        <f>SUM(Z19:Z22)</f>
        <v>0</v>
      </c>
      <c r="AA18" s="1059">
        <f t="shared" si="18"/>
        <v>0</v>
      </c>
      <c r="AB18" s="1016">
        <f t="shared" ref="AB18:AH18" si="35">SUM(AB19:AB22)</f>
        <v>0</v>
      </c>
      <c r="AC18" s="1000">
        <f t="shared" si="35"/>
        <v>0</v>
      </c>
      <c r="AD18" s="1000">
        <f t="shared" si="35"/>
        <v>0</v>
      </c>
      <c r="AE18" s="1000">
        <f t="shared" si="35"/>
        <v>0</v>
      </c>
      <c r="AF18" s="1059">
        <f t="shared" si="35"/>
        <v>0</v>
      </c>
      <c r="AG18" s="1000">
        <f t="shared" si="35"/>
        <v>0</v>
      </c>
      <c r="AH18" s="1000">
        <f t="shared" si="35"/>
        <v>0</v>
      </c>
      <c r="AI18" s="1059">
        <f>SUM(AI19:AI22)</f>
        <v>0</v>
      </c>
      <c r="AJ18" s="1059">
        <f t="shared" si="26"/>
        <v>0</v>
      </c>
      <c r="AK18" s="1016">
        <f t="shared" ref="AK18:AU18" si="36">SUM(AK19:AK22)</f>
        <v>0</v>
      </c>
      <c r="AL18" s="1000">
        <f t="shared" si="36"/>
        <v>0</v>
      </c>
      <c r="AM18" s="1000">
        <f t="shared" si="36"/>
        <v>0</v>
      </c>
      <c r="AN18" s="1000">
        <f t="shared" si="36"/>
        <v>0</v>
      </c>
      <c r="AO18" s="1059">
        <f t="shared" si="36"/>
        <v>0</v>
      </c>
      <c r="AP18" s="1061"/>
      <c r="AQ18" s="999">
        <f t="shared" si="36"/>
        <v>0</v>
      </c>
      <c r="AR18" s="1010">
        <f t="shared" ref="AR18:AT18" si="37">SUM(AR19:AR22)</f>
        <v>0</v>
      </c>
      <c r="AS18" s="1010">
        <f t="shared" si="37"/>
        <v>0</v>
      </c>
      <c r="AT18" s="1010">
        <f t="shared" si="37"/>
        <v>0</v>
      </c>
      <c r="AU18" s="1000">
        <f t="shared" si="36"/>
        <v>13965</v>
      </c>
      <c r="AV18" s="1059">
        <f>SUM(AV19:AV22)</f>
        <v>13965</v>
      </c>
      <c r="AW18" s="1059">
        <f t="shared" si="10"/>
        <v>13965</v>
      </c>
      <c r="AX18" s="1028">
        <f>AX20</f>
        <v>0</v>
      </c>
      <c r="AY18" s="1028">
        <f>AY20</f>
        <v>0</v>
      </c>
      <c r="AZ18" s="1028">
        <f>AZ20</f>
        <v>0</v>
      </c>
      <c r="BA18" s="1028">
        <f>BA20</f>
        <v>0</v>
      </c>
      <c r="BB18" s="1000">
        <f t="shared" ref="BB18:BD18" si="38">SUM(BB19:BB22)</f>
        <v>0</v>
      </c>
      <c r="BC18" s="1000">
        <f t="shared" si="38"/>
        <v>0</v>
      </c>
      <c r="BD18" s="1000">
        <f t="shared" si="38"/>
        <v>0</v>
      </c>
      <c r="BE18" s="1027">
        <f>SUM(BB18:BD18)</f>
        <v>0</v>
      </c>
      <c r="BF18" s="1026">
        <v>0</v>
      </c>
      <c r="BG18" s="1022">
        <v>0</v>
      </c>
      <c r="BH18" s="1027">
        <v>0</v>
      </c>
      <c r="BI18" s="1026">
        <f>SUM(BI19:BI22)</f>
        <v>0</v>
      </c>
      <c r="BJ18" s="1022">
        <f t="shared" ref="BJ18:BK18" si="39">SUM(BJ19:BJ22)</f>
        <v>0</v>
      </c>
      <c r="BK18" s="1023">
        <f t="shared" si="39"/>
        <v>0</v>
      </c>
      <c r="BL18" s="1026">
        <f>SUM(BL19:BL22)</f>
        <v>0</v>
      </c>
      <c r="BM18" s="1022">
        <f t="shared" ref="BM18" si="40">SUM(BM19:BM22)</f>
        <v>0</v>
      </c>
      <c r="BN18" s="1023">
        <f t="shared" ref="BN18" si="41">SUM(BN19:BN22)</f>
        <v>0</v>
      </c>
      <c r="BO18" s="1026">
        <v>0</v>
      </c>
      <c r="BP18" s="1028">
        <v>0</v>
      </c>
      <c r="BQ18" s="1008">
        <f t="shared" si="15"/>
        <v>0</v>
      </c>
      <c r="BR18" s="1062"/>
      <c r="BS18" s="1013">
        <f t="shared" si="16"/>
        <v>13965</v>
      </c>
      <c r="BT18" s="284" t="s">
        <v>419</v>
      </c>
    </row>
    <row r="19" spans="1:72" ht="18" customHeight="1" x14ac:dyDescent="0.2">
      <c r="A19" s="1063" t="s">
        <v>133</v>
      </c>
      <c r="B19" s="1064" t="s">
        <v>123</v>
      </c>
      <c r="C19" s="1065">
        <v>0</v>
      </c>
      <c r="D19" s="1066">
        <v>0</v>
      </c>
      <c r="E19" s="1066">
        <v>0</v>
      </c>
      <c r="F19" s="1066">
        <v>0</v>
      </c>
      <c r="G19" s="1067">
        <f>SUM(C19:F19)</f>
        <v>0</v>
      </c>
      <c r="H19" s="1068">
        <v>0</v>
      </c>
      <c r="I19" s="1069">
        <v>0</v>
      </c>
      <c r="J19" s="1069">
        <v>0</v>
      </c>
      <c r="K19" s="1069">
        <v>0</v>
      </c>
      <c r="L19" s="1070">
        <f t="shared" si="23"/>
        <v>0</v>
      </c>
      <c r="M19" s="1062">
        <v>0</v>
      </c>
      <c r="N19" s="1071">
        <v>0</v>
      </c>
      <c r="P19" s="1071">
        <v>0</v>
      </c>
      <c r="Q19" s="1071">
        <v>0</v>
      </c>
      <c r="R19" s="1072">
        <f t="shared" si="3"/>
        <v>0</v>
      </c>
      <c r="S19" s="1065">
        <v>0</v>
      </c>
      <c r="T19" s="1066">
        <v>0</v>
      </c>
      <c r="U19" s="1066">
        <v>0</v>
      </c>
      <c r="V19" s="1066">
        <v>0</v>
      </c>
      <c r="W19" s="1067">
        <f>SUM(S19:V19)</f>
        <v>0</v>
      </c>
      <c r="X19" s="1066">
        <v>0</v>
      </c>
      <c r="Y19" s="1066">
        <v>0</v>
      </c>
      <c r="Z19" s="1034">
        <f t="shared" si="24"/>
        <v>0</v>
      </c>
      <c r="AA19" s="1067">
        <f t="shared" si="18"/>
        <v>0</v>
      </c>
      <c r="AB19" s="1065">
        <v>0</v>
      </c>
      <c r="AC19" s="1066">
        <v>0</v>
      </c>
      <c r="AD19" s="1066">
        <v>0</v>
      </c>
      <c r="AE19" s="1066">
        <v>0</v>
      </c>
      <c r="AF19" s="1067">
        <f>SUM(AB19:AE19)</f>
        <v>0</v>
      </c>
      <c r="AG19" s="1066">
        <v>0</v>
      </c>
      <c r="AH19" s="1066">
        <v>0</v>
      </c>
      <c r="AI19" s="1034">
        <f t="shared" ref="AI19:AI21" si="42">SUM(AG19:AH19)</f>
        <v>0</v>
      </c>
      <c r="AJ19" s="1067">
        <f t="shared" si="26"/>
        <v>0</v>
      </c>
      <c r="AK19" s="1065">
        <f>S19+AB19</f>
        <v>0</v>
      </c>
      <c r="AL19" s="1066">
        <f t="shared" ref="AL19:AL22" si="43">T19+AC19</f>
        <v>0</v>
      </c>
      <c r="AM19" s="1066">
        <f t="shared" ref="AM19:AM22" si="44">U19+AD19</f>
        <v>0</v>
      </c>
      <c r="AN19" s="1066">
        <f t="shared" ref="AN19:AN22" si="45">V19+AE19</f>
        <v>0</v>
      </c>
      <c r="AO19" s="1067">
        <f>SUM(AK19:AN19)</f>
        <v>0</v>
      </c>
      <c r="AP19" s="1073"/>
      <c r="AQ19" s="1074">
        <v>0</v>
      </c>
      <c r="AR19" s="1075">
        <v>0</v>
      </c>
      <c r="AS19" s="1075">
        <v>0</v>
      </c>
      <c r="AT19" s="1075">
        <v>0</v>
      </c>
      <c r="AU19" s="1066">
        <f>'AG3'!L29+'AG3'!L38</f>
        <v>13965</v>
      </c>
      <c r="AV19" s="1067">
        <f>SUM(AQ19:AU19)</f>
        <v>13965</v>
      </c>
      <c r="AW19" s="1034">
        <f>R19+AO19+AV19</f>
        <v>13965</v>
      </c>
      <c r="AX19" s="1071">
        <v>0</v>
      </c>
      <c r="AY19" s="1071">
        <v>0</v>
      </c>
      <c r="AZ19" s="1071">
        <v>0</v>
      </c>
      <c r="BA19" s="1076">
        <f t="shared" ref="BA19:BA22" si="46">SUM(AX19:AZ19)</f>
        <v>0</v>
      </c>
      <c r="BB19" s="1066">
        <v>0</v>
      </c>
      <c r="BC19" s="1066">
        <v>0</v>
      </c>
      <c r="BD19" s="1066">
        <v>0</v>
      </c>
      <c r="BE19" s="1076">
        <f t="shared" si="22"/>
        <v>0</v>
      </c>
      <c r="BF19" s="1077">
        <v>0</v>
      </c>
      <c r="BG19" s="1071">
        <v>0</v>
      </c>
      <c r="BH19" s="1076">
        <v>0</v>
      </c>
      <c r="BI19" s="1077">
        <v>0</v>
      </c>
      <c r="BJ19" s="1071">
        <v>0</v>
      </c>
      <c r="BK19" s="1041">
        <f t="shared" si="29"/>
        <v>0</v>
      </c>
      <c r="BL19" s="1077">
        <v>0</v>
      </c>
      <c r="BM19" s="1071">
        <v>0</v>
      </c>
      <c r="BN19" s="1041">
        <f t="shared" ref="BN19:BN22" si="47">SUM(BL19:BM19)</f>
        <v>0</v>
      </c>
      <c r="BO19" s="1077">
        <v>0</v>
      </c>
      <c r="BP19" s="1062">
        <v>0</v>
      </c>
      <c r="BQ19" s="1078">
        <f t="shared" si="15"/>
        <v>0</v>
      </c>
      <c r="BR19" s="1062"/>
      <c r="BS19" s="1079">
        <f t="shared" si="16"/>
        <v>13965</v>
      </c>
      <c r="BT19" s="284" t="s">
        <v>419</v>
      </c>
    </row>
    <row r="20" spans="1:72" ht="18" hidden="1" customHeight="1" x14ac:dyDescent="0.2">
      <c r="A20" s="1050">
        <v>51202</v>
      </c>
      <c r="B20" s="1051" t="s">
        <v>124</v>
      </c>
      <c r="C20" s="1065">
        <v>0</v>
      </c>
      <c r="D20" s="1066">
        <v>0</v>
      </c>
      <c r="E20" s="1066">
        <v>0</v>
      </c>
      <c r="F20" s="1066">
        <v>0</v>
      </c>
      <c r="G20" s="1067">
        <f t="shared" ref="G20:G22" si="48">SUM(C20:F20)</f>
        <v>0</v>
      </c>
      <c r="H20" s="1068">
        <v>0</v>
      </c>
      <c r="I20" s="1069">
        <v>0</v>
      </c>
      <c r="J20" s="1069">
        <v>0</v>
      </c>
      <c r="K20" s="1069">
        <v>0</v>
      </c>
      <c r="L20" s="1070">
        <f t="shared" si="23"/>
        <v>0</v>
      </c>
      <c r="M20" s="1062">
        <v>0</v>
      </c>
      <c r="N20" s="1071">
        <v>0</v>
      </c>
      <c r="O20" s="1071">
        <v>0</v>
      </c>
      <c r="P20" s="1071">
        <v>0</v>
      </c>
      <c r="Q20" s="1071">
        <v>0</v>
      </c>
      <c r="R20" s="1072">
        <f t="shared" si="3"/>
        <v>0</v>
      </c>
      <c r="S20" s="1065">
        <v>0</v>
      </c>
      <c r="T20" s="1066">
        <v>0</v>
      </c>
      <c r="U20" s="1066">
        <v>0</v>
      </c>
      <c r="V20" s="1066">
        <v>0</v>
      </c>
      <c r="W20" s="1067">
        <f t="shared" ref="W20:W22" si="49">SUM(S20:V20)</f>
        <v>0</v>
      </c>
      <c r="X20" s="1066">
        <v>0</v>
      </c>
      <c r="Y20" s="1066">
        <v>0</v>
      </c>
      <c r="Z20" s="1034">
        <f t="shared" si="24"/>
        <v>0</v>
      </c>
      <c r="AA20" s="1067">
        <f t="shared" si="18"/>
        <v>0</v>
      </c>
      <c r="AB20" s="1065">
        <v>0</v>
      </c>
      <c r="AC20" s="1066">
        <v>0</v>
      </c>
      <c r="AD20" s="1066">
        <v>0</v>
      </c>
      <c r="AE20" s="1066">
        <v>0</v>
      </c>
      <c r="AF20" s="1067">
        <f t="shared" ref="AF20:AF22" si="50">SUM(AB20:AE20)</f>
        <v>0</v>
      </c>
      <c r="AG20" s="1066">
        <v>0</v>
      </c>
      <c r="AH20" s="1066">
        <v>0</v>
      </c>
      <c r="AI20" s="1034">
        <f t="shared" si="42"/>
        <v>0</v>
      </c>
      <c r="AJ20" s="1067">
        <f t="shared" si="26"/>
        <v>0</v>
      </c>
      <c r="AK20" s="1065">
        <f t="shared" ref="AK20:AK22" si="51">S20+AB20</f>
        <v>0</v>
      </c>
      <c r="AL20" s="1066">
        <f t="shared" si="43"/>
        <v>0</v>
      </c>
      <c r="AM20" s="1066">
        <f t="shared" si="44"/>
        <v>0</v>
      </c>
      <c r="AN20" s="1066">
        <f t="shared" si="45"/>
        <v>0</v>
      </c>
      <c r="AO20" s="1067">
        <f t="shared" ref="AO20:AO22" si="52">SUM(AK20:AN20)</f>
        <v>0</v>
      </c>
      <c r="AP20" s="1073"/>
      <c r="AQ20" s="1074">
        <v>0</v>
      </c>
      <c r="AR20" s="1075">
        <v>0</v>
      </c>
      <c r="AS20" s="1075">
        <v>0</v>
      </c>
      <c r="AT20" s="1075">
        <v>0</v>
      </c>
      <c r="AU20" s="1066">
        <v>0</v>
      </c>
      <c r="AV20" s="1067">
        <v>0</v>
      </c>
      <c r="AW20" s="1034">
        <f t="shared" si="10"/>
        <v>0</v>
      </c>
      <c r="AX20" s="1071">
        <v>0</v>
      </c>
      <c r="AY20" s="1071">
        <v>0</v>
      </c>
      <c r="AZ20" s="1071">
        <v>0</v>
      </c>
      <c r="BA20" s="1076">
        <f t="shared" si="46"/>
        <v>0</v>
      </c>
      <c r="BB20" s="1066">
        <v>0</v>
      </c>
      <c r="BC20" s="1066">
        <v>0</v>
      </c>
      <c r="BD20" s="1066">
        <v>0</v>
      </c>
      <c r="BE20" s="1076">
        <f t="shared" si="22"/>
        <v>0</v>
      </c>
      <c r="BF20" s="1077">
        <v>0</v>
      </c>
      <c r="BG20" s="1071">
        <v>0</v>
      </c>
      <c r="BH20" s="1076">
        <v>0</v>
      </c>
      <c r="BI20" s="1077">
        <v>0</v>
      </c>
      <c r="BJ20" s="1071">
        <v>0</v>
      </c>
      <c r="BK20" s="1041">
        <f t="shared" si="29"/>
        <v>0</v>
      </c>
      <c r="BL20" s="1077">
        <v>0</v>
      </c>
      <c r="BM20" s="1071">
        <v>0</v>
      </c>
      <c r="BN20" s="1041">
        <f t="shared" si="47"/>
        <v>0</v>
      </c>
      <c r="BO20" s="1077">
        <v>0</v>
      </c>
      <c r="BP20" s="1062">
        <v>0</v>
      </c>
      <c r="BQ20" s="1078">
        <f t="shared" si="15"/>
        <v>0</v>
      </c>
      <c r="BR20" s="1062"/>
      <c r="BS20" s="1079">
        <f t="shared" si="16"/>
        <v>0</v>
      </c>
      <c r="BT20" s="284" t="s">
        <v>419</v>
      </c>
    </row>
    <row r="21" spans="1:72" ht="18" hidden="1" customHeight="1" x14ac:dyDescent="0.2">
      <c r="A21" s="1063" t="s">
        <v>135</v>
      </c>
      <c r="B21" s="1064" t="s">
        <v>125</v>
      </c>
      <c r="C21" s="1065">
        <v>0</v>
      </c>
      <c r="D21" s="1066">
        <v>0</v>
      </c>
      <c r="E21" s="1066">
        <v>0</v>
      </c>
      <c r="F21" s="1066">
        <v>0</v>
      </c>
      <c r="G21" s="1067">
        <f t="shared" si="48"/>
        <v>0</v>
      </c>
      <c r="H21" s="1068">
        <v>0</v>
      </c>
      <c r="I21" s="1069">
        <v>0</v>
      </c>
      <c r="J21" s="1069">
        <v>0</v>
      </c>
      <c r="K21" s="1069">
        <v>0</v>
      </c>
      <c r="L21" s="1070">
        <f t="shared" si="23"/>
        <v>0</v>
      </c>
      <c r="M21" s="1062">
        <v>0</v>
      </c>
      <c r="N21" s="1071">
        <v>0</v>
      </c>
      <c r="O21" s="1071">
        <v>0</v>
      </c>
      <c r="P21" s="1071">
        <v>0</v>
      </c>
      <c r="Q21" s="1071">
        <v>0</v>
      </c>
      <c r="R21" s="1072">
        <f t="shared" si="3"/>
        <v>0</v>
      </c>
      <c r="S21" s="1065">
        <v>0</v>
      </c>
      <c r="T21" s="1066">
        <v>0</v>
      </c>
      <c r="U21" s="1066">
        <v>0</v>
      </c>
      <c r="V21" s="1066">
        <v>0</v>
      </c>
      <c r="W21" s="1067">
        <f t="shared" si="49"/>
        <v>0</v>
      </c>
      <c r="X21" s="1066">
        <v>0</v>
      </c>
      <c r="Y21" s="1066">
        <v>0</v>
      </c>
      <c r="Z21" s="1034">
        <f t="shared" si="24"/>
        <v>0</v>
      </c>
      <c r="AA21" s="1067">
        <f t="shared" si="18"/>
        <v>0</v>
      </c>
      <c r="AB21" s="1065">
        <v>0</v>
      </c>
      <c r="AC21" s="1066">
        <v>0</v>
      </c>
      <c r="AD21" s="1066">
        <v>0</v>
      </c>
      <c r="AE21" s="1066">
        <v>0</v>
      </c>
      <c r="AF21" s="1067">
        <f t="shared" si="50"/>
        <v>0</v>
      </c>
      <c r="AG21" s="1066">
        <v>0</v>
      </c>
      <c r="AH21" s="1066">
        <v>0</v>
      </c>
      <c r="AI21" s="1034">
        <f t="shared" si="42"/>
        <v>0</v>
      </c>
      <c r="AJ21" s="1067">
        <f t="shared" si="26"/>
        <v>0</v>
      </c>
      <c r="AK21" s="1065">
        <f t="shared" si="51"/>
        <v>0</v>
      </c>
      <c r="AL21" s="1066">
        <f t="shared" si="43"/>
        <v>0</v>
      </c>
      <c r="AM21" s="1066">
        <f t="shared" si="44"/>
        <v>0</v>
      </c>
      <c r="AN21" s="1066">
        <f t="shared" si="45"/>
        <v>0</v>
      </c>
      <c r="AO21" s="1067">
        <f t="shared" si="52"/>
        <v>0</v>
      </c>
      <c r="AP21" s="1073"/>
      <c r="AQ21" s="1074">
        <v>0</v>
      </c>
      <c r="AR21" s="1075">
        <v>0</v>
      </c>
      <c r="AS21" s="1075">
        <v>0</v>
      </c>
      <c r="AT21" s="1075">
        <v>0</v>
      </c>
      <c r="AU21" s="1066">
        <v>0</v>
      </c>
      <c r="AV21" s="1067">
        <v>0</v>
      </c>
      <c r="AW21" s="1034">
        <f t="shared" si="10"/>
        <v>0</v>
      </c>
      <c r="AX21" s="1071">
        <v>0</v>
      </c>
      <c r="AY21" s="1071">
        <v>0</v>
      </c>
      <c r="AZ21" s="1071">
        <v>0</v>
      </c>
      <c r="BA21" s="1076">
        <f t="shared" si="46"/>
        <v>0</v>
      </c>
      <c r="BB21" s="1066">
        <v>0</v>
      </c>
      <c r="BC21" s="1066">
        <v>0</v>
      </c>
      <c r="BD21" s="1066">
        <v>0</v>
      </c>
      <c r="BE21" s="1076">
        <f t="shared" si="22"/>
        <v>0</v>
      </c>
      <c r="BF21" s="1077">
        <v>0</v>
      </c>
      <c r="BG21" s="1071">
        <v>0</v>
      </c>
      <c r="BH21" s="1076">
        <v>0</v>
      </c>
      <c r="BI21" s="1077">
        <v>0</v>
      </c>
      <c r="BJ21" s="1071">
        <v>0</v>
      </c>
      <c r="BK21" s="1041">
        <f t="shared" si="29"/>
        <v>0</v>
      </c>
      <c r="BL21" s="1077">
        <v>0</v>
      </c>
      <c r="BM21" s="1071">
        <v>0</v>
      </c>
      <c r="BN21" s="1041">
        <f t="shared" si="47"/>
        <v>0</v>
      </c>
      <c r="BO21" s="1077">
        <v>0</v>
      </c>
      <c r="BP21" s="1062">
        <v>0</v>
      </c>
      <c r="BQ21" s="1078">
        <f t="shared" si="15"/>
        <v>0</v>
      </c>
      <c r="BR21" s="1062"/>
      <c r="BS21" s="1079">
        <f t="shared" si="16"/>
        <v>0</v>
      </c>
      <c r="BT21" s="284" t="s">
        <v>419</v>
      </c>
    </row>
    <row r="22" spans="1:72" ht="18" hidden="1" customHeight="1" x14ac:dyDescent="0.2">
      <c r="A22" s="1063" t="s">
        <v>136</v>
      </c>
      <c r="B22" s="1064" t="s">
        <v>130</v>
      </c>
      <c r="C22" s="1065">
        <v>0</v>
      </c>
      <c r="D22" s="1066">
        <v>0</v>
      </c>
      <c r="E22" s="1066">
        <v>0</v>
      </c>
      <c r="F22" s="1066">
        <v>0</v>
      </c>
      <c r="G22" s="1067">
        <f t="shared" si="48"/>
        <v>0</v>
      </c>
      <c r="H22" s="1068">
        <v>0</v>
      </c>
      <c r="I22" s="1069">
        <v>0</v>
      </c>
      <c r="J22" s="1069">
        <v>0</v>
      </c>
      <c r="K22" s="1069">
        <v>0</v>
      </c>
      <c r="L22" s="1070">
        <f t="shared" si="23"/>
        <v>0</v>
      </c>
      <c r="M22" s="1062">
        <v>0</v>
      </c>
      <c r="N22" s="1071">
        <v>0</v>
      </c>
      <c r="O22" s="1071">
        <v>0</v>
      </c>
      <c r="P22" s="1071">
        <v>0</v>
      </c>
      <c r="Q22" s="1071">
        <v>0</v>
      </c>
      <c r="R22" s="1072">
        <f t="shared" si="3"/>
        <v>0</v>
      </c>
      <c r="S22" s="1065">
        <v>0</v>
      </c>
      <c r="T22" s="1066">
        <v>0</v>
      </c>
      <c r="U22" s="1066">
        <v>0</v>
      </c>
      <c r="V22" s="1066">
        <v>0</v>
      </c>
      <c r="W22" s="1067">
        <f t="shared" si="49"/>
        <v>0</v>
      </c>
      <c r="X22" s="1066">
        <v>0</v>
      </c>
      <c r="Y22" s="1066">
        <v>0</v>
      </c>
      <c r="Z22" s="1034">
        <f>SUM(X22:Y22)</f>
        <v>0</v>
      </c>
      <c r="AA22" s="1067">
        <f t="shared" si="18"/>
        <v>0</v>
      </c>
      <c r="AB22" s="1065">
        <v>0</v>
      </c>
      <c r="AC22" s="1066">
        <v>0</v>
      </c>
      <c r="AD22" s="1066">
        <v>0</v>
      </c>
      <c r="AE22" s="1066">
        <v>0</v>
      </c>
      <c r="AF22" s="1067">
        <f t="shared" si="50"/>
        <v>0</v>
      </c>
      <c r="AG22" s="1066">
        <v>0</v>
      </c>
      <c r="AH22" s="1066">
        <v>0</v>
      </c>
      <c r="AI22" s="1034">
        <f>SUM(AG22:AH22)</f>
        <v>0</v>
      </c>
      <c r="AJ22" s="1067">
        <f t="shared" si="26"/>
        <v>0</v>
      </c>
      <c r="AK22" s="1065">
        <f t="shared" si="51"/>
        <v>0</v>
      </c>
      <c r="AL22" s="1066">
        <f t="shared" si="43"/>
        <v>0</v>
      </c>
      <c r="AM22" s="1066">
        <f t="shared" si="44"/>
        <v>0</v>
      </c>
      <c r="AN22" s="1066">
        <f t="shared" si="45"/>
        <v>0</v>
      </c>
      <c r="AO22" s="1067">
        <f t="shared" si="52"/>
        <v>0</v>
      </c>
      <c r="AP22" s="1073"/>
      <c r="AQ22" s="1074">
        <v>0</v>
      </c>
      <c r="AR22" s="1075">
        <v>0</v>
      </c>
      <c r="AS22" s="1075">
        <v>0</v>
      </c>
      <c r="AT22" s="1075">
        <v>0</v>
      </c>
      <c r="AU22" s="1066">
        <v>0</v>
      </c>
      <c r="AV22" s="1067">
        <v>0</v>
      </c>
      <c r="AW22" s="1034">
        <f t="shared" si="10"/>
        <v>0</v>
      </c>
      <c r="AX22" s="1071">
        <v>0</v>
      </c>
      <c r="AY22" s="1071">
        <v>0</v>
      </c>
      <c r="AZ22" s="1071">
        <v>0</v>
      </c>
      <c r="BA22" s="1076">
        <f t="shared" si="46"/>
        <v>0</v>
      </c>
      <c r="BB22" s="1066">
        <v>0</v>
      </c>
      <c r="BC22" s="1066">
        <v>0</v>
      </c>
      <c r="BD22" s="1066">
        <v>0</v>
      </c>
      <c r="BE22" s="1076">
        <f t="shared" si="22"/>
        <v>0</v>
      </c>
      <c r="BF22" s="1077">
        <v>0</v>
      </c>
      <c r="BG22" s="1071">
        <v>0</v>
      </c>
      <c r="BH22" s="1076">
        <v>0</v>
      </c>
      <c r="BI22" s="1077">
        <v>0</v>
      </c>
      <c r="BJ22" s="1071">
        <v>0</v>
      </c>
      <c r="BK22" s="1041">
        <f t="shared" si="29"/>
        <v>0</v>
      </c>
      <c r="BL22" s="1077">
        <v>0</v>
      </c>
      <c r="BM22" s="1071">
        <v>0</v>
      </c>
      <c r="BN22" s="1041">
        <f t="shared" si="47"/>
        <v>0</v>
      </c>
      <c r="BO22" s="1077">
        <v>0</v>
      </c>
      <c r="BP22" s="1062">
        <v>0</v>
      </c>
      <c r="BQ22" s="1078">
        <f t="shared" si="15"/>
        <v>0</v>
      </c>
      <c r="BR22" s="1062"/>
      <c r="BS22" s="1079">
        <f t="shared" si="16"/>
        <v>0</v>
      </c>
      <c r="BT22" s="284" t="s">
        <v>419</v>
      </c>
    </row>
    <row r="23" spans="1:72" s="140" customFormat="1" ht="18" customHeight="1" x14ac:dyDescent="0.2">
      <c r="A23" s="1057" t="s">
        <v>137</v>
      </c>
      <c r="B23" s="1058" t="s">
        <v>138</v>
      </c>
      <c r="C23" s="1016">
        <f t="shared" ref="C23:K23" si="53">SUM(C24:C25)</f>
        <v>300</v>
      </c>
      <c r="D23" s="1000">
        <f t="shared" si="53"/>
        <v>1300</v>
      </c>
      <c r="E23" s="1000">
        <f t="shared" si="53"/>
        <v>400</v>
      </c>
      <c r="F23" s="1000">
        <f t="shared" si="53"/>
        <v>0</v>
      </c>
      <c r="G23" s="1059">
        <f>SUM(G24:G25)</f>
        <v>2000</v>
      </c>
      <c r="H23" s="1060">
        <f t="shared" si="53"/>
        <v>0</v>
      </c>
      <c r="I23" s="1019">
        <f t="shared" si="53"/>
        <v>0</v>
      </c>
      <c r="J23" s="1019">
        <f t="shared" si="53"/>
        <v>0</v>
      </c>
      <c r="K23" s="1019">
        <f t="shared" si="53"/>
        <v>0</v>
      </c>
      <c r="L23" s="1021">
        <f t="shared" si="23"/>
        <v>0</v>
      </c>
      <c r="M23" s="1028">
        <v>0</v>
      </c>
      <c r="N23" s="1028">
        <v>0</v>
      </c>
      <c r="O23" s="1022">
        <v>0</v>
      </c>
      <c r="P23" s="1022">
        <v>0</v>
      </c>
      <c r="Q23" s="1022">
        <v>0</v>
      </c>
      <c r="R23" s="1023">
        <f t="shared" si="3"/>
        <v>0</v>
      </c>
      <c r="S23" s="1016">
        <f t="shared" ref="S23:V23" si="54">SUM(S24:S25)</f>
        <v>0</v>
      </c>
      <c r="T23" s="1000">
        <f t="shared" si="54"/>
        <v>0</v>
      </c>
      <c r="U23" s="1000">
        <f t="shared" si="54"/>
        <v>0</v>
      </c>
      <c r="V23" s="1000">
        <f t="shared" si="54"/>
        <v>0</v>
      </c>
      <c r="W23" s="1059">
        <f>SUM(W24:W25)</f>
        <v>0</v>
      </c>
      <c r="X23" s="1000">
        <f t="shared" ref="X23:Y23" si="55">SUM(X24:X25)</f>
        <v>0</v>
      </c>
      <c r="Y23" s="1000">
        <f t="shared" si="55"/>
        <v>0</v>
      </c>
      <c r="Z23" s="1059">
        <f>SUM(Z24:Z25)</f>
        <v>0</v>
      </c>
      <c r="AA23" s="1059">
        <f t="shared" si="18"/>
        <v>0</v>
      </c>
      <c r="AB23" s="1016">
        <f t="shared" ref="AB23:AE23" si="56">SUM(AB24:AB25)</f>
        <v>0</v>
      </c>
      <c r="AC23" s="1000">
        <f t="shared" si="56"/>
        <v>0</v>
      </c>
      <c r="AD23" s="1000">
        <f t="shared" si="56"/>
        <v>0</v>
      </c>
      <c r="AE23" s="1000">
        <f t="shared" si="56"/>
        <v>0</v>
      </c>
      <c r="AF23" s="1059">
        <f>SUM(AF24:AF25)</f>
        <v>0</v>
      </c>
      <c r="AG23" s="1000">
        <f t="shared" ref="AG23:AH23" si="57">SUM(AG24:AG25)</f>
        <v>0</v>
      </c>
      <c r="AH23" s="1000">
        <f t="shared" si="57"/>
        <v>0</v>
      </c>
      <c r="AI23" s="1059">
        <f>SUM(AI24:AI25)</f>
        <v>0</v>
      </c>
      <c r="AJ23" s="1059">
        <f t="shared" si="26"/>
        <v>0</v>
      </c>
      <c r="AK23" s="1016">
        <f t="shared" ref="AK23:AN23" si="58">SUM(AK24:AK25)</f>
        <v>0</v>
      </c>
      <c r="AL23" s="1000">
        <f t="shared" si="58"/>
        <v>0</v>
      </c>
      <c r="AM23" s="1000">
        <f t="shared" si="58"/>
        <v>0</v>
      </c>
      <c r="AN23" s="1000">
        <f t="shared" si="58"/>
        <v>0</v>
      </c>
      <c r="AO23" s="1059">
        <f>SUM(AO24:AO25)</f>
        <v>0</v>
      </c>
      <c r="AP23" s="1061"/>
      <c r="AQ23" s="999">
        <f t="shared" ref="AQ23:AU23" si="59">SUM(AQ24:AQ25)</f>
        <v>0</v>
      </c>
      <c r="AR23" s="1010">
        <f t="shared" si="59"/>
        <v>0</v>
      </c>
      <c r="AS23" s="1010">
        <f t="shared" si="59"/>
        <v>0</v>
      </c>
      <c r="AT23" s="1010">
        <f t="shared" si="59"/>
        <v>0</v>
      </c>
      <c r="AU23" s="1000">
        <f t="shared" si="59"/>
        <v>0</v>
      </c>
      <c r="AV23" s="1059">
        <f>SUM(AV24:AV25)</f>
        <v>0</v>
      </c>
      <c r="AW23" s="1059">
        <f t="shared" si="10"/>
        <v>0</v>
      </c>
      <c r="AX23" s="1022">
        <v>0</v>
      </c>
      <c r="AY23" s="1022">
        <v>0</v>
      </c>
      <c r="AZ23" s="1022">
        <v>0</v>
      </c>
      <c r="BA23" s="1027">
        <f>SUM(M23:AZ23)</f>
        <v>0</v>
      </c>
      <c r="BB23" s="1000">
        <f t="shared" ref="BB23:BC23" si="60">SUM(BB24:BB25)</f>
        <v>0</v>
      </c>
      <c r="BC23" s="1000">
        <f t="shared" si="60"/>
        <v>0</v>
      </c>
      <c r="BD23" s="1000">
        <f>SUM(BD24:BD25)</f>
        <v>0</v>
      </c>
      <c r="BE23" s="1027">
        <f>SUM(BB23:BD23)</f>
        <v>0</v>
      </c>
      <c r="BF23" s="1026">
        <v>0</v>
      </c>
      <c r="BG23" s="1022">
        <v>0</v>
      </c>
      <c r="BH23" s="1027">
        <v>0</v>
      </c>
      <c r="BI23" s="1026">
        <f>SUM(BI24:BI25)</f>
        <v>0</v>
      </c>
      <c r="BJ23" s="1022">
        <f t="shared" ref="BJ23:BK23" si="61">SUM(BJ24:BJ25)</f>
        <v>0</v>
      </c>
      <c r="BK23" s="1023">
        <f t="shared" si="61"/>
        <v>0</v>
      </c>
      <c r="BL23" s="1026">
        <f>SUM(BL24:BL25)</f>
        <v>0</v>
      </c>
      <c r="BM23" s="1022">
        <f t="shared" ref="BM23" si="62">SUM(BM24:BM25)</f>
        <v>0</v>
      </c>
      <c r="BN23" s="1023">
        <f t="shared" ref="BN23" si="63">SUM(BN24:BN25)</f>
        <v>0</v>
      </c>
      <c r="BO23" s="1026">
        <v>0</v>
      </c>
      <c r="BP23" s="1028">
        <v>0</v>
      </c>
      <c r="BQ23" s="1008">
        <f t="shared" si="15"/>
        <v>0</v>
      </c>
      <c r="BR23" s="1028"/>
      <c r="BS23" s="1013">
        <f t="shared" si="16"/>
        <v>2000</v>
      </c>
      <c r="BT23" s="284" t="s">
        <v>419</v>
      </c>
    </row>
    <row r="24" spans="1:72" ht="18" customHeight="1" x14ac:dyDescent="0.2">
      <c r="A24" s="1050">
        <v>51301</v>
      </c>
      <c r="B24" s="1051" t="s">
        <v>139</v>
      </c>
      <c r="C24" s="1065">
        <v>300</v>
      </c>
      <c r="D24" s="1066">
        <v>1300</v>
      </c>
      <c r="E24" s="1066">
        <v>400</v>
      </c>
      <c r="F24" s="1066">
        <v>0</v>
      </c>
      <c r="G24" s="1067">
        <f>C24+D24+E24+F24</f>
        <v>2000</v>
      </c>
      <c r="H24" s="1068">
        <v>0</v>
      </c>
      <c r="I24" s="1069">
        <v>0</v>
      </c>
      <c r="J24" s="1069">
        <v>0</v>
      </c>
      <c r="K24" s="1069">
        <f>'AG1'!F27</f>
        <v>0</v>
      </c>
      <c r="L24" s="1070">
        <f t="shared" si="23"/>
        <v>0</v>
      </c>
      <c r="M24" s="1062">
        <v>0</v>
      </c>
      <c r="N24" s="1071">
        <v>0</v>
      </c>
      <c r="O24" s="1071">
        <v>0</v>
      </c>
      <c r="P24" s="1071">
        <v>0</v>
      </c>
      <c r="Q24" s="1071">
        <v>0</v>
      </c>
      <c r="R24" s="1072">
        <f t="shared" si="3"/>
        <v>0</v>
      </c>
      <c r="S24" s="1065">
        <v>0</v>
      </c>
      <c r="T24" s="1066">
        <v>0</v>
      </c>
      <c r="U24" s="1066">
        <v>0</v>
      </c>
      <c r="V24" s="1066">
        <v>0</v>
      </c>
      <c r="W24" s="1067">
        <f>S24+T24+U24+V24</f>
        <v>0</v>
      </c>
      <c r="X24" s="1066">
        <v>0</v>
      </c>
      <c r="Y24" s="1066">
        <v>0</v>
      </c>
      <c r="Z24" s="1034">
        <f t="shared" ref="Z24:Z42" si="64">SUM(X24:Y24)</f>
        <v>0</v>
      </c>
      <c r="AA24" s="1067">
        <f t="shared" si="18"/>
        <v>0</v>
      </c>
      <c r="AB24" s="1065">
        <v>0</v>
      </c>
      <c r="AC24" s="1066">
        <v>0</v>
      </c>
      <c r="AD24" s="1066">
        <v>0</v>
      </c>
      <c r="AE24" s="1066">
        <v>0</v>
      </c>
      <c r="AF24" s="1067">
        <f>AB24+AC24+AD24+AE24</f>
        <v>0</v>
      </c>
      <c r="AG24" s="1066">
        <v>0</v>
      </c>
      <c r="AH24" s="1066">
        <v>0</v>
      </c>
      <c r="AI24" s="1034">
        <f t="shared" ref="AI24:AI25" si="65">SUM(AG24:AH24)</f>
        <v>0</v>
      </c>
      <c r="AJ24" s="1067">
        <f t="shared" si="26"/>
        <v>0</v>
      </c>
      <c r="AK24" s="1065">
        <f t="shared" ref="AK24:AK25" si="66">S24+AB24</f>
        <v>0</v>
      </c>
      <c r="AL24" s="1066">
        <f t="shared" ref="AL24:AL25" si="67">T24+AC24</f>
        <v>0</v>
      </c>
      <c r="AM24" s="1066">
        <f t="shared" ref="AM24:AM25" si="68">U24+AD24</f>
        <v>0</v>
      </c>
      <c r="AN24" s="1066">
        <f t="shared" ref="AN24:AN25" si="69">V24+AE24</f>
        <v>0</v>
      </c>
      <c r="AO24" s="1067">
        <f>AK24+AL24+AM24+AN24</f>
        <v>0</v>
      </c>
      <c r="AP24" s="1073"/>
      <c r="AQ24" s="1074">
        <v>0</v>
      </c>
      <c r="AR24" s="1075">
        <v>0</v>
      </c>
      <c r="AS24" s="1075">
        <v>0</v>
      </c>
      <c r="AT24" s="1075">
        <v>0</v>
      </c>
      <c r="AU24" s="1066">
        <v>0</v>
      </c>
      <c r="AV24" s="1067">
        <f t="shared" ref="AV24:AV25" si="70">SUM(AQ24:AU24)</f>
        <v>0</v>
      </c>
      <c r="AW24" s="1034">
        <f t="shared" si="10"/>
        <v>0</v>
      </c>
      <c r="AX24" s="1071">
        <v>0</v>
      </c>
      <c r="AY24" s="1071">
        <v>0</v>
      </c>
      <c r="AZ24" s="1071">
        <v>0</v>
      </c>
      <c r="BA24" s="1076">
        <f t="shared" ref="BA24:BA25" si="71">SUM(AX24:AZ24)</f>
        <v>0</v>
      </c>
      <c r="BB24" s="1066">
        <f>AB24+AK24</f>
        <v>0</v>
      </c>
      <c r="BC24" s="1066">
        <f>AC24+AL24</f>
        <v>0</v>
      </c>
      <c r="BD24" s="1066">
        <f>AV24+AW24+BB24+BC24</f>
        <v>0</v>
      </c>
      <c r="BE24" s="1076">
        <f t="shared" si="22"/>
        <v>0</v>
      </c>
      <c r="BF24" s="1077">
        <v>0</v>
      </c>
      <c r="BG24" s="1071">
        <v>0</v>
      </c>
      <c r="BH24" s="1076">
        <v>0</v>
      </c>
      <c r="BI24" s="1077">
        <v>0</v>
      </c>
      <c r="BJ24" s="1071">
        <v>0</v>
      </c>
      <c r="BK24" s="1041">
        <f t="shared" si="29"/>
        <v>0</v>
      </c>
      <c r="BL24" s="1077">
        <v>0</v>
      </c>
      <c r="BM24" s="1071">
        <v>0</v>
      </c>
      <c r="BN24" s="1041">
        <f t="shared" ref="BN24:BN29" si="72">SUM(BL24:BM24)</f>
        <v>0</v>
      </c>
      <c r="BO24" s="1077">
        <v>0</v>
      </c>
      <c r="BP24" s="1062">
        <v>0</v>
      </c>
      <c r="BQ24" s="1078">
        <f t="shared" si="15"/>
        <v>0</v>
      </c>
      <c r="BR24" s="1062"/>
      <c r="BS24" s="1079">
        <f t="shared" si="16"/>
        <v>2000</v>
      </c>
      <c r="BT24" s="284" t="s">
        <v>419</v>
      </c>
    </row>
    <row r="25" spans="1:72" ht="18" hidden="1" customHeight="1" x14ac:dyDescent="0.2">
      <c r="A25" s="1050">
        <v>51302</v>
      </c>
      <c r="B25" s="1051" t="s">
        <v>140</v>
      </c>
      <c r="C25" s="1065">
        <v>0</v>
      </c>
      <c r="D25" s="1066">
        <v>0</v>
      </c>
      <c r="E25" s="1066">
        <v>0</v>
      </c>
      <c r="F25" s="1066">
        <v>0</v>
      </c>
      <c r="G25" s="1067">
        <f>C25+D25+E25+F25</f>
        <v>0</v>
      </c>
      <c r="H25" s="1068">
        <v>0</v>
      </c>
      <c r="I25" s="1069">
        <v>0</v>
      </c>
      <c r="J25" s="1069">
        <v>0</v>
      </c>
      <c r="K25" s="1069">
        <v>0</v>
      </c>
      <c r="L25" s="1070">
        <f t="shared" si="23"/>
        <v>0</v>
      </c>
      <c r="M25" s="1062">
        <v>0</v>
      </c>
      <c r="N25" s="1071">
        <v>0</v>
      </c>
      <c r="O25" s="1071">
        <v>0</v>
      </c>
      <c r="P25" s="1071">
        <v>0</v>
      </c>
      <c r="Q25" s="1071">
        <v>0</v>
      </c>
      <c r="R25" s="1072">
        <f t="shared" si="3"/>
        <v>0</v>
      </c>
      <c r="S25" s="1065">
        <v>0</v>
      </c>
      <c r="T25" s="1066">
        <v>0</v>
      </c>
      <c r="U25" s="1066">
        <v>0</v>
      </c>
      <c r="V25" s="1066">
        <v>0</v>
      </c>
      <c r="W25" s="1067">
        <f>S25+T25+U25+V25</f>
        <v>0</v>
      </c>
      <c r="X25" s="1066">
        <v>0</v>
      </c>
      <c r="Y25" s="1066">
        <v>0</v>
      </c>
      <c r="Z25" s="1034">
        <f t="shared" si="64"/>
        <v>0</v>
      </c>
      <c r="AA25" s="1067">
        <f t="shared" si="18"/>
        <v>0</v>
      </c>
      <c r="AB25" s="1065">
        <v>0</v>
      </c>
      <c r="AC25" s="1066">
        <v>0</v>
      </c>
      <c r="AD25" s="1066">
        <v>0</v>
      </c>
      <c r="AE25" s="1066">
        <v>0</v>
      </c>
      <c r="AF25" s="1067">
        <f>AB25+AC25+AD25+AE25</f>
        <v>0</v>
      </c>
      <c r="AG25" s="1066">
        <v>0</v>
      </c>
      <c r="AH25" s="1066">
        <v>0</v>
      </c>
      <c r="AI25" s="1034">
        <f t="shared" si="65"/>
        <v>0</v>
      </c>
      <c r="AJ25" s="1067">
        <f t="shared" si="26"/>
        <v>0</v>
      </c>
      <c r="AK25" s="1065">
        <f t="shared" si="66"/>
        <v>0</v>
      </c>
      <c r="AL25" s="1066">
        <f t="shared" si="67"/>
        <v>0</v>
      </c>
      <c r="AM25" s="1066">
        <f t="shared" si="68"/>
        <v>0</v>
      </c>
      <c r="AN25" s="1066">
        <f t="shared" si="69"/>
        <v>0</v>
      </c>
      <c r="AO25" s="1067">
        <f>AK25+AL25+AM25+AN25</f>
        <v>0</v>
      </c>
      <c r="AP25" s="1073"/>
      <c r="AQ25" s="1074">
        <v>0</v>
      </c>
      <c r="AR25" s="1075">
        <v>0</v>
      </c>
      <c r="AS25" s="1075">
        <v>0</v>
      </c>
      <c r="AT25" s="1075">
        <v>0</v>
      </c>
      <c r="AU25" s="1066">
        <v>0</v>
      </c>
      <c r="AV25" s="1067">
        <f t="shared" si="70"/>
        <v>0</v>
      </c>
      <c r="AW25" s="1034">
        <f t="shared" si="10"/>
        <v>0</v>
      </c>
      <c r="AX25" s="1071">
        <v>0</v>
      </c>
      <c r="AY25" s="1071">
        <v>0</v>
      </c>
      <c r="AZ25" s="1071">
        <v>0</v>
      </c>
      <c r="BA25" s="1076">
        <f t="shared" si="71"/>
        <v>0</v>
      </c>
      <c r="BB25" s="1066">
        <f>AB25+AK25</f>
        <v>0</v>
      </c>
      <c r="BC25" s="1066">
        <f>AC25+AL25</f>
        <v>0</v>
      </c>
      <c r="BD25" s="1066">
        <f>AV25+AW25+BB25+BC25</f>
        <v>0</v>
      </c>
      <c r="BE25" s="1076">
        <f t="shared" si="22"/>
        <v>0</v>
      </c>
      <c r="BF25" s="1077">
        <v>0</v>
      </c>
      <c r="BG25" s="1071">
        <v>0</v>
      </c>
      <c r="BH25" s="1076">
        <v>0</v>
      </c>
      <c r="BI25" s="1077">
        <v>0</v>
      </c>
      <c r="BJ25" s="1071">
        <v>0</v>
      </c>
      <c r="BK25" s="1041">
        <f t="shared" si="29"/>
        <v>0</v>
      </c>
      <c r="BL25" s="1077">
        <v>0</v>
      </c>
      <c r="BM25" s="1071">
        <v>0</v>
      </c>
      <c r="BN25" s="1041">
        <f t="shared" si="72"/>
        <v>0</v>
      </c>
      <c r="BO25" s="1077">
        <v>0</v>
      </c>
      <c r="BP25" s="1062">
        <v>0</v>
      </c>
      <c r="BQ25" s="1078">
        <f t="shared" si="15"/>
        <v>0</v>
      </c>
      <c r="BR25" s="1062"/>
      <c r="BS25" s="1079">
        <f t="shared" si="16"/>
        <v>0</v>
      </c>
      <c r="BT25" s="284" t="s">
        <v>419</v>
      </c>
    </row>
    <row r="26" spans="1:72" s="140" customFormat="1" ht="18" customHeight="1" x14ac:dyDescent="0.2">
      <c r="A26" s="1014">
        <v>514</v>
      </c>
      <c r="B26" s="1080" t="s">
        <v>141</v>
      </c>
      <c r="C26" s="1016">
        <f t="shared" ref="C26:L26" si="73">SUM(C27:C28)</f>
        <v>7182.05</v>
      </c>
      <c r="D26" s="1000">
        <f t="shared" si="73"/>
        <v>0</v>
      </c>
      <c r="E26" s="1000">
        <f t="shared" si="73"/>
        <v>0</v>
      </c>
      <c r="F26" s="1000">
        <f t="shared" si="73"/>
        <v>0</v>
      </c>
      <c r="G26" s="1059">
        <f>SUM(G27:G28)</f>
        <v>7182.05</v>
      </c>
      <c r="H26" s="1060">
        <f t="shared" si="73"/>
        <v>0</v>
      </c>
      <c r="I26" s="1019">
        <f t="shared" si="73"/>
        <v>0</v>
      </c>
      <c r="J26" s="1019">
        <f t="shared" si="73"/>
        <v>0</v>
      </c>
      <c r="K26" s="1019">
        <f t="shared" si="73"/>
        <v>0</v>
      </c>
      <c r="L26" s="1021">
        <f t="shared" si="73"/>
        <v>0</v>
      </c>
      <c r="M26" s="1028">
        <v>0</v>
      </c>
      <c r="N26" s="1022">
        <v>0</v>
      </c>
      <c r="O26" s="1022">
        <v>0</v>
      </c>
      <c r="P26" s="1022">
        <v>0</v>
      </c>
      <c r="Q26" s="1022">
        <v>0</v>
      </c>
      <c r="R26" s="1023">
        <f t="shared" si="3"/>
        <v>0</v>
      </c>
      <c r="S26" s="1016">
        <f t="shared" ref="S26:V26" si="74">SUM(S27:S28)</f>
        <v>0</v>
      </c>
      <c r="T26" s="1000">
        <f t="shared" si="74"/>
        <v>0</v>
      </c>
      <c r="U26" s="1000">
        <f t="shared" si="74"/>
        <v>0</v>
      </c>
      <c r="V26" s="1000">
        <f t="shared" si="74"/>
        <v>0</v>
      </c>
      <c r="W26" s="1059">
        <f>SUM(W27:W28)</f>
        <v>0</v>
      </c>
      <c r="X26" s="1000">
        <f t="shared" ref="X26:Y26" si="75">SUM(X27:X28)</f>
        <v>0</v>
      </c>
      <c r="Y26" s="1000">
        <f t="shared" si="75"/>
        <v>0</v>
      </c>
      <c r="Z26" s="1059">
        <f>SUM(Z27:Z28)</f>
        <v>0</v>
      </c>
      <c r="AA26" s="1059">
        <f t="shared" si="18"/>
        <v>0</v>
      </c>
      <c r="AB26" s="1016">
        <f t="shared" ref="AB26:AE26" si="76">SUM(AB27:AB28)</f>
        <v>26716.15</v>
      </c>
      <c r="AC26" s="1000">
        <f t="shared" si="76"/>
        <v>0</v>
      </c>
      <c r="AD26" s="1000">
        <f t="shared" si="76"/>
        <v>0</v>
      </c>
      <c r="AE26" s="1000">
        <f t="shared" si="76"/>
        <v>0</v>
      </c>
      <c r="AF26" s="1059">
        <f>SUM(AF27:AF28)</f>
        <v>26716.15</v>
      </c>
      <c r="AG26" s="1000">
        <f t="shared" ref="AG26:AH26" si="77">SUM(AG27:AG28)</f>
        <v>0</v>
      </c>
      <c r="AH26" s="1000">
        <f t="shared" si="77"/>
        <v>0</v>
      </c>
      <c r="AI26" s="1059">
        <f>SUM(AI27:AI28)</f>
        <v>0</v>
      </c>
      <c r="AJ26" s="1059">
        <f t="shared" si="26"/>
        <v>26716.15</v>
      </c>
      <c r="AK26" s="1016">
        <f t="shared" ref="AK26:AN26" si="78">SUM(AK27:AK28)</f>
        <v>26716.15</v>
      </c>
      <c r="AL26" s="1000">
        <f t="shared" si="78"/>
        <v>0</v>
      </c>
      <c r="AM26" s="1000">
        <f t="shared" si="78"/>
        <v>0</v>
      </c>
      <c r="AN26" s="1000">
        <f t="shared" si="78"/>
        <v>0</v>
      </c>
      <c r="AO26" s="1059">
        <f>SUM(AO27:AO28)</f>
        <v>26716.15</v>
      </c>
      <c r="AP26" s="1061"/>
      <c r="AQ26" s="999">
        <f t="shared" ref="AQ26:AU26" si="79">SUM(AQ27:AQ28)</f>
        <v>0</v>
      </c>
      <c r="AR26" s="1010">
        <f t="shared" si="79"/>
        <v>0</v>
      </c>
      <c r="AS26" s="1010">
        <f t="shared" si="79"/>
        <v>0</v>
      </c>
      <c r="AT26" s="1010">
        <f t="shared" si="79"/>
        <v>0</v>
      </c>
      <c r="AU26" s="1000">
        <f t="shared" si="79"/>
        <v>0</v>
      </c>
      <c r="AV26" s="1059">
        <f>SUM(AV27:AV28)</f>
        <v>0</v>
      </c>
      <c r="AW26" s="1059">
        <f t="shared" si="10"/>
        <v>26716.15</v>
      </c>
      <c r="AX26" s="1022">
        <v>0</v>
      </c>
      <c r="AY26" s="1022">
        <v>0</v>
      </c>
      <c r="AZ26" s="1022">
        <v>0</v>
      </c>
      <c r="BA26" s="1027">
        <f>M26+N26+O26+AX26+AZ26</f>
        <v>0</v>
      </c>
      <c r="BB26" s="1000">
        <f t="shared" ref="BB26:BC26" si="80">SUM(BB27:BB28)</f>
        <v>0</v>
      </c>
      <c r="BC26" s="1000">
        <f t="shared" si="80"/>
        <v>0</v>
      </c>
      <c r="BD26" s="1000">
        <f>SUM(BD27:BD28)</f>
        <v>0</v>
      </c>
      <c r="BE26" s="1027">
        <f>SUM(BB26:BD26)</f>
        <v>0</v>
      </c>
      <c r="BF26" s="1026">
        <v>0</v>
      </c>
      <c r="BG26" s="1022">
        <v>0</v>
      </c>
      <c r="BH26" s="1027">
        <v>0</v>
      </c>
      <c r="BI26" s="1026">
        <v>0</v>
      </c>
      <c r="BJ26" s="1022">
        <v>0</v>
      </c>
      <c r="BK26" s="1081">
        <f t="shared" si="29"/>
        <v>0</v>
      </c>
      <c r="BL26" s="1026">
        <v>0</v>
      </c>
      <c r="BM26" s="1022">
        <v>0</v>
      </c>
      <c r="BN26" s="1081">
        <f t="shared" si="72"/>
        <v>0</v>
      </c>
      <c r="BO26" s="1026">
        <v>0</v>
      </c>
      <c r="BP26" s="1028">
        <v>0</v>
      </c>
      <c r="BQ26" s="1008">
        <f t="shared" si="15"/>
        <v>0</v>
      </c>
      <c r="BR26" s="1028"/>
      <c r="BS26" s="1013">
        <f t="shared" si="16"/>
        <v>33898.200000000004</v>
      </c>
      <c r="BT26" s="284" t="s">
        <v>419</v>
      </c>
    </row>
    <row r="27" spans="1:72" ht="18" customHeight="1" x14ac:dyDescent="0.2">
      <c r="A27" s="1063" t="s">
        <v>142</v>
      </c>
      <c r="B27" s="1064" t="s">
        <v>143</v>
      </c>
      <c r="C27" s="1065">
        <f>'AG1'!G30</f>
        <v>7182.05</v>
      </c>
      <c r="D27" s="1066">
        <v>0</v>
      </c>
      <c r="E27" s="1066">
        <v>0</v>
      </c>
      <c r="F27" s="1066">
        <v>0</v>
      </c>
      <c r="G27" s="1067">
        <f>C27+D27+E27+F27</f>
        <v>7182.05</v>
      </c>
      <c r="H27" s="1068">
        <v>0</v>
      </c>
      <c r="I27" s="1069">
        <v>0</v>
      </c>
      <c r="J27" s="1069">
        <v>0</v>
      </c>
      <c r="K27" s="1069">
        <v>0</v>
      </c>
      <c r="L27" s="1070">
        <f>SUM(H27:K27)</f>
        <v>0</v>
      </c>
      <c r="M27" s="1062">
        <v>0</v>
      </c>
      <c r="N27" s="1071">
        <v>0</v>
      </c>
      <c r="O27" s="1071">
        <v>0</v>
      </c>
      <c r="P27" s="1071">
        <v>0</v>
      </c>
      <c r="Q27" s="1071">
        <v>0</v>
      </c>
      <c r="R27" s="1072">
        <f t="shared" si="3"/>
        <v>0</v>
      </c>
      <c r="S27" s="1065">
        <f>'AG1'!D30</f>
        <v>0</v>
      </c>
      <c r="T27" s="1066">
        <v>0</v>
      </c>
      <c r="U27" s="1066">
        <v>0</v>
      </c>
      <c r="V27" s="1066">
        <v>0</v>
      </c>
      <c r="W27" s="1067">
        <f>S27+T27+U27+V27</f>
        <v>0</v>
      </c>
      <c r="X27" s="1066">
        <v>0</v>
      </c>
      <c r="Y27" s="1066">
        <v>0</v>
      </c>
      <c r="Z27" s="1034">
        <f t="shared" si="64"/>
        <v>0</v>
      </c>
      <c r="AA27" s="1067">
        <f t="shared" si="18"/>
        <v>0</v>
      </c>
      <c r="AB27" s="1065">
        <f>'AG1'!F30</f>
        <v>26716.15</v>
      </c>
      <c r="AC27" s="1066">
        <v>0</v>
      </c>
      <c r="AD27" s="1066">
        <v>0</v>
      </c>
      <c r="AE27" s="1066">
        <v>0</v>
      </c>
      <c r="AF27" s="1067">
        <f>AB27+AC27+AD27+AE27</f>
        <v>26716.15</v>
      </c>
      <c r="AG27" s="1066">
        <v>0</v>
      </c>
      <c r="AH27" s="1066">
        <v>0</v>
      </c>
      <c r="AI27" s="1034">
        <f t="shared" ref="AI27:AI28" si="81">SUM(AG27:AH27)</f>
        <v>0</v>
      </c>
      <c r="AJ27" s="1067">
        <f t="shared" si="26"/>
        <v>26716.15</v>
      </c>
      <c r="AK27" s="1065">
        <f t="shared" ref="AK27:AK28" si="82">S27+AB27</f>
        <v>26716.15</v>
      </c>
      <c r="AL27" s="1066">
        <f t="shared" ref="AL27:AL28" si="83">T27+AC27</f>
        <v>0</v>
      </c>
      <c r="AM27" s="1066">
        <f t="shared" ref="AM27:AM28" si="84">U27+AD27</f>
        <v>0</v>
      </c>
      <c r="AN27" s="1066">
        <f t="shared" ref="AN27:AN28" si="85">V27+AE27</f>
        <v>0</v>
      </c>
      <c r="AO27" s="1067">
        <f>AK27+AL27+AM27+AN27</f>
        <v>26716.15</v>
      </c>
      <c r="AP27" s="1073"/>
      <c r="AQ27" s="1074">
        <v>0</v>
      </c>
      <c r="AR27" s="1075">
        <v>0</v>
      </c>
      <c r="AS27" s="1075">
        <v>0</v>
      </c>
      <c r="AT27" s="1075">
        <v>0</v>
      </c>
      <c r="AU27" s="1066">
        <v>0</v>
      </c>
      <c r="AV27" s="1067">
        <f t="shared" ref="AV27:AV28" si="86">SUM(AQ27:AU27)</f>
        <v>0</v>
      </c>
      <c r="AW27" s="1034">
        <f t="shared" si="10"/>
        <v>26716.15</v>
      </c>
      <c r="AX27" s="1071">
        <v>0</v>
      </c>
      <c r="AY27" s="1071">
        <v>0</v>
      </c>
      <c r="AZ27" s="1071">
        <v>0</v>
      </c>
      <c r="BA27" s="1076">
        <f t="shared" ref="BA27" si="87">SUM(AX27:AZ27)</f>
        <v>0</v>
      </c>
      <c r="BB27" s="1066">
        <v>0</v>
      </c>
      <c r="BC27" s="1066">
        <v>0</v>
      </c>
      <c r="BD27" s="1066">
        <v>0</v>
      </c>
      <c r="BE27" s="1076">
        <f t="shared" si="22"/>
        <v>0</v>
      </c>
      <c r="BF27" s="1077">
        <v>0</v>
      </c>
      <c r="BG27" s="1071">
        <v>0</v>
      </c>
      <c r="BH27" s="1076">
        <v>0</v>
      </c>
      <c r="BI27" s="1077">
        <v>0</v>
      </c>
      <c r="BJ27" s="1071">
        <v>0</v>
      </c>
      <c r="BK27" s="1041">
        <f t="shared" si="29"/>
        <v>0</v>
      </c>
      <c r="BL27" s="1077">
        <v>0</v>
      </c>
      <c r="BM27" s="1071">
        <v>0</v>
      </c>
      <c r="BN27" s="1041">
        <f t="shared" si="72"/>
        <v>0</v>
      </c>
      <c r="BO27" s="1077">
        <v>0</v>
      </c>
      <c r="BP27" s="1062">
        <v>0</v>
      </c>
      <c r="BQ27" s="1078">
        <f t="shared" si="15"/>
        <v>0</v>
      </c>
      <c r="BR27" s="1062"/>
      <c r="BS27" s="1079">
        <f t="shared" si="16"/>
        <v>33898.200000000004</v>
      </c>
      <c r="BT27" s="284" t="s">
        <v>419</v>
      </c>
    </row>
    <row r="28" spans="1:72" ht="18" hidden="1" customHeight="1" x14ac:dyDescent="0.2">
      <c r="A28" s="1063" t="s">
        <v>144</v>
      </c>
      <c r="B28" s="1064" t="s">
        <v>145</v>
      </c>
      <c r="C28" s="1065">
        <v>0</v>
      </c>
      <c r="D28" s="1066">
        <v>0</v>
      </c>
      <c r="E28" s="1066">
        <v>0</v>
      </c>
      <c r="F28" s="1066">
        <v>0</v>
      </c>
      <c r="G28" s="1067">
        <f>C28+D28+E28+F28</f>
        <v>0</v>
      </c>
      <c r="H28" s="1068">
        <v>0</v>
      </c>
      <c r="I28" s="1069">
        <v>0</v>
      </c>
      <c r="J28" s="1069">
        <v>0</v>
      </c>
      <c r="K28" s="1069">
        <v>0</v>
      </c>
      <c r="L28" s="1070">
        <f>SUM(H28:K28)</f>
        <v>0</v>
      </c>
      <c r="M28" s="1062">
        <v>0</v>
      </c>
      <c r="N28" s="1071">
        <v>0</v>
      </c>
      <c r="O28" s="1071">
        <v>0</v>
      </c>
      <c r="P28" s="1071">
        <v>0</v>
      </c>
      <c r="Q28" s="1071">
        <v>0</v>
      </c>
      <c r="R28" s="1072">
        <f t="shared" si="3"/>
        <v>0</v>
      </c>
      <c r="S28" s="1065">
        <v>0</v>
      </c>
      <c r="T28" s="1066">
        <v>0</v>
      </c>
      <c r="U28" s="1066">
        <v>0</v>
      </c>
      <c r="V28" s="1066">
        <v>0</v>
      </c>
      <c r="W28" s="1067">
        <f>S28+T28+U28+V28</f>
        <v>0</v>
      </c>
      <c r="X28" s="1066">
        <v>0</v>
      </c>
      <c r="Y28" s="1066">
        <v>0</v>
      </c>
      <c r="Z28" s="1034">
        <f t="shared" si="64"/>
        <v>0</v>
      </c>
      <c r="AA28" s="1067">
        <f t="shared" si="18"/>
        <v>0</v>
      </c>
      <c r="AB28" s="1065">
        <v>0</v>
      </c>
      <c r="AC28" s="1066">
        <v>0</v>
      </c>
      <c r="AD28" s="1066">
        <v>0</v>
      </c>
      <c r="AE28" s="1066">
        <v>0</v>
      </c>
      <c r="AF28" s="1067">
        <f>AB28+AC28+AD28+AE28</f>
        <v>0</v>
      </c>
      <c r="AG28" s="1066">
        <v>0</v>
      </c>
      <c r="AH28" s="1066">
        <v>0</v>
      </c>
      <c r="AI28" s="1034">
        <f t="shared" si="81"/>
        <v>0</v>
      </c>
      <c r="AJ28" s="1067">
        <f t="shared" si="26"/>
        <v>0</v>
      </c>
      <c r="AK28" s="1065">
        <f t="shared" si="82"/>
        <v>0</v>
      </c>
      <c r="AL28" s="1066">
        <f t="shared" si="83"/>
        <v>0</v>
      </c>
      <c r="AM28" s="1066">
        <f t="shared" si="84"/>
        <v>0</v>
      </c>
      <c r="AN28" s="1066">
        <f t="shared" si="85"/>
        <v>0</v>
      </c>
      <c r="AO28" s="1067">
        <f>AK28+AL28+AM28+AN28</f>
        <v>0</v>
      </c>
      <c r="AP28" s="1073"/>
      <c r="AQ28" s="1074">
        <v>0</v>
      </c>
      <c r="AR28" s="1075">
        <v>0</v>
      </c>
      <c r="AS28" s="1075">
        <v>0</v>
      </c>
      <c r="AT28" s="1075">
        <v>0</v>
      </c>
      <c r="AU28" s="1066">
        <v>0</v>
      </c>
      <c r="AV28" s="1067">
        <f t="shared" si="86"/>
        <v>0</v>
      </c>
      <c r="AW28" s="1034">
        <f t="shared" si="10"/>
        <v>0</v>
      </c>
      <c r="AX28" s="1071">
        <v>0</v>
      </c>
      <c r="AY28" s="1071">
        <v>0</v>
      </c>
      <c r="AZ28" s="1071">
        <v>0</v>
      </c>
      <c r="BA28" s="1076">
        <f t="shared" ref="BA28" si="88">SUM(AX28:AZ28)</f>
        <v>0</v>
      </c>
      <c r="BB28" s="1066">
        <v>0</v>
      </c>
      <c r="BC28" s="1066">
        <v>0</v>
      </c>
      <c r="BD28" s="1066">
        <v>0</v>
      </c>
      <c r="BE28" s="1076">
        <f t="shared" si="22"/>
        <v>0</v>
      </c>
      <c r="BF28" s="1077">
        <v>0</v>
      </c>
      <c r="BG28" s="1071">
        <v>0</v>
      </c>
      <c r="BH28" s="1076">
        <v>0</v>
      </c>
      <c r="BI28" s="1077">
        <v>0</v>
      </c>
      <c r="BJ28" s="1071">
        <v>0</v>
      </c>
      <c r="BK28" s="1041">
        <f t="shared" si="29"/>
        <v>0</v>
      </c>
      <c r="BL28" s="1077">
        <v>0</v>
      </c>
      <c r="BM28" s="1071">
        <v>0</v>
      </c>
      <c r="BN28" s="1041">
        <f t="shared" si="72"/>
        <v>0</v>
      </c>
      <c r="BO28" s="1077">
        <v>0</v>
      </c>
      <c r="BP28" s="1062">
        <v>0</v>
      </c>
      <c r="BQ28" s="1078">
        <f t="shared" si="15"/>
        <v>0</v>
      </c>
      <c r="BR28" s="1062"/>
      <c r="BS28" s="1079">
        <f t="shared" si="16"/>
        <v>0</v>
      </c>
      <c r="BT28" s="284" t="s">
        <v>419</v>
      </c>
    </row>
    <row r="29" spans="1:72" s="140" customFormat="1" ht="18" customHeight="1" x14ac:dyDescent="0.2">
      <c r="A29" s="1014">
        <v>515</v>
      </c>
      <c r="B29" s="1080" t="s">
        <v>146</v>
      </c>
      <c r="C29" s="1016">
        <f t="shared" ref="C29:L29" si="89">SUM(C30:C31)</f>
        <v>7241.55</v>
      </c>
      <c r="D29" s="1000">
        <f t="shared" si="89"/>
        <v>0</v>
      </c>
      <c r="E29" s="1000">
        <f t="shared" si="89"/>
        <v>0</v>
      </c>
      <c r="F29" s="1000">
        <f t="shared" si="89"/>
        <v>0</v>
      </c>
      <c r="G29" s="1059">
        <f t="shared" si="89"/>
        <v>7241.55</v>
      </c>
      <c r="H29" s="1060">
        <f t="shared" si="89"/>
        <v>0</v>
      </c>
      <c r="I29" s="1019">
        <f t="shared" si="89"/>
        <v>0</v>
      </c>
      <c r="J29" s="1019">
        <f t="shared" si="89"/>
        <v>0</v>
      </c>
      <c r="K29" s="1019">
        <f t="shared" si="89"/>
        <v>0</v>
      </c>
      <c r="L29" s="1021">
        <f t="shared" si="89"/>
        <v>0</v>
      </c>
      <c r="M29" s="1028">
        <v>0</v>
      </c>
      <c r="N29" s="1022">
        <v>0</v>
      </c>
      <c r="O29" s="1022">
        <v>0</v>
      </c>
      <c r="P29" s="1022">
        <v>0</v>
      </c>
      <c r="Q29" s="1022">
        <v>0</v>
      </c>
      <c r="R29" s="1023">
        <f t="shared" si="3"/>
        <v>0</v>
      </c>
      <c r="S29" s="1016">
        <f t="shared" ref="S29:W29" si="90">SUM(S30:S31)</f>
        <v>0</v>
      </c>
      <c r="T29" s="1000">
        <f t="shared" si="90"/>
        <v>0</v>
      </c>
      <c r="U29" s="1000">
        <f t="shared" si="90"/>
        <v>0</v>
      </c>
      <c r="V29" s="1000">
        <f t="shared" si="90"/>
        <v>0</v>
      </c>
      <c r="W29" s="1059">
        <f t="shared" si="90"/>
        <v>0</v>
      </c>
      <c r="X29" s="1000">
        <f t="shared" ref="X29:Z29" si="91">SUM(X30:X31)</f>
        <v>0</v>
      </c>
      <c r="Y29" s="1000">
        <f t="shared" si="91"/>
        <v>0</v>
      </c>
      <c r="Z29" s="1059">
        <f t="shared" si="91"/>
        <v>0</v>
      </c>
      <c r="AA29" s="1059">
        <f t="shared" si="18"/>
        <v>0</v>
      </c>
      <c r="AB29" s="1016">
        <f t="shared" ref="AB29:AI29" si="92">SUM(AB30:AB31)</f>
        <v>25148.050000000003</v>
      </c>
      <c r="AC29" s="1000">
        <f t="shared" si="92"/>
        <v>0</v>
      </c>
      <c r="AD29" s="1000">
        <f t="shared" si="92"/>
        <v>0</v>
      </c>
      <c r="AE29" s="1000">
        <f t="shared" si="92"/>
        <v>0</v>
      </c>
      <c r="AF29" s="1059">
        <f t="shared" si="92"/>
        <v>25148.050000000003</v>
      </c>
      <c r="AG29" s="1000">
        <f t="shared" si="92"/>
        <v>0</v>
      </c>
      <c r="AH29" s="1000">
        <f t="shared" si="92"/>
        <v>0</v>
      </c>
      <c r="AI29" s="1059">
        <f t="shared" si="92"/>
        <v>0</v>
      </c>
      <c r="AJ29" s="1059">
        <f t="shared" si="26"/>
        <v>25148.050000000003</v>
      </c>
      <c r="AK29" s="1016">
        <f t="shared" ref="AK29:AV29" si="93">SUM(AK30:AK31)</f>
        <v>25148.050000000003</v>
      </c>
      <c r="AL29" s="1000">
        <f t="shared" si="93"/>
        <v>0</v>
      </c>
      <c r="AM29" s="1000">
        <f t="shared" si="93"/>
        <v>0</v>
      </c>
      <c r="AN29" s="1000">
        <f t="shared" si="93"/>
        <v>0</v>
      </c>
      <c r="AO29" s="1059">
        <f t="shared" si="93"/>
        <v>25148.050000000003</v>
      </c>
      <c r="AP29" s="1061"/>
      <c r="AQ29" s="999">
        <f t="shared" si="93"/>
        <v>0</v>
      </c>
      <c r="AR29" s="1010">
        <f t="shared" ref="AR29:AT29" si="94">SUM(AR30:AR31)</f>
        <v>0</v>
      </c>
      <c r="AS29" s="1010">
        <f t="shared" si="94"/>
        <v>0</v>
      </c>
      <c r="AT29" s="1010">
        <f t="shared" si="94"/>
        <v>0</v>
      </c>
      <c r="AU29" s="1000">
        <f t="shared" si="93"/>
        <v>0</v>
      </c>
      <c r="AV29" s="1059">
        <f t="shared" si="93"/>
        <v>0</v>
      </c>
      <c r="AW29" s="1059">
        <f t="shared" si="10"/>
        <v>25148.050000000003</v>
      </c>
      <c r="AX29" s="1022">
        <v>0</v>
      </c>
      <c r="AY29" s="1022">
        <v>0</v>
      </c>
      <c r="AZ29" s="1022">
        <v>0</v>
      </c>
      <c r="BA29" s="1027">
        <f>M29+N29+O29+AX29+AZ29</f>
        <v>0</v>
      </c>
      <c r="BB29" s="1000">
        <f t="shared" ref="BB29:BD29" si="95">SUM(BB30:BB31)</f>
        <v>0</v>
      </c>
      <c r="BC29" s="1000">
        <f t="shared" si="95"/>
        <v>0</v>
      </c>
      <c r="BD29" s="1000">
        <f t="shared" si="95"/>
        <v>0</v>
      </c>
      <c r="BE29" s="1027">
        <f>SUM(BB29:BD29)</f>
        <v>0</v>
      </c>
      <c r="BF29" s="1026">
        <v>0</v>
      </c>
      <c r="BG29" s="1022">
        <v>0</v>
      </c>
      <c r="BH29" s="1027">
        <v>0</v>
      </c>
      <c r="BI29" s="1026">
        <v>0</v>
      </c>
      <c r="BJ29" s="1022">
        <v>0</v>
      </c>
      <c r="BK29" s="1023">
        <f t="shared" si="29"/>
        <v>0</v>
      </c>
      <c r="BL29" s="1026">
        <v>0</v>
      </c>
      <c r="BM29" s="1022">
        <v>0</v>
      </c>
      <c r="BN29" s="1023">
        <f t="shared" si="72"/>
        <v>0</v>
      </c>
      <c r="BO29" s="1026">
        <v>0</v>
      </c>
      <c r="BP29" s="1028">
        <v>0</v>
      </c>
      <c r="BQ29" s="1008">
        <f t="shared" si="15"/>
        <v>0</v>
      </c>
      <c r="BR29" s="1028"/>
      <c r="BS29" s="1013">
        <f t="shared" si="16"/>
        <v>32389.600000000002</v>
      </c>
      <c r="BT29" s="284" t="s">
        <v>419</v>
      </c>
    </row>
    <row r="30" spans="1:72" ht="18" customHeight="1" x14ac:dyDescent="0.2">
      <c r="A30" s="1063" t="s">
        <v>147</v>
      </c>
      <c r="B30" s="1064" t="s">
        <v>143</v>
      </c>
      <c r="C30" s="1065">
        <f>'AG1'!G33</f>
        <v>7241.55</v>
      </c>
      <c r="D30" s="1066">
        <v>0</v>
      </c>
      <c r="E30" s="1066">
        <v>0</v>
      </c>
      <c r="F30" s="1066">
        <v>0</v>
      </c>
      <c r="G30" s="1067">
        <f>C30+D30+E30+F30</f>
        <v>7241.55</v>
      </c>
      <c r="H30" s="1068">
        <v>0</v>
      </c>
      <c r="I30" s="1069">
        <v>0</v>
      </c>
      <c r="J30" s="1069">
        <v>0</v>
      </c>
      <c r="K30" s="1069">
        <v>0</v>
      </c>
      <c r="L30" s="1070">
        <f>SUM(H30:K30)</f>
        <v>0</v>
      </c>
      <c r="M30" s="1062">
        <v>0</v>
      </c>
      <c r="N30" s="1071">
        <v>0</v>
      </c>
      <c r="O30" s="1071">
        <v>0</v>
      </c>
      <c r="P30" s="1071">
        <v>0</v>
      </c>
      <c r="Q30" s="1071">
        <v>0</v>
      </c>
      <c r="R30" s="1072">
        <f t="shared" si="3"/>
        <v>0</v>
      </c>
      <c r="S30" s="1065">
        <f>'AG1'!D33</f>
        <v>0</v>
      </c>
      <c r="T30" s="1066">
        <v>0</v>
      </c>
      <c r="U30" s="1066">
        <v>0</v>
      </c>
      <c r="V30" s="1066">
        <v>0</v>
      </c>
      <c r="W30" s="1067">
        <f>S30+T30+U30+V30</f>
        <v>0</v>
      </c>
      <c r="X30" s="1066">
        <v>0</v>
      </c>
      <c r="Y30" s="1066">
        <v>0</v>
      </c>
      <c r="Z30" s="1034">
        <f t="shared" si="64"/>
        <v>0</v>
      </c>
      <c r="AA30" s="1067">
        <f t="shared" si="18"/>
        <v>0</v>
      </c>
      <c r="AB30" s="1065">
        <f>'AG1'!F33</f>
        <v>25148.050000000003</v>
      </c>
      <c r="AC30" s="1066">
        <v>0</v>
      </c>
      <c r="AD30" s="1066">
        <v>0</v>
      </c>
      <c r="AE30" s="1066">
        <v>0</v>
      </c>
      <c r="AF30" s="1067">
        <f>AB30+AC30+AD30+AE30</f>
        <v>25148.050000000003</v>
      </c>
      <c r="AG30" s="1066">
        <v>0</v>
      </c>
      <c r="AH30" s="1066">
        <v>0</v>
      </c>
      <c r="AI30" s="1034">
        <f t="shared" ref="AI30:AI31" si="96">SUM(AG30:AH30)</f>
        <v>0</v>
      </c>
      <c r="AJ30" s="1067">
        <f t="shared" si="26"/>
        <v>25148.050000000003</v>
      </c>
      <c r="AK30" s="1065">
        <f t="shared" ref="AK30:AK31" si="97">S30+AB30</f>
        <v>25148.050000000003</v>
      </c>
      <c r="AL30" s="1066">
        <f t="shared" ref="AL30:AL31" si="98">T30+AC30</f>
        <v>0</v>
      </c>
      <c r="AM30" s="1066">
        <f t="shared" ref="AM30:AM31" si="99">U30+AD30</f>
        <v>0</v>
      </c>
      <c r="AN30" s="1066">
        <f t="shared" ref="AN30:AN31" si="100">V30+AE30</f>
        <v>0</v>
      </c>
      <c r="AO30" s="1067">
        <f>AK30+AL30+AM30+AN30</f>
        <v>25148.050000000003</v>
      </c>
      <c r="AP30" s="1073"/>
      <c r="AQ30" s="1074">
        <v>0</v>
      </c>
      <c r="AR30" s="1075">
        <v>0</v>
      </c>
      <c r="AS30" s="1075">
        <v>0</v>
      </c>
      <c r="AT30" s="1075">
        <v>0</v>
      </c>
      <c r="AU30" s="1066">
        <v>0</v>
      </c>
      <c r="AV30" s="1067">
        <f t="shared" ref="AV30:AV31" si="101">SUM(AQ30:AU30)</f>
        <v>0</v>
      </c>
      <c r="AW30" s="1034">
        <f t="shared" si="10"/>
        <v>25148.050000000003</v>
      </c>
      <c r="AX30" s="1071">
        <v>0</v>
      </c>
      <c r="AY30" s="1071">
        <v>0</v>
      </c>
      <c r="AZ30" s="1071">
        <v>0</v>
      </c>
      <c r="BA30" s="1076">
        <f t="shared" ref="BA30:BA31" si="102">SUM(AX30:AZ30)</f>
        <v>0</v>
      </c>
      <c r="BB30" s="1066">
        <v>0</v>
      </c>
      <c r="BC30" s="1066">
        <v>0</v>
      </c>
      <c r="BD30" s="1066">
        <v>0</v>
      </c>
      <c r="BE30" s="1076">
        <f t="shared" si="22"/>
        <v>0</v>
      </c>
      <c r="BF30" s="1077">
        <v>0</v>
      </c>
      <c r="BG30" s="1071">
        <v>0</v>
      </c>
      <c r="BH30" s="1076">
        <v>0</v>
      </c>
      <c r="BI30" s="1077">
        <v>0</v>
      </c>
      <c r="BJ30" s="1071">
        <v>0</v>
      </c>
      <c r="BK30" s="1041">
        <v>0</v>
      </c>
      <c r="BL30" s="1077">
        <v>0</v>
      </c>
      <c r="BM30" s="1071">
        <v>0</v>
      </c>
      <c r="BN30" s="1041">
        <v>0</v>
      </c>
      <c r="BO30" s="1077">
        <v>0</v>
      </c>
      <c r="BP30" s="1062">
        <v>0</v>
      </c>
      <c r="BQ30" s="1078">
        <f t="shared" si="15"/>
        <v>0</v>
      </c>
      <c r="BR30" s="1062"/>
      <c r="BS30" s="1079">
        <f t="shared" si="16"/>
        <v>32389.600000000002</v>
      </c>
      <c r="BT30" s="284" t="s">
        <v>419</v>
      </c>
    </row>
    <row r="31" spans="1:72" ht="18" hidden="1" customHeight="1" x14ac:dyDescent="0.2">
      <c r="A31" s="1063" t="s">
        <v>148</v>
      </c>
      <c r="B31" s="1064" t="s">
        <v>145</v>
      </c>
      <c r="C31" s="1065">
        <f>'AG1'!G34</f>
        <v>0</v>
      </c>
      <c r="D31" s="1066">
        <v>0</v>
      </c>
      <c r="E31" s="1066">
        <v>0</v>
      </c>
      <c r="F31" s="1066">
        <v>0</v>
      </c>
      <c r="G31" s="1067">
        <f>C31+D31+E31+F31</f>
        <v>0</v>
      </c>
      <c r="H31" s="1068">
        <v>0</v>
      </c>
      <c r="I31" s="1069">
        <v>0</v>
      </c>
      <c r="J31" s="1069">
        <v>0</v>
      </c>
      <c r="K31" s="1069">
        <v>0</v>
      </c>
      <c r="L31" s="1070">
        <f>SUM(H31:K31)</f>
        <v>0</v>
      </c>
      <c r="M31" s="1062">
        <v>0</v>
      </c>
      <c r="N31" s="1071">
        <v>0</v>
      </c>
      <c r="O31" s="1071">
        <v>0</v>
      </c>
      <c r="P31" s="1071">
        <v>0</v>
      </c>
      <c r="Q31" s="1071">
        <v>0</v>
      </c>
      <c r="R31" s="1072">
        <f t="shared" si="3"/>
        <v>0</v>
      </c>
      <c r="S31" s="1065">
        <f>'AG1'!AB34</f>
        <v>0</v>
      </c>
      <c r="T31" s="1066">
        <v>0</v>
      </c>
      <c r="U31" s="1066">
        <v>0</v>
      </c>
      <c r="V31" s="1066">
        <v>0</v>
      </c>
      <c r="W31" s="1067">
        <f>S31+T31+U31+V31</f>
        <v>0</v>
      </c>
      <c r="X31" s="1066">
        <v>0</v>
      </c>
      <c r="Y31" s="1066">
        <v>0</v>
      </c>
      <c r="Z31" s="1034">
        <f t="shared" si="64"/>
        <v>0</v>
      </c>
      <c r="AA31" s="1067">
        <f t="shared" si="18"/>
        <v>0</v>
      </c>
      <c r="AB31" s="1065">
        <f>'AG1'!AK34</f>
        <v>0</v>
      </c>
      <c r="AC31" s="1066">
        <v>0</v>
      </c>
      <c r="AD31" s="1066">
        <v>0</v>
      </c>
      <c r="AE31" s="1066">
        <v>0</v>
      </c>
      <c r="AF31" s="1067">
        <f>AB31+AC31+AD31+AE31</f>
        <v>0</v>
      </c>
      <c r="AG31" s="1066">
        <v>0</v>
      </c>
      <c r="AH31" s="1066">
        <v>0</v>
      </c>
      <c r="AI31" s="1034">
        <f t="shared" si="96"/>
        <v>0</v>
      </c>
      <c r="AJ31" s="1067">
        <f t="shared" si="26"/>
        <v>0</v>
      </c>
      <c r="AK31" s="1065">
        <f t="shared" si="97"/>
        <v>0</v>
      </c>
      <c r="AL31" s="1066">
        <f t="shared" si="98"/>
        <v>0</v>
      </c>
      <c r="AM31" s="1066">
        <f t="shared" si="99"/>
        <v>0</v>
      </c>
      <c r="AN31" s="1066">
        <f t="shared" si="100"/>
        <v>0</v>
      </c>
      <c r="AO31" s="1067">
        <f>AK31+AL31+AM31+AN31</f>
        <v>0</v>
      </c>
      <c r="AP31" s="1073"/>
      <c r="AQ31" s="1074">
        <v>0</v>
      </c>
      <c r="AR31" s="1075">
        <v>0</v>
      </c>
      <c r="AS31" s="1075">
        <v>0</v>
      </c>
      <c r="AT31" s="1075">
        <v>0</v>
      </c>
      <c r="AU31" s="1066">
        <v>0</v>
      </c>
      <c r="AV31" s="1067">
        <f t="shared" si="101"/>
        <v>0</v>
      </c>
      <c r="AW31" s="1034">
        <f t="shared" si="10"/>
        <v>0</v>
      </c>
      <c r="AX31" s="1071">
        <v>0</v>
      </c>
      <c r="AY31" s="1071">
        <v>0</v>
      </c>
      <c r="AZ31" s="1071">
        <v>0</v>
      </c>
      <c r="BA31" s="1076">
        <f t="shared" si="102"/>
        <v>0</v>
      </c>
      <c r="BB31" s="1066">
        <v>0</v>
      </c>
      <c r="BC31" s="1066">
        <v>0</v>
      </c>
      <c r="BD31" s="1066">
        <v>0</v>
      </c>
      <c r="BE31" s="1076">
        <f t="shared" si="22"/>
        <v>0</v>
      </c>
      <c r="BF31" s="1077">
        <v>0</v>
      </c>
      <c r="BG31" s="1071">
        <v>0</v>
      </c>
      <c r="BH31" s="1076">
        <v>0</v>
      </c>
      <c r="BI31" s="1077">
        <v>0</v>
      </c>
      <c r="BJ31" s="1071">
        <v>0</v>
      </c>
      <c r="BK31" s="1041">
        <v>0</v>
      </c>
      <c r="BL31" s="1077">
        <v>0</v>
      </c>
      <c r="BM31" s="1071">
        <v>0</v>
      </c>
      <c r="BN31" s="1041">
        <v>0</v>
      </c>
      <c r="BO31" s="1077">
        <v>0</v>
      </c>
      <c r="BP31" s="1062">
        <v>0</v>
      </c>
      <c r="BQ31" s="1078">
        <f t="shared" si="15"/>
        <v>0</v>
      </c>
      <c r="BR31" s="1062"/>
      <c r="BS31" s="1079">
        <f t="shared" si="16"/>
        <v>0</v>
      </c>
      <c r="BT31" s="284" t="s">
        <v>419</v>
      </c>
    </row>
    <row r="32" spans="1:72" s="140" customFormat="1" ht="18" customHeight="1" x14ac:dyDescent="0.2">
      <c r="A32" s="1057" t="s">
        <v>149</v>
      </c>
      <c r="B32" s="1058" t="s">
        <v>150</v>
      </c>
      <c r="C32" s="1016">
        <f t="shared" ref="C32:L32" si="103">SUM(C33:C34)</f>
        <v>12000</v>
      </c>
      <c r="D32" s="1000">
        <f t="shared" si="103"/>
        <v>0</v>
      </c>
      <c r="E32" s="1000">
        <f t="shared" si="103"/>
        <v>0</v>
      </c>
      <c r="F32" s="1000">
        <f t="shared" si="103"/>
        <v>0</v>
      </c>
      <c r="G32" s="1059">
        <f t="shared" si="103"/>
        <v>12000</v>
      </c>
      <c r="H32" s="1060">
        <f t="shared" si="103"/>
        <v>0</v>
      </c>
      <c r="I32" s="1019">
        <f t="shared" si="103"/>
        <v>0</v>
      </c>
      <c r="J32" s="1019">
        <f t="shared" si="103"/>
        <v>0</v>
      </c>
      <c r="K32" s="1019">
        <f t="shared" si="103"/>
        <v>0</v>
      </c>
      <c r="L32" s="1021">
        <f t="shared" si="103"/>
        <v>0</v>
      </c>
      <c r="M32" s="1028">
        <v>0</v>
      </c>
      <c r="N32" s="1022">
        <v>0</v>
      </c>
      <c r="O32" s="1022">
        <v>0</v>
      </c>
      <c r="P32" s="1022">
        <v>0</v>
      </c>
      <c r="Q32" s="1022">
        <v>0</v>
      </c>
      <c r="R32" s="1023">
        <f t="shared" si="3"/>
        <v>0</v>
      </c>
      <c r="S32" s="1016">
        <f t="shared" ref="S32:W32" si="104">SUM(S33:S34)</f>
        <v>0</v>
      </c>
      <c r="T32" s="1000">
        <f t="shared" si="104"/>
        <v>0</v>
      </c>
      <c r="U32" s="1000">
        <f t="shared" si="104"/>
        <v>0</v>
      </c>
      <c r="V32" s="1000">
        <f t="shared" si="104"/>
        <v>0</v>
      </c>
      <c r="W32" s="1059">
        <f t="shared" si="104"/>
        <v>0</v>
      </c>
      <c r="X32" s="1000">
        <f t="shared" ref="X32:Z32" si="105">SUM(X33:X34)</f>
        <v>0</v>
      </c>
      <c r="Y32" s="1000">
        <f t="shared" si="105"/>
        <v>0</v>
      </c>
      <c r="Z32" s="1059">
        <f t="shared" si="105"/>
        <v>0</v>
      </c>
      <c r="AA32" s="1059">
        <f t="shared" si="18"/>
        <v>0</v>
      </c>
      <c r="AB32" s="1016">
        <f t="shared" ref="AB32:AI32" si="106">SUM(AB33:AB34)</f>
        <v>0</v>
      </c>
      <c r="AC32" s="1000">
        <f t="shared" si="106"/>
        <v>0</v>
      </c>
      <c r="AD32" s="1000">
        <f t="shared" si="106"/>
        <v>0</v>
      </c>
      <c r="AE32" s="1000">
        <f t="shared" si="106"/>
        <v>0</v>
      </c>
      <c r="AF32" s="1059">
        <f t="shared" si="106"/>
        <v>0</v>
      </c>
      <c r="AG32" s="1000">
        <f t="shared" si="106"/>
        <v>0</v>
      </c>
      <c r="AH32" s="1000">
        <f t="shared" si="106"/>
        <v>0</v>
      </c>
      <c r="AI32" s="1059">
        <f t="shared" si="106"/>
        <v>0</v>
      </c>
      <c r="AJ32" s="1059">
        <f t="shared" si="26"/>
        <v>0</v>
      </c>
      <c r="AK32" s="1016">
        <f t="shared" ref="AK32:AV32" si="107">SUM(AK33:AK34)</f>
        <v>0</v>
      </c>
      <c r="AL32" s="1000">
        <f t="shared" si="107"/>
        <v>0</v>
      </c>
      <c r="AM32" s="1000">
        <f t="shared" si="107"/>
        <v>0</v>
      </c>
      <c r="AN32" s="1000">
        <f t="shared" si="107"/>
        <v>0</v>
      </c>
      <c r="AO32" s="1059">
        <f t="shared" si="107"/>
        <v>0</v>
      </c>
      <c r="AP32" s="1061"/>
      <c r="AQ32" s="999">
        <f t="shared" si="107"/>
        <v>0</v>
      </c>
      <c r="AR32" s="1010">
        <f t="shared" ref="AR32:AT32" si="108">SUM(AR33:AR34)</f>
        <v>0</v>
      </c>
      <c r="AS32" s="1010">
        <f t="shared" si="108"/>
        <v>0</v>
      </c>
      <c r="AT32" s="1010">
        <f t="shared" si="108"/>
        <v>0</v>
      </c>
      <c r="AU32" s="1000">
        <f t="shared" si="107"/>
        <v>0</v>
      </c>
      <c r="AV32" s="1059">
        <f t="shared" si="107"/>
        <v>0</v>
      </c>
      <c r="AW32" s="1059">
        <f t="shared" si="10"/>
        <v>0</v>
      </c>
      <c r="AX32" s="1022">
        <v>0</v>
      </c>
      <c r="AY32" s="1022">
        <v>0</v>
      </c>
      <c r="AZ32" s="1022">
        <v>0</v>
      </c>
      <c r="BA32" s="1027">
        <f>M32+N32+O32+AX32+AZ32</f>
        <v>0</v>
      </c>
      <c r="BB32" s="1000">
        <f t="shared" ref="BB32:BD32" si="109">SUM(BB33:BB34)</f>
        <v>0</v>
      </c>
      <c r="BC32" s="1000">
        <f t="shared" si="109"/>
        <v>0</v>
      </c>
      <c r="BD32" s="1000">
        <f t="shared" si="109"/>
        <v>0</v>
      </c>
      <c r="BE32" s="1027">
        <f>SUM(BB32:BD32)</f>
        <v>0</v>
      </c>
      <c r="BF32" s="1026">
        <v>0</v>
      </c>
      <c r="BG32" s="1022">
        <v>0</v>
      </c>
      <c r="BH32" s="1027">
        <v>0</v>
      </c>
      <c r="BI32" s="1026">
        <v>0</v>
      </c>
      <c r="BJ32" s="1022">
        <v>0</v>
      </c>
      <c r="BK32" s="1023">
        <v>0</v>
      </c>
      <c r="BL32" s="1026">
        <v>0</v>
      </c>
      <c r="BM32" s="1022">
        <v>0</v>
      </c>
      <c r="BN32" s="1023">
        <v>0</v>
      </c>
      <c r="BO32" s="1026">
        <v>0</v>
      </c>
      <c r="BP32" s="1028">
        <v>0</v>
      </c>
      <c r="BQ32" s="1008">
        <f t="shared" si="15"/>
        <v>0</v>
      </c>
      <c r="BR32" s="1028"/>
      <c r="BS32" s="1013">
        <f t="shared" si="16"/>
        <v>12000</v>
      </c>
      <c r="BT32" s="284" t="s">
        <v>419</v>
      </c>
    </row>
    <row r="33" spans="1:72" ht="18" customHeight="1" x14ac:dyDescent="0.2">
      <c r="A33" s="1050">
        <v>51601</v>
      </c>
      <c r="B33" s="1051" t="s">
        <v>151</v>
      </c>
      <c r="C33" s="1065">
        <f>'AG1'!G36</f>
        <v>12000</v>
      </c>
      <c r="D33" s="1066">
        <v>0</v>
      </c>
      <c r="E33" s="1066">
        <v>0</v>
      </c>
      <c r="F33" s="1066">
        <v>0</v>
      </c>
      <c r="G33" s="1067">
        <f>C33+D33+E33+F33</f>
        <v>12000</v>
      </c>
      <c r="H33" s="1068">
        <v>0</v>
      </c>
      <c r="I33" s="1069">
        <v>0</v>
      </c>
      <c r="J33" s="1069">
        <v>0</v>
      </c>
      <c r="K33" s="1069">
        <v>0</v>
      </c>
      <c r="L33" s="1070">
        <f t="shared" ref="L33" si="110">SUM(H33:K33)</f>
        <v>0</v>
      </c>
      <c r="M33" s="1062">
        <v>0</v>
      </c>
      <c r="N33" s="1071">
        <v>0</v>
      </c>
      <c r="O33" s="1071">
        <v>0</v>
      </c>
      <c r="P33" s="1071">
        <v>0</v>
      </c>
      <c r="Q33" s="1071">
        <v>0</v>
      </c>
      <c r="R33" s="1072">
        <f t="shared" si="3"/>
        <v>0</v>
      </c>
      <c r="S33" s="1065">
        <f>'AG1'!AB36</f>
        <v>0</v>
      </c>
      <c r="T33" s="1066">
        <v>0</v>
      </c>
      <c r="U33" s="1066">
        <v>0</v>
      </c>
      <c r="V33" s="1066">
        <v>0</v>
      </c>
      <c r="W33" s="1067">
        <f>S33+T33+U33+V33</f>
        <v>0</v>
      </c>
      <c r="X33" s="1066">
        <v>0</v>
      </c>
      <c r="Y33" s="1066">
        <v>0</v>
      </c>
      <c r="Z33" s="1034">
        <f t="shared" si="64"/>
        <v>0</v>
      </c>
      <c r="AA33" s="1067">
        <f t="shared" si="18"/>
        <v>0</v>
      </c>
      <c r="AB33" s="1065">
        <f>'AG1'!AK36</f>
        <v>0</v>
      </c>
      <c r="AC33" s="1066">
        <v>0</v>
      </c>
      <c r="AD33" s="1066">
        <v>0</v>
      </c>
      <c r="AE33" s="1066">
        <v>0</v>
      </c>
      <c r="AF33" s="1067">
        <f>AB33+AC33+AD33+AE33</f>
        <v>0</v>
      </c>
      <c r="AG33" s="1066">
        <v>0</v>
      </c>
      <c r="AH33" s="1066">
        <v>0</v>
      </c>
      <c r="AI33" s="1034">
        <f t="shared" ref="AI33:AI34" si="111">SUM(AG33:AH33)</f>
        <v>0</v>
      </c>
      <c r="AJ33" s="1067">
        <f t="shared" si="26"/>
        <v>0</v>
      </c>
      <c r="AK33" s="1065">
        <f t="shared" ref="AK33:AK34" si="112">S33+AB33</f>
        <v>0</v>
      </c>
      <c r="AL33" s="1066">
        <f t="shared" ref="AL33:AL34" si="113">T33+AC33</f>
        <v>0</v>
      </c>
      <c r="AM33" s="1066">
        <f t="shared" ref="AM33:AM34" si="114">U33+AD33</f>
        <v>0</v>
      </c>
      <c r="AN33" s="1066">
        <f t="shared" ref="AN33:AN34" si="115">V33+AE33</f>
        <v>0</v>
      </c>
      <c r="AO33" s="1067">
        <f>AK33+AL33+AM33+AN33</f>
        <v>0</v>
      </c>
      <c r="AP33" s="1073"/>
      <c r="AQ33" s="1074">
        <v>0</v>
      </c>
      <c r="AR33" s="1075">
        <v>0</v>
      </c>
      <c r="AS33" s="1075">
        <v>0</v>
      </c>
      <c r="AT33" s="1075">
        <v>0</v>
      </c>
      <c r="AU33" s="1066">
        <v>0</v>
      </c>
      <c r="AV33" s="1067">
        <f t="shared" ref="AV33:AV34" si="116">SUM(AQ33:AU33)</f>
        <v>0</v>
      </c>
      <c r="AW33" s="1034">
        <f t="shared" si="10"/>
        <v>0</v>
      </c>
      <c r="AX33" s="1071">
        <v>0</v>
      </c>
      <c r="AY33" s="1071">
        <v>0</v>
      </c>
      <c r="AZ33" s="1071">
        <v>0</v>
      </c>
      <c r="BA33" s="1076">
        <f t="shared" ref="BA33:BA34" si="117">SUM(AX33:AZ33)</f>
        <v>0</v>
      </c>
      <c r="BB33" s="1066">
        <f>AB33+AK33</f>
        <v>0</v>
      </c>
      <c r="BC33" s="1066">
        <f>AC33+AL33</f>
        <v>0</v>
      </c>
      <c r="BD33" s="1066">
        <f>AV33+AW33+BB33+BC33</f>
        <v>0</v>
      </c>
      <c r="BE33" s="1076">
        <f t="shared" si="22"/>
        <v>0</v>
      </c>
      <c r="BF33" s="1077">
        <v>0</v>
      </c>
      <c r="BG33" s="1071">
        <v>0</v>
      </c>
      <c r="BH33" s="1076">
        <v>0</v>
      </c>
      <c r="BI33" s="1077">
        <v>0</v>
      </c>
      <c r="BJ33" s="1071">
        <v>0</v>
      </c>
      <c r="BK33" s="1041">
        <v>0</v>
      </c>
      <c r="BL33" s="1077">
        <v>0</v>
      </c>
      <c r="BM33" s="1071">
        <v>0</v>
      </c>
      <c r="BN33" s="1041">
        <v>0</v>
      </c>
      <c r="BO33" s="1077">
        <v>0</v>
      </c>
      <c r="BP33" s="1062">
        <v>0</v>
      </c>
      <c r="BQ33" s="1078">
        <f t="shared" si="15"/>
        <v>0</v>
      </c>
      <c r="BR33" s="1062"/>
      <c r="BS33" s="1079">
        <f t="shared" si="16"/>
        <v>12000</v>
      </c>
      <c r="BT33" s="284" t="s">
        <v>419</v>
      </c>
    </row>
    <row r="34" spans="1:72" ht="18" hidden="1" customHeight="1" x14ac:dyDescent="0.2">
      <c r="A34" s="1050">
        <v>51602</v>
      </c>
      <c r="B34" s="1051" t="s">
        <v>152</v>
      </c>
      <c r="C34" s="1065">
        <v>0</v>
      </c>
      <c r="D34" s="1066">
        <v>0</v>
      </c>
      <c r="E34" s="1066">
        <v>0</v>
      </c>
      <c r="F34" s="1066">
        <v>0</v>
      </c>
      <c r="G34" s="1067">
        <f>C34+D34+E34+F34</f>
        <v>0</v>
      </c>
      <c r="H34" s="1068">
        <v>0</v>
      </c>
      <c r="I34" s="1069">
        <v>0</v>
      </c>
      <c r="J34" s="1069">
        <v>0</v>
      </c>
      <c r="K34" s="1069">
        <v>0</v>
      </c>
      <c r="L34" s="1070">
        <f t="shared" ref="L34" si="118">SUM(H34:K34)</f>
        <v>0</v>
      </c>
      <c r="M34" s="1062">
        <v>0</v>
      </c>
      <c r="N34" s="1071">
        <v>0</v>
      </c>
      <c r="O34" s="1071">
        <v>0</v>
      </c>
      <c r="P34" s="1071">
        <v>0</v>
      </c>
      <c r="Q34" s="1071">
        <v>0</v>
      </c>
      <c r="R34" s="1072">
        <f t="shared" si="3"/>
        <v>0</v>
      </c>
      <c r="S34" s="1065">
        <v>0</v>
      </c>
      <c r="T34" s="1066">
        <v>0</v>
      </c>
      <c r="U34" s="1066">
        <v>0</v>
      </c>
      <c r="V34" s="1066">
        <v>0</v>
      </c>
      <c r="W34" s="1067">
        <f>S34+T34+U34+V34</f>
        <v>0</v>
      </c>
      <c r="X34" s="1066">
        <v>0</v>
      </c>
      <c r="Y34" s="1066">
        <v>0</v>
      </c>
      <c r="Z34" s="1034">
        <f t="shared" si="64"/>
        <v>0</v>
      </c>
      <c r="AA34" s="1067">
        <f t="shared" si="18"/>
        <v>0</v>
      </c>
      <c r="AB34" s="1065">
        <v>0</v>
      </c>
      <c r="AC34" s="1066">
        <v>0</v>
      </c>
      <c r="AD34" s="1066">
        <v>0</v>
      </c>
      <c r="AE34" s="1066">
        <v>0</v>
      </c>
      <c r="AF34" s="1067">
        <f>AB34+AC34+AD34+AE34</f>
        <v>0</v>
      </c>
      <c r="AG34" s="1066">
        <v>0</v>
      </c>
      <c r="AH34" s="1066">
        <v>0</v>
      </c>
      <c r="AI34" s="1034">
        <f t="shared" si="111"/>
        <v>0</v>
      </c>
      <c r="AJ34" s="1067">
        <f t="shared" si="26"/>
        <v>0</v>
      </c>
      <c r="AK34" s="1065">
        <f t="shared" si="112"/>
        <v>0</v>
      </c>
      <c r="AL34" s="1066">
        <f t="shared" si="113"/>
        <v>0</v>
      </c>
      <c r="AM34" s="1066">
        <f t="shared" si="114"/>
        <v>0</v>
      </c>
      <c r="AN34" s="1066">
        <f t="shared" si="115"/>
        <v>0</v>
      </c>
      <c r="AO34" s="1067">
        <f>AK34+AL34+AM34+AN34</f>
        <v>0</v>
      </c>
      <c r="AP34" s="1073"/>
      <c r="AQ34" s="1074">
        <v>0</v>
      </c>
      <c r="AR34" s="1075">
        <v>0</v>
      </c>
      <c r="AS34" s="1075">
        <v>0</v>
      </c>
      <c r="AT34" s="1075">
        <v>0</v>
      </c>
      <c r="AU34" s="1066">
        <v>0</v>
      </c>
      <c r="AV34" s="1067">
        <f t="shared" si="116"/>
        <v>0</v>
      </c>
      <c r="AW34" s="1034">
        <f t="shared" si="10"/>
        <v>0</v>
      </c>
      <c r="AX34" s="1071">
        <v>0</v>
      </c>
      <c r="AY34" s="1071">
        <v>0</v>
      </c>
      <c r="AZ34" s="1071">
        <v>0</v>
      </c>
      <c r="BA34" s="1076">
        <f t="shared" si="117"/>
        <v>0</v>
      </c>
      <c r="BB34" s="1066">
        <f>AB34+AK34</f>
        <v>0</v>
      </c>
      <c r="BC34" s="1066">
        <f>AC34+AL34</f>
        <v>0</v>
      </c>
      <c r="BD34" s="1066">
        <f>AV34+AW34+BB34+BC34</f>
        <v>0</v>
      </c>
      <c r="BE34" s="1076">
        <f t="shared" si="22"/>
        <v>0</v>
      </c>
      <c r="BF34" s="1077">
        <v>0</v>
      </c>
      <c r="BG34" s="1071">
        <v>0</v>
      </c>
      <c r="BH34" s="1076">
        <v>0</v>
      </c>
      <c r="BI34" s="1077">
        <v>0</v>
      </c>
      <c r="BJ34" s="1071">
        <v>0</v>
      </c>
      <c r="BK34" s="1041">
        <v>0</v>
      </c>
      <c r="BL34" s="1077">
        <v>0</v>
      </c>
      <c r="BM34" s="1071">
        <v>0</v>
      </c>
      <c r="BN34" s="1041">
        <v>0</v>
      </c>
      <c r="BO34" s="1077">
        <v>0</v>
      </c>
      <c r="BP34" s="1062">
        <v>0</v>
      </c>
      <c r="BQ34" s="1078">
        <f t="shared" si="15"/>
        <v>0</v>
      </c>
      <c r="BR34" s="1062"/>
      <c r="BS34" s="1079">
        <f t="shared" si="16"/>
        <v>0</v>
      </c>
      <c r="BT34" s="284" t="s">
        <v>419</v>
      </c>
    </row>
    <row r="35" spans="1:72" s="140" customFormat="1" ht="18" customHeight="1" x14ac:dyDescent="0.2">
      <c r="A35" s="1014">
        <v>517</v>
      </c>
      <c r="B35" s="1080" t="s">
        <v>153</v>
      </c>
      <c r="C35" s="1016">
        <f t="shared" ref="C35:K35" si="119">SUM(C36:C37)</f>
        <v>0</v>
      </c>
      <c r="D35" s="1000">
        <f t="shared" si="119"/>
        <v>0</v>
      </c>
      <c r="E35" s="1000">
        <f t="shared" si="119"/>
        <v>0</v>
      </c>
      <c r="F35" s="1000">
        <f t="shared" si="119"/>
        <v>0</v>
      </c>
      <c r="G35" s="1059">
        <f t="shared" si="119"/>
        <v>0</v>
      </c>
      <c r="H35" s="1060">
        <f t="shared" si="119"/>
        <v>0</v>
      </c>
      <c r="I35" s="1019">
        <f t="shared" si="119"/>
        <v>0</v>
      </c>
      <c r="J35" s="1019">
        <f t="shared" si="119"/>
        <v>0</v>
      </c>
      <c r="K35" s="1019">
        <f t="shared" si="119"/>
        <v>0</v>
      </c>
      <c r="L35" s="1021">
        <f>SUM(L36:L37)</f>
        <v>0</v>
      </c>
      <c r="M35" s="1028">
        <v>0</v>
      </c>
      <c r="N35" s="1022">
        <v>0</v>
      </c>
      <c r="O35" s="1022">
        <v>0</v>
      </c>
      <c r="P35" s="1022">
        <v>0</v>
      </c>
      <c r="Q35" s="1022">
        <v>0</v>
      </c>
      <c r="R35" s="1023">
        <f t="shared" si="3"/>
        <v>0</v>
      </c>
      <c r="S35" s="1016">
        <f t="shared" ref="S35:W35" si="120">SUM(S36:S37)</f>
        <v>0</v>
      </c>
      <c r="T35" s="1000">
        <f t="shared" si="120"/>
        <v>0</v>
      </c>
      <c r="U35" s="1000">
        <f t="shared" si="120"/>
        <v>0</v>
      </c>
      <c r="V35" s="1000">
        <f t="shared" si="120"/>
        <v>0</v>
      </c>
      <c r="W35" s="1059">
        <f t="shared" si="120"/>
        <v>0</v>
      </c>
      <c r="X35" s="1000">
        <f t="shared" ref="X35:Z35" si="121">SUM(X36:X37)</f>
        <v>0</v>
      </c>
      <c r="Y35" s="1000">
        <f t="shared" si="121"/>
        <v>0</v>
      </c>
      <c r="Z35" s="1059">
        <f t="shared" si="121"/>
        <v>0</v>
      </c>
      <c r="AA35" s="1059">
        <f t="shared" si="18"/>
        <v>0</v>
      </c>
      <c r="AB35" s="1016">
        <f t="shared" ref="AB35:AI35" si="122">SUM(AB36:AB37)</f>
        <v>0</v>
      </c>
      <c r="AC35" s="1000">
        <f t="shared" si="122"/>
        <v>0</v>
      </c>
      <c r="AD35" s="1000">
        <f t="shared" si="122"/>
        <v>0</v>
      </c>
      <c r="AE35" s="1000">
        <f t="shared" si="122"/>
        <v>0</v>
      </c>
      <c r="AF35" s="1059">
        <f t="shared" si="122"/>
        <v>0</v>
      </c>
      <c r="AG35" s="1000">
        <f t="shared" si="122"/>
        <v>0</v>
      </c>
      <c r="AH35" s="1000">
        <f t="shared" si="122"/>
        <v>0</v>
      </c>
      <c r="AI35" s="1059">
        <f t="shared" si="122"/>
        <v>0</v>
      </c>
      <c r="AJ35" s="1059">
        <f t="shared" si="26"/>
        <v>0</v>
      </c>
      <c r="AK35" s="1016">
        <f t="shared" ref="AK35:AV35" si="123">SUM(AK36:AK37)</f>
        <v>0</v>
      </c>
      <c r="AL35" s="1000">
        <f t="shared" si="123"/>
        <v>0</v>
      </c>
      <c r="AM35" s="1000">
        <f t="shared" si="123"/>
        <v>0</v>
      </c>
      <c r="AN35" s="1000">
        <f t="shared" si="123"/>
        <v>0</v>
      </c>
      <c r="AO35" s="1059">
        <f t="shared" si="123"/>
        <v>0</v>
      </c>
      <c r="AP35" s="1061"/>
      <c r="AQ35" s="999">
        <f t="shared" si="123"/>
        <v>0</v>
      </c>
      <c r="AR35" s="1010">
        <f t="shared" ref="AR35:AT35" si="124">SUM(AR36:AR37)</f>
        <v>0</v>
      </c>
      <c r="AS35" s="1010">
        <f t="shared" si="124"/>
        <v>0</v>
      </c>
      <c r="AT35" s="1010">
        <f t="shared" si="124"/>
        <v>0</v>
      </c>
      <c r="AU35" s="1000">
        <f t="shared" si="123"/>
        <v>0</v>
      </c>
      <c r="AV35" s="1059">
        <f t="shared" si="123"/>
        <v>0</v>
      </c>
      <c r="AW35" s="1059">
        <f t="shared" si="10"/>
        <v>0</v>
      </c>
      <c r="AX35" s="1022">
        <v>0</v>
      </c>
      <c r="AY35" s="1022">
        <v>0</v>
      </c>
      <c r="AZ35" s="1022">
        <v>0</v>
      </c>
      <c r="BA35" s="1027">
        <f>M35+N35+O35+AX35</f>
        <v>0</v>
      </c>
      <c r="BB35" s="1000">
        <f t="shared" ref="BB35:BD35" si="125">SUM(BB36:BB37)</f>
        <v>0</v>
      </c>
      <c r="BC35" s="1000">
        <f t="shared" si="125"/>
        <v>0</v>
      </c>
      <c r="BD35" s="1000">
        <f t="shared" si="125"/>
        <v>0</v>
      </c>
      <c r="BE35" s="1027">
        <f>SUM(BB35:BD35)</f>
        <v>0</v>
      </c>
      <c r="BF35" s="1026">
        <v>0</v>
      </c>
      <c r="BG35" s="1022">
        <v>0</v>
      </c>
      <c r="BH35" s="1027">
        <v>0</v>
      </c>
      <c r="BI35" s="1026">
        <v>0</v>
      </c>
      <c r="BJ35" s="1022">
        <v>0</v>
      </c>
      <c r="BK35" s="1023">
        <v>0</v>
      </c>
      <c r="BL35" s="1026">
        <v>0</v>
      </c>
      <c r="BM35" s="1022">
        <v>0</v>
      </c>
      <c r="BN35" s="1023">
        <v>0</v>
      </c>
      <c r="BO35" s="1026">
        <v>0</v>
      </c>
      <c r="BP35" s="1028">
        <v>0</v>
      </c>
      <c r="BQ35" s="1008">
        <f t="shared" si="15"/>
        <v>0</v>
      </c>
      <c r="BR35" s="1028"/>
      <c r="BS35" s="1013">
        <f t="shared" si="16"/>
        <v>0</v>
      </c>
      <c r="BT35" s="284" t="s">
        <v>419</v>
      </c>
    </row>
    <row r="36" spans="1:72" ht="18" customHeight="1" x14ac:dyDescent="0.2">
      <c r="A36" s="1050">
        <v>51701</v>
      </c>
      <c r="B36" s="1051" t="s">
        <v>154</v>
      </c>
      <c r="C36" s="1065">
        <f>'AG1'!G39</f>
        <v>0</v>
      </c>
      <c r="D36" s="1066">
        <v>0</v>
      </c>
      <c r="E36" s="1066">
        <v>0</v>
      </c>
      <c r="F36" s="1066">
        <v>0</v>
      </c>
      <c r="G36" s="1067">
        <f>C36+D36+E36+F36</f>
        <v>0</v>
      </c>
      <c r="H36" s="1068">
        <v>0</v>
      </c>
      <c r="I36" s="1069">
        <v>0</v>
      </c>
      <c r="J36" s="1069">
        <v>0</v>
      </c>
      <c r="K36" s="1069">
        <f>'AG1'!F39</f>
        <v>0</v>
      </c>
      <c r="L36" s="1070">
        <f t="shared" ref="L36:L37" si="126">SUM(H36:K36)</f>
        <v>0</v>
      </c>
      <c r="M36" s="1062">
        <v>0</v>
      </c>
      <c r="N36" s="1071">
        <v>0</v>
      </c>
      <c r="O36" s="1071">
        <v>0</v>
      </c>
      <c r="P36" s="1071">
        <v>0</v>
      </c>
      <c r="Q36" s="1071">
        <v>0</v>
      </c>
      <c r="R36" s="1072">
        <f t="shared" si="3"/>
        <v>0</v>
      </c>
      <c r="S36" s="1065">
        <v>0</v>
      </c>
      <c r="T36" s="1066">
        <v>0</v>
      </c>
      <c r="U36" s="1066">
        <v>0</v>
      </c>
      <c r="V36" s="1066">
        <v>0</v>
      </c>
      <c r="W36" s="1067">
        <f>S36+T36+U36+V36</f>
        <v>0</v>
      </c>
      <c r="X36" s="1066">
        <v>0</v>
      </c>
      <c r="Y36" s="1066">
        <v>0</v>
      </c>
      <c r="Z36" s="1034">
        <f t="shared" si="64"/>
        <v>0</v>
      </c>
      <c r="AA36" s="1067">
        <f t="shared" si="18"/>
        <v>0</v>
      </c>
      <c r="AB36" s="1065">
        <v>0</v>
      </c>
      <c r="AC36" s="1066">
        <v>0</v>
      </c>
      <c r="AD36" s="1066">
        <v>0</v>
      </c>
      <c r="AE36" s="1066">
        <v>0</v>
      </c>
      <c r="AF36" s="1067">
        <f>AB36+AC36+AD36+AE36</f>
        <v>0</v>
      </c>
      <c r="AG36" s="1066">
        <v>0</v>
      </c>
      <c r="AH36" s="1066">
        <v>0</v>
      </c>
      <c r="AI36" s="1034">
        <f t="shared" ref="AI36:AI37" si="127">SUM(AG36:AH36)</f>
        <v>0</v>
      </c>
      <c r="AJ36" s="1067">
        <f t="shared" si="26"/>
        <v>0</v>
      </c>
      <c r="AK36" s="1065">
        <f t="shared" ref="AK36:AK37" si="128">S36+AB36</f>
        <v>0</v>
      </c>
      <c r="AL36" s="1066">
        <f t="shared" ref="AL36:AL37" si="129">T36+AC36</f>
        <v>0</v>
      </c>
      <c r="AM36" s="1066">
        <f t="shared" ref="AM36:AM37" si="130">U36+AD36</f>
        <v>0</v>
      </c>
      <c r="AN36" s="1066">
        <f t="shared" ref="AN36:AN37" si="131">V36+AE36</f>
        <v>0</v>
      </c>
      <c r="AO36" s="1067">
        <f>AK36+AL36+AM36+AN36</f>
        <v>0</v>
      </c>
      <c r="AP36" s="1073"/>
      <c r="AQ36" s="1074">
        <v>0</v>
      </c>
      <c r="AR36" s="1075">
        <v>0</v>
      </c>
      <c r="AS36" s="1075">
        <v>0</v>
      </c>
      <c r="AT36" s="1075">
        <v>0</v>
      </c>
      <c r="AU36" s="1066">
        <v>0</v>
      </c>
      <c r="AV36" s="1067">
        <f t="shared" ref="AV36:AV37" si="132">SUM(AQ36:AU36)</f>
        <v>0</v>
      </c>
      <c r="AW36" s="1034">
        <f t="shared" si="10"/>
        <v>0</v>
      </c>
      <c r="AX36" s="1071">
        <v>0</v>
      </c>
      <c r="AY36" s="1071">
        <v>0</v>
      </c>
      <c r="AZ36" s="1071">
        <v>0</v>
      </c>
      <c r="BA36" s="1076">
        <f t="shared" ref="BA36:BA39" si="133">SUM(AX36:AZ36)</f>
        <v>0</v>
      </c>
      <c r="BB36" s="1066">
        <v>0</v>
      </c>
      <c r="BC36" s="1066">
        <v>0</v>
      </c>
      <c r="BD36" s="1066">
        <v>0</v>
      </c>
      <c r="BE36" s="1076">
        <f t="shared" si="22"/>
        <v>0</v>
      </c>
      <c r="BF36" s="1077">
        <v>0</v>
      </c>
      <c r="BG36" s="1071">
        <v>0</v>
      </c>
      <c r="BH36" s="1076">
        <v>0</v>
      </c>
      <c r="BI36" s="1077">
        <v>0</v>
      </c>
      <c r="BJ36" s="1071">
        <v>0</v>
      </c>
      <c r="BK36" s="1041">
        <v>0</v>
      </c>
      <c r="BL36" s="1077">
        <v>0</v>
      </c>
      <c r="BM36" s="1071">
        <v>0</v>
      </c>
      <c r="BN36" s="1041">
        <v>0</v>
      </c>
      <c r="BO36" s="1077">
        <v>0</v>
      </c>
      <c r="BP36" s="1062">
        <v>0</v>
      </c>
      <c r="BQ36" s="1078">
        <f t="shared" si="15"/>
        <v>0</v>
      </c>
      <c r="BR36" s="1062"/>
      <c r="BS36" s="1079">
        <f t="shared" si="16"/>
        <v>0</v>
      </c>
      <c r="BT36" s="284" t="s">
        <v>419</v>
      </c>
    </row>
    <row r="37" spans="1:72" ht="18" hidden="1" customHeight="1" x14ac:dyDescent="0.2">
      <c r="A37" s="1050">
        <v>51702</v>
      </c>
      <c r="B37" s="1051" t="s">
        <v>155</v>
      </c>
      <c r="C37" s="1065">
        <v>0</v>
      </c>
      <c r="D37" s="1066">
        <v>0</v>
      </c>
      <c r="E37" s="1066">
        <v>0</v>
      </c>
      <c r="F37" s="1066">
        <v>0</v>
      </c>
      <c r="G37" s="1067">
        <f>C37+D37+E37+F37</f>
        <v>0</v>
      </c>
      <c r="H37" s="1068">
        <v>0</v>
      </c>
      <c r="I37" s="1069">
        <v>0</v>
      </c>
      <c r="J37" s="1069">
        <v>0</v>
      </c>
      <c r="K37" s="1069">
        <v>0</v>
      </c>
      <c r="L37" s="1070">
        <f t="shared" si="126"/>
        <v>0</v>
      </c>
      <c r="M37" s="1062">
        <v>0</v>
      </c>
      <c r="N37" s="1071">
        <v>0</v>
      </c>
      <c r="O37" s="1071">
        <v>0</v>
      </c>
      <c r="P37" s="1071">
        <v>0</v>
      </c>
      <c r="Q37" s="1071">
        <v>0</v>
      </c>
      <c r="R37" s="1072">
        <f t="shared" si="3"/>
        <v>0</v>
      </c>
      <c r="S37" s="1065">
        <v>0</v>
      </c>
      <c r="T37" s="1066">
        <v>0</v>
      </c>
      <c r="U37" s="1066">
        <v>0</v>
      </c>
      <c r="V37" s="1066">
        <v>0</v>
      </c>
      <c r="W37" s="1067">
        <f>S37+T37+U37+V37</f>
        <v>0</v>
      </c>
      <c r="X37" s="1066">
        <v>0</v>
      </c>
      <c r="Y37" s="1066">
        <v>0</v>
      </c>
      <c r="Z37" s="1034">
        <f t="shared" si="64"/>
        <v>0</v>
      </c>
      <c r="AA37" s="1067">
        <f t="shared" si="18"/>
        <v>0</v>
      </c>
      <c r="AB37" s="1065">
        <v>0</v>
      </c>
      <c r="AC37" s="1066">
        <v>0</v>
      </c>
      <c r="AD37" s="1066">
        <v>0</v>
      </c>
      <c r="AE37" s="1066">
        <v>0</v>
      </c>
      <c r="AF37" s="1067">
        <f>AB37+AC37+AD37+AE37</f>
        <v>0</v>
      </c>
      <c r="AG37" s="1066">
        <v>0</v>
      </c>
      <c r="AH37" s="1066">
        <v>0</v>
      </c>
      <c r="AI37" s="1034">
        <f t="shared" si="127"/>
        <v>0</v>
      </c>
      <c r="AJ37" s="1067">
        <f t="shared" si="26"/>
        <v>0</v>
      </c>
      <c r="AK37" s="1065">
        <f t="shared" si="128"/>
        <v>0</v>
      </c>
      <c r="AL37" s="1066">
        <f t="shared" si="129"/>
        <v>0</v>
      </c>
      <c r="AM37" s="1066">
        <f t="shared" si="130"/>
        <v>0</v>
      </c>
      <c r="AN37" s="1066">
        <f t="shared" si="131"/>
        <v>0</v>
      </c>
      <c r="AO37" s="1067">
        <f>AK37+AL37+AM37+AN37</f>
        <v>0</v>
      </c>
      <c r="AP37" s="1073"/>
      <c r="AQ37" s="1074">
        <v>0</v>
      </c>
      <c r="AR37" s="1075">
        <v>0</v>
      </c>
      <c r="AS37" s="1075">
        <v>0</v>
      </c>
      <c r="AT37" s="1075">
        <v>0</v>
      </c>
      <c r="AU37" s="1066">
        <v>0</v>
      </c>
      <c r="AV37" s="1067">
        <f t="shared" si="132"/>
        <v>0</v>
      </c>
      <c r="AW37" s="1034">
        <f t="shared" si="10"/>
        <v>0</v>
      </c>
      <c r="AX37" s="1071">
        <v>0</v>
      </c>
      <c r="AY37" s="1071">
        <v>0</v>
      </c>
      <c r="AZ37" s="1071">
        <v>0</v>
      </c>
      <c r="BA37" s="1076">
        <f t="shared" si="133"/>
        <v>0</v>
      </c>
      <c r="BB37" s="1066">
        <v>0</v>
      </c>
      <c r="BC37" s="1066">
        <v>0</v>
      </c>
      <c r="BD37" s="1066">
        <v>0</v>
      </c>
      <c r="BE37" s="1076">
        <f t="shared" si="22"/>
        <v>0</v>
      </c>
      <c r="BF37" s="1077">
        <v>0</v>
      </c>
      <c r="BG37" s="1071">
        <v>0</v>
      </c>
      <c r="BH37" s="1076">
        <v>0</v>
      </c>
      <c r="BI37" s="1077">
        <v>0</v>
      </c>
      <c r="BJ37" s="1071">
        <v>0</v>
      </c>
      <c r="BK37" s="1041">
        <v>0</v>
      </c>
      <c r="BL37" s="1077">
        <v>0</v>
      </c>
      <c r="BM37" s="1071">
        <v>0</v>
      </c>
      <c r="BN37" s="1041">
        <v>0</v>
      </c>
      <c r="BO37" s="1077">
        <v>0</v>
      </c>
      <c r="BP37" s="1062">
        <v>0</v>
      </c>
      <c r="BQ37" s="1078">
        <f t="shared" si="15"/>
        <v>0</v>
      </c>
      <c r="BR37" s="1062"/>
      <c r="BS37" s="1079">
        <f t="shared" si="16"/>
        <v>0</v>
      </c>
      <c r="BT37" s="284" t="s">
        <v>419</v>
      </c>
    </row>
    <row r="38" spans="1:72" ht="18" hidden="1" customHeight="1" x14ac:dyDescent="0.2">
      <c r="A38" s="1014">
        <v>518</v>
      </c>
      <c r="B38" s="1080" t="s">
        <v>156</v>
      </c>
      <c r="C38" s="1016">
        <f>SUM(C39)</f>
        <v>0</v>
      </c>
      <c r="D38" s="1000">
        <f>SUM(D39)</f>
        <v>0</v>
      </c>
      <c r="E38" s="1000">
        <f>SUM(E39)</f>
        <v>0</v>
      </c>
      <c r="F38" s="1000">
        <f>SUM(F39)</f>
        <v>0</v>
      </c>
      <c r="G38" s="1059">
        <f>SUM(G39)</f>
        <v>0</v>
      </c>
      <c r="H38" s="1060">
        <f>SUM(H39:H39)</f>
        <v>0</v>
      </c>
      <c r="I38" s="1019">
        <f>SUM(I39:I40)</f>
        <v>0</v>
      </c>
      <c r="J38" s="1019">
        <f>SUM(J39:J40)</f>
        <v>0</v>
      </c>
      <c r="K38" s="1019">
        <f>SUM(K39:K40)</f>
        <v>0</v>
      </c>
      <c r="L38" s="1021">
        <f>SUM(L39:L39)</f>
        <v>0</v>
      </c>
      <c r="M38" s="1062">
        <v>0</v>
      </c>
      <c r="N38" s="1071">
        <v>0</v>
      </c>
      <c r="O38" s="1071">
        <v>0</v>
      </c>
      <c r="P38" s="1071">
        <v>0</v>
      </c>
      <c r="Q38" s="1071">
        <v>0</v>
      </c>
      <c r="R38" s="1072">
        <f t="shared" si="3"/>
        <v>0</v>
      </c>
      <c r="S38" s="1016">
        <f t="shared" ref="S38:Z38" si="134">SUM(S39)</f>
        <v>0</v>
      </c>
      <c r="T38" s="1000">
        <f t="shared" si="134"/>
        <v>0</v>
      </c>
      <c r="U38" s="1000">
        <f t="shared" si="134"/>
        <v>0</v>
      </c>
      <c r="V38" s="1000">
        <f t="shared" si="134"/>
        <v>0</v>
      </c>
      <c r="W38" s="1059">
        <f t="shared" si="134"/>
        <v>0</v>
      </c>
      <c r="X38" s="1000">
        <f t="shared" si="134"/>
        <v>0</v>
      </c>
      <c r="Y38" s="1000">
        <f t="shared" si="134"/>
        <v>0</v>
      </c>
      <c r="Z38" s="1059">
        <f t="shared" si="134"/>
        <v>0</v>
      </c>
      <c r="AA38" s="1059">
        <f t="shared" si="18"/>
        <v>0</v>
      </c>
      <c r="AB38" s="1016">
        <f t="shared" ref="AB38:AI38" si="135">SUM(AB39)</f>
        <v>0</v>
      </c>
      <c r="AC38" s="1000">
        <f t="shared" si="135"/>
        <v>0</v>
      </c>
      <c r="AD38" s="1000">
        <f t="shared" si="135"/>
        <v>0</v>
      </c>
      <c r="AE38" s="1000">
        <f t="shared" si="135"/>
        <v>0</v>
      </c>
      <c r="AF38" s="1059">
        <f t="shared" si="135"/>
        <v>0</v>
      </c>
      <c r="AG38" s="1000">
        <f t="shared" si="135"/>
        <v>0</v>
      </c>
      <c r="AH38" s="1000">
        <f t="shared" si="135"/>
        <v>0</v>
      </c>
      <c r="AI38" s="1059">
        <f t="shared" si="135"/>
        <v>0</v>
      </c>
      <c r="AJ38" s="1059">
        <f t="shared" si="26"/>
        <v>0</v>
      </c>
      <c r="AK38" s="1016">
        <f t="shared" ref="AK38:AV38" si="136">SUM(AK39)</f>
        <v>0</v>
      </c>
      <c r="AL38" s="1000">
        <f t="shared" si="136"/>
        <v>0</v>
      </c>
      <c r="AM38" s="1000">
        <f t="shared" si="136"/>
        <v>0</v>
      </c>
      <c r="AN38" s="1000">
        <f t="shared" si="136"/>
        <v>0</v>
      </c>
      <c r="AO38" s="1059">
        <f t="shared" si="136"/>
        <v>0</v>
      </c>
      <c r="AP38" s="1061"/>
      <c r="AQ38" s="999">
        <f t="shared" si="136"/>
        <v>0</v>
      </c>
      <c r="AR38" s="1010">
        <f t="shared" si="136"/>
        <v>0</v>
      </c>
      <c r="AS38" s="1010">
        <f t="shared" si="136"/>
        <v>0</v>
      </c>
      <c r="AT38" s="1010">
        <f t="shared" si="136"/>
        <v>0</v>
      </c>
      <c r="AU38" s="1000">
        <f t="shared" si="136"/>
        <v>0</v>
      </c>
      <c r="AV38" s="1059">
        <f t="shared" si="136"/>
        <v>0</v>
      </c>
      <c r="AW38" s="1059">
        <f t="shared" si="10"/>
        <v>0</v>
      </c>
      <c r="AX38" s="1071">
        <v>0</v>
      </c>
      <c r="AY38" s="1071">
        <v>0</v>
      </c>
      <c r="AZ38" s="1071">
        <v>0</v>
      </c>
      <c r="BA38" s="1076">
        <f t="shared" si="133"/>
        <v>0</v>
      </c>
      <c r="BB38" s="1000">
        <f>SUM(BB39)</f>
        <v>0</v>
      </c>
      <c r="BC38" s="1000">
        <f>SUM(BC39)</f>
        <v>0</v>
      </c>
      <c r="BD38" s="1000">
        <f>SUM(BD39)</f>
        <v>0</v>
      </c>
      <c r="BE38" s="1076">
        <f>SUM(BB38:BD38)</f>
        <v>0</v>
      </c>
      <c r="BF38" s="1077">
        <v>0</v>
      </c>
      <c r="BG38" s="1071">
        <v>0</v>
      </c>
      <c r="BH38" s="1076">
        <v>0</v>
      </c>
      <c r="BI38" s="1077">
        <v>0</v>
      </c>
      <c r="BJ38" s="1071">
        <v>0</v>
      </c>
      <c r="BK38" s="1041">
        <v>0</v>
      </c>
      <c r="BL38" s="1077">
        <v>0</v>
      </c>
      <c r="BM38" s="1071">
        <v>0</v>
      </c>
      <c r="BN38" s="1041">
        <v>0</v>
      </c>
      <c r="BO38" s="1077">
        <v>0</v>
      </c>
      <c r="BP38" s="1062">
        <v>0</v>
      </c>
      <c r="BQ38" s="1078">
        <f t="shared" si="15"/>
        <v>0</v>
      </c>
      <c r="BR38" s="1062"/>
      <c r="BS38" s="1013">
        <f t="shared" si="16"/>
        <v>0</v>
      </c>
      <c r="BT38" s="284" t="s">
        <v>419</v>
      </c>
    </row>
    <row r="39" spans="1:72" ht="18" hidden="1" customHeight="1" x14ac:dyDescent="0.2">
      <c r="A39" s="1050">
        <v>51803</v>
      </c>
      <c r="B39" s="1051" t="s">
        <v>157</v>
      </c>
      <c r="C39" s="1065">
        <v>0</v>
      </c>
      <c r="D39" s="1066">
        <v>0</v>
      </c>
      <c r="E39" s="1066">
        <v>0</v>
      </c>
      <c r="F39" s="1066">
        <v>0</v>
      </c>
      <c r="G39" s="1067">
        <v>0</v>
      </c>
      <c r="H39" s="1068">
        <v>0</v>
      </c>
      <c r="I39" s="1069">
        <v>0</v>
      </c>
      <c r="J39" s="1069">
        <v>0</v>
      </c>
      <c r="K39" s="1069">
        <v>0</v>
      </c>
      <c r="L39" s="1070">
        <f>SUM(L40:L40)</f>
        <v>0</v>
      </c>
      <c r="M39" s="1062">
        <v>0</v>
      </c>
      <c r="N39" s="1071">
        <v>0</v>
      </c>
      <c r="O39" s="1071">
        <v>0</v>
      </c>
      <c r="P39" s="1071">
        <v>0</v>
      </c>
      <c r="Q39" s="1071">
        <v>0</v>
      </c>
      <c r="R39" s="1072">
        <f t="shared" si="3"/>
        <v>0</v>
      </c>
      <c r="S39" s="1065">
        <v>0</v>
      </c>
      <c r="T39" s="1066">
        <v>0</v>
      </c>
      <c r="U39" s="1066">
        <v>0</v>
      </c>
      <c r="V39" s="1066">
        <v>0</v>
      </c>
      <c r="W39" s="1067">
        <v>0</v>
      </c>
      <c r="X39" s="1066">
        <v>0</v>
      </c>
      <c r="Y39" s="1066">
        <v>0</v>
      </c>
      <c r="Z39" s="1034">
        <f t="shared" si="64"/>
        <v>0</v>
      </c>
      <c r="AA39" s="1067">
        <f t="shared" si="18"/>
        <v>0</v>
      </c>
      <c r="AB39" s="1065">
        <v>0</v>
      </c>
      <c r="AC39" s="1066">
        <v>0</v>
      </c>
      <c r="AD39" s="1066">
        <v>0</v>
      </c>
      <c r="AE39" s="1066">
        <v>0</v>
      </c>
      <c r="AF39" s="1067">
        <f>SUM(AF40)</f>
        <v>0</v>
      </c>
      <c r="AG39" s="1066">
        <v>0</v>
      </c>
      <c r="AH39" s="1066">
        <v>0</v>
      </c>
      <c r="AI39" s="1034">
        <f t="shared" ref="AI39" si="137">SUM(AG39:AH39)</f>
        <v>0</v>
      </c>
      <c r="AJ39" s="1067">
        <f t="shared" si="26"/>
        <v>0</v>
      </c>
      <c r="AK39" s="1065">
        <f>S39+AB39</f>
        <v>0</v>
      </c>
      <c r="AL39" s="1066">
        <f t="shared" ref="AL39" si="138">T39+AC39</f>
        <v>0</v>
      </c>
      <c r="AM39" s="1066">
        <f t="shared" ref="AM39" si="139">U39+AD39</f>
        <v>0</v>
      </c>
      <c r="AN39" s="1066">
        <f t="shared" ref="AN39" si="140">V39+AE39</f>
        <v>0</v>
      </c>
      <c r="AO39" s="1067">
        <f>SUM(AO40)</f>
        <v>0</v>
      </c>
      <c r="AP39" s="1073"/>
      <c r="AQ39" s="1074">
        <v>0</v>
      </c>
      <c r="AR39" s="1075">
        <v>0</v>
      </c>
      <c r="AS39" s="1075">
        <v>0</v>
      </c>
      <c r="AT39" s="1075">
        <v>0</v>
      </c>
      <c r="AU39" s="1066">
        <v>0</v>
      </c>
      <c r="AV39" s="1067">
        <f>SUM(AQ39:AU39)</f>
        <v>0</v>
      </c>
      <c r="AW39" s="1034">
        <f t="shared" si="10"/>
        <v>0</v>
      </c>
      <c r="AX39" s="1071">
        <v>0</v>
      </c>
      <c r="AY39" s="1071">
        <v>0</v>
      </c>
      <c r="AZ39" s="1071">
        <v>0</v>
      </c>
      <c r="BA39" s="1076">
        <f t="shared" si="133"/>
        <v>0</v>
      </c>
      <c r="BB39" s="1066">
        <v>0</v>
      </c>
      <c r="BC39" s="1066">
        <v>0</v>
      </c>
      <c r="BD39" s="1066">
        <v>0</v>
      </c>
      <c r="BE39" s="1076">
        <f t="shared" si="22"/>
        <v>0</v>
      </c>
      <c r="BF39" s="1077">
        <v>0</v>
      </c>
      <c r="BG39" s="1071">
        <v>0</v>
      </c>
      <c r="BH39" s="1076">
        <v>0</v>
      </c>
      <c r="BI39" s="1077">
        <v>0</v>
      </c>
      <c r="BJ39" s="1071">
        <v>0</v>
      </c>
      <c r="BK39" s="1041">
        <v>0</v>
      </c>
      <c r="BL39" s="1077">
        <v>0</v>
      </c>
      <c r="BM39" s="1071">
        <v>0</v>
      </c>
      <c r="BN39" s="1041">
        <v>0</v>
      </c>
      <c r="BO39" s="1077">
        <v>0</v>
      </c>
      <c r="BP39" s="1062">
        <v>0</v>
      </c>
      <c r="BQ39" s="1078">
        <f t="shared" si="15"/>
        <v>0</v>
      </c>
      <c r="BR39" s="1062"/>
      <c r="BS39" s="1079">
        <f t="shared" si="16"/>
        <v>0</v>
      </c>
      <c r="BT39" s="284" t="s">
        <v>419</v>
      </c>
    </row>
    <row r="40" spans="1:72" s="140" customFormat="1" ht="18" customHeight="1" x14ac:dyDescent="0.2">
      <c r="A40" s="1014">
        <v>519</v>
      </c>
      <c r="B40" s="1080" t="s">
        <v>158</v>
      </c>
      <c r="C40" s="1016">
        <f t="shared" ref="C40:K40" si="141">SUM(C41:C42)</f>
        <v>12000</v>
      </c>
      <c r="D40" s="1000">
        <f t="shared" si="141"/>
        <v>0</v>
      </c>
      <c r="E40" s="1000">
        <f t="shared" si="141"/>
        <v>0</v>
      </c>
      <c r="F40" s="1000">
        <f t="shared" si="141"/>
        <v>0</v>
      </c>
      <c r="G40" s="1059">
        <f>SUM(G41:G42)</f>
        <v>12000</v>
      </c>
      <c r="H40" s="1060">
        <f t="shared" si="141"/>
        <v>0</v>
      </c>
      <c r="I40" s="1019">
        <f t="shared" si="141"/>
        <v>0</v>
      </c>
      <c r="J40" s="1019">
        <f t="shared" si="141"/>
        <v>0</v>
      </c>
      <c r="K40" s="1019">
        <f t="shared" si="141"/>
        <v>0</v>
      </c>
      <c r="L40" s="1021">
        <f>SUM(L41:L42)</f>
        <v>0</v>
      </c>
      <c r="M40" s="1028">
        <f t="shared" ref="M40" si="142">SUM(M41:M42)</f>
        <v>0</v>
      </c>
      <c r="N40" s="1022">
        <f>SUM(N41:N42)</f>
        <v>0</v>
      </c>
      <c r="O40" s="1022">
        <v>0</v>
      </c>
      <c r="P40" s="1022">
        <v>0</v>
      </c>
      <c r="Q40" s="1022">
        <v>0</v>
      </c>
      <c r="R40" s="1023">
        <f t="shared" si="3"/>
        <v>0</v>
      </c>
      <c r="S40" s="1016">
        <f t="shared" ref="S40:V40" si="143">SUM(S41:S42)</f>
        <v>0</v>
      </c>
      <c r="T40" s="1000">
        <f t="shared" si="143"/>
        <v>0</v>
      </c>
      <c r="U40" s="1000">
        <f t="shared" si="143"/>
        <v>0</v>
      </c>
      <c r="V40" s="1000">
        <f t="shared" si="143"/>
        <v>0</v>
      </c>
      <c r="W40" s="1059">
        <f>SUM(W41:W42)</f>
        <v>0</v>
      </c>
      <c r="X40" s="1000">
        <f t="shared" ref="X40:Y40" si="144">SUM(X41:X42)</f>
        <v>0</v>
      </c>
      <c r="Y40" s="1000">
        <f t="shared" si="144"/>
        <v>0</v>
      </c>
      <c r="Z40" s="1059">
        <f>SUM(Z41:Z42)</f>
        <v>0</v>
      </c>
      <c r="AA40" s="1059">
        <f t="shared" si="18"/>
        <v>0</v>
      </c>
      <c r="AB40" s="1016">
        <f t="shared" ref="AB40:AE40" si="145">SUM(AB41:AB42)</f>
        <v>0</v>
      </c>
      <c r="AC40" s="1000">
        <f t="shared" si="145"/>
        <v>0</v>
      </c>
      <c r="AD40" s="1000">
        <f t="shared" si="145"/>
        <v>0</v>
      </c>
      <c r="AE40" s="1000">
        <f t="shared" si="145"/>
        <v>0</v>
      </c>
      <c r="AF40" s="1059">
        <f>SUM(AF41:AF42)</f>
        <v>0</v>
      </c>
      <c r="AG40" s="1000">
        <f t="shared" ref="AG40:AH40" si="146">SUM(AG41:AG42)</f>
        <v>0</v>
      </c>
      <c r="AH40" s="1000">
        <f t="shared" si="146"/>
        <v>0</v>
      </c>
      <c r="AI40" s="1059">
        <f>SUM(AI41:AI42)</f>
        <v>0</v>
      </c>
      <c r="AJ40" s="1059">
        <f t="shared" si="26"/>
        <v>0</v>
      </c>
      <c r="AK40" s="1016">
        <f t="shared" ref="AK40:AN40" si="147">SUM(AK41:AK42)</f>
        <v>0</v>
      </c>
      <c r="AL40" s="1000">
        <f t="shared" si="147"/>
        <v>0</v>
      </c>
      <c r="AM40" s="1000">
        <f t="shared" si="147"/>
        <v>0</v>
      </c>
      <c r="AN40" s="1000">
        <f t="shared" si="147"/>
        <v>0</v>
      </c>
      <c r="AO40" s="1059">
        <f>SUM(AO41:AO42)</f>
        <v>0</v>
      </c>
      <c r="AP40" s="1061"/>
      <c r="AQ40" s="999">
        <f t="shared" ref="AQ40:AU40" si="148">SUM(AQ41:AQ42)</f>
        <v>0</v>
      </c>
      <c r="AR40" s="1010">
        <f t="shared" si="148"/>
        <v>0</v>
      </c>
      <c r="AS40" s="1010">
        <f t="shared" si="148"/>
        <v>0</v>
      </c>
      <c r="AT40" s="1010">
        <f t="shared" si="148"/>
        <v>0</v>
      </c>
      <c r="AU40" s="1000">
        <f t="shared" si="148"/>
        <v>0</v>
      </c>
      <c r="AV40" s="1059">
        <f>SUM(AV41:AV42)</f>
        <v>0</v>
      </c>
      <c r="AW40" s="1059">
        <f t="shared" si="10"/>
        <v>0</v>
      </c>
      <c r="AX40" s="1022">
        <v>0</v>
      </c>
      <c r="AY40" s="1022">
        <v>0</v>
      </c>
      <c r="AZ40" s="1022">
        <v>0</v>
      </c>
      <c r="BA40" s="1027">
        <f>M40+N40+O40+AX40+AZ40</f>
        <v>0</v>
      </c>
      <c r="BB40" s="1000">
        <f t="shared" ref="BB40:BC40" si="149">SUM(BB41:BB42)</f>
        <v>0</v>
      </c>
      <c r="BC40" s="1000">
        <f t="shared" si="149"/>
        <v>0</v>
      </c>
      <c r="BD40" s="1000">
        <f>SUM(BD41:BD42)</f>
        <v>0</v>
      </c>
      <c r="BE40" s="1027">
        <f>SUM(BB40:BD40)</f>
        <v>0</v>
      </c>
      <c r="BF40" s="1026">
        <v>0</v>
      </c>
      <c r="BG40" s="1022">
        <v>0</v>
      </c>
      <c r="BH40" s="1027">
        <v>0</v>
      </c>
      <c r="BI40" s="1026">
        <v>0</v>
      </c>
      <c r="BJ40" s="1022">
        <v>0</v>
      </c>
      <c r="BK40" s="1023">
        <v>0</v>
      </c>
      <c r="BL40" s="1026">
        <v>0</v>
      </c>
      <c r="BM40" s="1022">
        <v>0</v>
      </c>
      <c r="BN40" s="1023">
        <v>0</v>
      </c>
      <c r="BO40" s="1026">
        <v>0</v>
      </c>
      <c r="BP40" s="1028">
        <v>0</v>
      </c>
      <c r="BQ40" s="1078">
        <f t="shared" si="15"/>
        <v>0</v>
      </c>
      <c r="BR40" s="1028"/>
      <c r="BS40" s="1013">
        <f t="shared" si="16"/>
        <v>12000</v>
      </c>
      <c r="BT40" s="284" t="s">
        <v>419</v>
      </c>
    </row>
    <row r="41" spans="1:72" ht="18" customHeight="1" x14ac:dyDescent="0.2">
      <c r="A41" s="1050">
        <v>51901</v>
      </c>
      <c r="B41" s="1051" t="s">
        <v>159</v>
      </c>
      <c r="C41" s="1065">
        <f>'AG1'!G44</f>
        <v>12000</v>
      </c>
      <c r="D41" s="1066">
        <v>0</v>
      </c>
      <c r="E41" s="1066">
        <v>0</v>
      </c>
      <c r="F41" s="1066">
        <v>0</v>
      </c>
      <c r="G41" s="1067">
        <f>C41+D41+E41+F41</f>
        <v>12000</v>
      </c>
      <c r="H41" s="1068">
        <v>0</v>
      </c>
      <c r="I41" s="1069">
        <v>0</v>
      </c>
      <c r="J41" s="1069">
        <v>0</v>
      </c>
      <c r="K41" s="1069">
        <v>0</v>
      </c>
      <c r="L41" s="1070">
        <f t="shared" ref="L41:L42" si="150">SUM(H41:K41)</f>
        <v>0</v>
      </c>
      <c r="M41" s="1062">
        <v>0</v>
      </c>
      <c r="N41" s="1071">
        <v>0</v>
      </c>
      <c r="O41" s="1071">
        <v>0</v>
      </c>
      <c r="P41" s="1071">
        <v>0</v>
      </c>
      <c r="Q41" s="1071">
        <v>0</v>
      </c>
      <c r="R41" s="1072">
        <f t="shared" si="3"/>
        <v>0</v>
      </c>
      <c r="S41" s="1065">
        <f>'AG1'!D44</f>
        <v>0</v>
      </c>
      <c r="T41" s="1066">
        <v>0</v>
      </c>
      <c r="U41" s="1066">
        <v>0</v>
      </c>
      <c r="V41" s="1066">
        <v>0</v>
      </c>
      <c r="W41" s="1067">
        <f>S41+T41+U41+V41</f>
        <v>0</v>
      </c>
      <c r="X41" s="1066">
        <v>0</v>
      </c>
      <c r="Y41" s="1066">
        <v>0</v>
      </c>
      <c r="Z41" s="1034">
        <f t="shared" si="64"/>
        <v>0</v>
      </c>
      <c r="AA41" s="1067">
        <f t="shared" si="18"/>
        <v>0</v>
      </c>
      <c r="AB41" s="1065">
        <f>'AG1'!AK44</f>
        <v>0</v>
      </c>
      <c r="AC41" s="1066">
        <v>0</v>
      </c>
      <c r="AD41" s="1066">
        <v>0</v>
      </c>
      <c r="AE41" s="1066">
        <v>0</v>
      </c>
      <c r="AF41" s="1067">
        <f>AB41+AC41+AD41+AE41</f>
        <v>0</v>
      </c>
      <c r="AG41" s="1066">
        <v>0</v>
      </c>
      <c r="AH41" s="1066">
        <v>0</v>
      </c>
      <c r="AI41" s="1034">
        <f t="shared" ref="AI41:AI42" si="151">SUM(AG41:AH41)</f>
        <v>0</v>
      </c>
      <c r="AJ41" s="1067">
        <f t="shared" si="26"/>
        <v>0</v>
      </c>
      <c r="AK41" s="1065">
        <f t="shared" ref="AK41:AK42" si="152">S41+AB41</f>
        <v>0</v>
      </c>
      <c r="AL41" s="1066">
        <f t="shared" ref="AL41:AL42" si="153">T41+AC41</f>
        <v>0</v>
      </c>
      <c r="AM41" s="1066">
        <f t="shared" ref="AM41:AM42" si="154">U41+AD41</f>
        <v>0</v>
      </c>
      <c r="AN41" s="1066">
        <f t="shared" ref="AN41:AN42" si="155">V41+AE41</f>
        <v>0</v>
      </c>
      <c r="AO41" s="1067">
        <f>AK41+AL41+AM41+AN41</f>
        <v>0</v>
      </c>
      <c r="AP41" s="1073"/>
      <c r="AQ41" s="1074">
        <v>0</v>
      </c>
      <c r="AR41" s="1075">
        <v>0</v>
      </c>
      <c r="AS41" s="1075">
        <v>0</v>
      </c>
      <c r="AT41" s="1075">
        <v>0</v>
      </c>
      <c r="AU41" s="1066">
        <v>0</v>
      </c>
      <c r="AV41" s="1067">
        <f t="shared" ref="AV41:AV42" si="156">SUM(AQ41:AU41)</f>
        <v>0</v>
      </c>
      <c r="AW41" s="1034">
        <f t="shared" si="10"/>
        <v>0</v>
      </c>
      <c r="AX41" s="1071">
        <v>0</v>
      </c>
      <c r="AY41" s="1071">
        <v>0</v>
      </c>
      <c r="AZ41" s="1071">
        <v>0</v>
      </c>
      <c r="BA41" s="1076">
        <f t="shared" ref="BA41:BA42" si="157">SUM(AX41:AZ41)</f>
        <v>0</v>
      </c>
      <c r="BB41" s="1066">
        <v>0</v>
      </c>
      <c r="BC41" s="1066">
        <v>0</v>
      </c>
      <c r="BD41" s="1066">
        <v>0</v>
      </c>
      <c r="BE41" s="1076">
        <f t="shared" si="22"/>
        <v>0</v>
      </c>
      <c r="BF41" s="1077">
        <v>0</v>
      </c>
      <c r="BG41" s="1071">
        <v>0</v>
      </c>
      <c r="BH41" s="1076">
        <v>0</v>
      </c>
      <c r="BI41" s="1077">
        <v>0</v>
      </c>
      <c r="BJ41" s="1071">
        <v>0</v>
      </c>
      <c r="BK41" s="1041">
        <v>0</v>
      </c>
      <c r="BL41" s="1077">
        <v>0</v>
      </c>
      <c r="BM41" s="1071">
        <v>0</v>
      </c>
      <c r="BN41" s="1041">
        <v>0</v>
      </c>
      <c r="BO41" s="1077">
        <v>0</v>
      </c>
      <c r="BP41" s="1062">
        <v>0</v>
      </c>
      <c r="BQ41" s="1078">
        <f t="shared" si="15"/>
        <v>0</v>
      </c>
      <c r="BR41" s="1062"/>
      <c r="BS41" s="1079">
        <f t="shared" si="16"/>
        <v>12000</v>
      </c>
      <c r="BT41" s="284" t="s">
        <v>419</v>
      </c>
    </row>
    <row r="42" spans="1:72" ht="18" hidden="1" customHeight="1" x14ac:dyDescent="0.2">
      <c r="A42" s="1050">
        <v>51999</v>
      </c>
      <c r="B42" s="1051" t="s">
        <v>158</v>
      </c>
      <c r="C42" s="1065">
        <v>0</v>
      </c>
      <c r="D42" s="1066">
        <v>0</v>
      </c>
      <c r="E42" s="1066">
        <v>0</v>
      </c>
      <c r="F42" s="1066">
        <v>0</v>
      </c>
      <c r="G42" s="1067">
        <f>C42+D42+E42+F42</f>
        <v>0</v>
      </c>
      <c r="H42" s="1068">
        <v>0</v>
      </c>
      <c r="I42" s="1069">
        <v>0</v>
      </c>
      <c r="J42" s="1069">
        <v>0</v>
      </c>
      <c r="K42" s="1069">
        <v>0</v>
      </c>
      <c r="L42" s="1070">
        <f t="shared" si="150"/>
        <v>0</v>
      </c>
      <c r="M42" s="1062">
        <v>0</v>
      </c>
      <c r="N42" s="1071">
        <v>0</v>
      </c>
      <c r="O42" s="1071">
        <v>0</v>
      </c>
      <c r="P42" s="1071">
        <v>0</v>
      </c>
      <c r="Q42" s="1071">
        <v>0</v>
      </c>
      <c r="R42" s="1072">
        <f t="shared" si="3"/>
        <v>0</v>
      </c>
      <c r="S42" s="1065">
        <v>0</v>
      </c>
      <c r="T42" s="1066">
        <v>0</v>
      </c>
      <c r="U42" s="1066">
        <v>0</v>
      </c>
      <c r="V42" s="1066">
        <v>0</v>
      </c>
      <c r="W42" s="1067">
        <f>S42+T42+U42+V42</f>
        <v>0</v>
      </c>
      <c r="X42" s="1066">
        <v>0</v>
      </c>
      <c r="Y42" s="1066">
        <v>0</v>
      </c>
      <c r="Z42" s="1034">
        <f t="shared" si="64"/>
        <v>0</v>
      </c>
      <c r="AA42" s="1067">
        <f t="shared" si="18"/>
        <v>0</v>
      </c>
      <c r="AB42" s="1065">
        <v>0</v>
      </c>
      <c r="AC42" s="1066">
        <v>0</v>
      </c>
      <c r="AD42" s="1066">
        <v>0</v>
      </c>
      <c r="AE42" s="1066">
        <v>0</v>
      </c>
      <c r="AF42" s="1067">
        <f>AB42+AC42+AD42+AE42</f>
        <v>0</v>
      </c>
      <c r="AG42" s="1066">
        <v>0</v>
      </c>
      <c r="AH42" s="1066">
        <v>0</v>
      </c>
      <c r="AI42" s="1034">
        <f t="shared" si="151"/>
        <v>0</v>
      </c>
      <c r="AJ42" s="1067">
        <f t="shared" si="26"/>
        <v>0</v>
      </c>
      <c r="AK42" s="1065">
        <f t="shared" si="152"/>
        <v>0</v>
      </c>
      <c r="AL42" s="1066">
        <f t="shared" si="153"/>
        <v>0</v>
      </c>
      <c r="AM42" s="1066">
        <f t="shared" si="154"/>
        <v>0</v>
      </c>
      <c r="AN42" s="1066">
        <f t="shared" si="155"/>
        <v>0</v>
      </c>
      <c r="AO42" s="1067">
        <f>AK42+AL42+AM42+AN42</f>
        <v>0</v>
      </c>
      <c r="AP42" s="1073"/>
      <c r="AQ42" s="1074">
        <v>0</v>
      </c>
      <c r="AR42" s="1075">
        <v>0</v>
      </c>
      <c r="AS42" s="1075">
        <v>0</v>
      </c>
      <c r="AT42" s="1075">
        <v>0</v>
      </c>
      <c r="AU42" s="1066">
        <v>0</v>
      </c>
      <c r="AV42" s="1067">
        <f t="shared" si="156"/>
        <v>0</v>
      </c>
      <c r="AW42" s="1034">
        <f t="shared" si="10"/>
        <v>0</v>
      </c>
      <c r="AX42" s="1071">
        <v>0</v>
      </c>
      <c r="AY42" s="1071">
        <v>0</v>
      </c>
      <c r="AZ42" s="1071">
        <v>0</v>
      </c>
      <c r="BA42" s="1076">
        <f t="shared" si="157"/>
        <v>0</v>
      </c>
      <c r="BB42" s="1066">
        <v>0</v>
      </c>
      <c r="BC42" s="1066">
        <v>0</v>
      </c>
      <c r="BD42" s="1066">
        <v>0</v>
      </c>
      <c r="BE42" s="1076">
        <f t="shared" si="22"/>
        <v>0</v>
      </c>
      <c r="BF42" s="1077">
        <v>0</v>
      </c>
      <c r="BG42" s="1071">
        <v>0</v>
      </c>
      <c r="BH42" s="1076">
        <v>0</v>
      </c>
      <c r="BI42" s="1077">
        <v>0</v>
      </c>
      <c r="BJ42" s="1071">
        <v>0</v>
      </c>
      <c r="BK42" s="1041">
        <v>0</v>
      </c>
      <c r="BL42" s="1077">
        <v>0</v>
      </c>
      <c r="BM42" s="1071">
        <v>0</v>
      </c>
      <c r="BN42" s="1041">
        <v>0</v>
      </c>
      <c r="BO42" s="1077">
        <v>0</v>
      </c>
      <c r="BP42" s="1062">
        <v>0</v>
      </c>
      <c r="BQ42" s="1078">
        <f t="shared" si="15"/>
        <v>0</v>
      </c>
      <c r="BR42" s="1062"/>
      <c r="BS42" s="1079">
        <f t="shared" si="16"/>
        <v>0</v>
      </c>
      <c r="BT42" s="284" t="s">
        <v>419</v>
      </c>
    </row>
    <row r="43" spans="1:72" s="140" customFormat="1" ht="18" customHeight="1" x14ac:dyDescent="0.2">
      <c r="A43" s="1050"/>
      <c r="B43" s="1051"/>
      <c r="C43" s="1065"/>
      <c r="D43" s="1066"/>
      <c r="E43" s="1066"/>
      <c r="F43" s="1066"/>
      <c r="G43" s="1059"/>
      <c r="H43" s="1068"/>
      <c r="I43" s="1069"/>
      <c r="J43" s="1069"/>
      <c r="K43" s="1069"/>
      <c r="L43" s="1021"/>
      <c r="M43" s="1028"/>
      <c r="N43" s="1022"/>
      <c r="O43" s="1022"/>
      <c r="P43" s="1022"/>
      <c r="Q43" s="1022"/>
      <c r="R43" s="1023"/>
      <c r="S43" s="1065"/>
      <c r="T43" s="1066"/>
      <c r="U43" s="1066"/>
      <c r="V43" s="1066"/>
      <c r="W43" s="1059"/>
      <c r="X43" s="1066"/>
      <c r="Y43" s="1066"/>
      <c r="Z43" s="1059"/>
      <c r="AA43" s="1059"/>
      <c r="AB43" s="1065"/>
      <c r="AC43" s="1066"/>
      <c r="AD43" s="1066"/>
      <c r="AE43" s="1066"/>
      <c r="AF43" s="1059"/>
      <c r="AG43" s="1066"/>
      <c r="AH43" s="1066"/>
      <c r="AI43" s="1059"/>
      <c r="AJ43" s="1059"/>
      <c r="AK43" s="1065"/>
      <c r="AL43" s="1066"/>
      <c r="AM43" s="1066"/>
      <c r="AN43" s="1066"/>
      <c r="AO43" s="1059"/>
      <c r="AP43" s="1061"/>
      <c r="AQ43" s="1074"/>
      <c r="AR43" s="1075"/>
      <c r="AS43" s="1075"/>
      <c r="AT43" s="1075"/>
      <c r="AU43" s="1066"/>
      <c r="AV43" s="1059"/>
      <c r="AW43" s="1059"/>
      <c r="AX43" s="1022"/>
      <c r="AY43" s="1022"/>
      <c r="AZ43" s="1022"/>
      <c r="BA43" s="1076"/>
      <c r="BB43" s="1066"/>
      <c r="BC43" s="1066"/>
      <c r="BD43" s="1000"/>
      <c r="BE43" s="1027"/>
      <c r="BF43" s="1026"/>
      <c r="BG43" s="1022"/>
      <c r="BH43" s="1027"/>
      <c r="BI43" s="1026"/>
      <c r="BJ43" s="1022"/>
      <c r="BK43" s="1023"/>
      <c r="BL43" s="1026"/>
      <c r="BM43" s="1022"/>
      <c r="BN43" s="1023"/>
      <c r="BO43" s="1026"/>
      <c r="BP43" s="1028"/>
      <c r="BQ43" s="1078"/>
      <c r="BR43" s="1028"/>
      <c r="BS43" s="1013"/>
      <c r="BT43" s="284" t="s">
        <v>419</v>
      </c>
    </row>
    <row r="44" spans="1:72" s="140" customFormat="1" ht="18" customHeight="1" x14ac:dyDescent="0.2">
      <c r="A44" s="1014">
        <v>54</v>
      </c>
      <c r="B44" s="1080" t="s">
        <v>27</v>
      </c>
      <c r="C44" s="1016">
        <f>C45+C65+C71+C87+C92</f>
        <v>108259.6</v>
      </c>
      <c r="D44" s="1000">
        <f t="shared" ref="D44:J44" si="158">D45+D65+D71+D87+D92</f>
        <v>9673</v>
      </c>
      <c r="E44" s="1000">
        <f t="shared" si="158"/>
        <v>1165</v>
      </c>
      <c r="F44" s="1000">
        <f t="shared" si="158"/>
        <v>186520</v>
      </c>
      <c r="G44" s="1059">
        <f>G45+G65+G71+G87+G92</f>
        <v>305617.59999999998</v>
      </c>
      <c r="H44" s="1060">
        <f>H45+H65+H71+H87+H92</f>
        <v>0</v>
      </c>
      <c r="I44" s="1019">
        <f t="shared" si="158"/>
        <v>0</v>
      </c>
      <c r="J44" s="1019">
        <f t="shared" si="158"/>
        <v>0</v>
      </c>
      <c r="K44" s="1019">
        <f>K45+K65+K71+K87+K92</f>
        <v>0</v>
      </c>
      <c r="L44" s="1021">
        <f>SUM(H44:K44)</f>
        <v>0</v>
      </c>
      <c r="M44" s="1028">
        <f t="shared" ref="M44:O44" si="159">M45+M65+M71+M87+M92</f>
        <v>0</v>
      </c>
      <c r="N44" s="1028">
        <f>N45+N65+N71+N87+N92</f>
        <v>0</v>
      </c>
      <c r="O44" s="1028">
        <f t="shared" si="159"/>
        <v>0</v>
      </c>
      <c r="P44" s="1022">
        <v>0</v>
      </c>
      <c r="Q44" s="1022">
        <v>0</v>
      </c>
      <c r="R44" s="1023">
        <f t="shared" si="3"/>
        <v>0</v>
      </c>
      <c r="S44" s="1016">
        <f t="shared" ref="S44:V44" si="160">S45+S65+S71+S87+S92</f>
        <v>0</v>
      </c>
      <c r="T44" s="1000">
        <f t="shared" si="160"/>
        <v>0</v>
      </c>
      <c r="U44" s="1000">
        <f t="shared" si="160"/>
        <v>0</v>
      </c>
      <c r="V44" s="1000">
        <f t="shared" si="160"/>
        <v>0</v>
      </c>
      <c r="W44" s="1059">
        <f>W45+W65+W71+W87+W92</f>
        <v>0</v>
      </c>
      <c r="X44" s="1000">
        <f t="shared" ref="X44" si="161">X45+X65+X71+X87+X92</f>
        <v>0</v>
      </c>
      <c r="Y44" s="1000">
        <f>Y45+Y65+Y71+Y87+Y92</f>
        <v>0</v>
      </c>
      <c r="Z44" s="1059">
        <f>Z45+Z65+Z71+Z87+Z92</f>
        <v>0</v>
      </c>
      <c r="AA44" s="1059">
        <f t="shared" si="18"/>
        <v>0</v>
      </c>
      <c r="AB44" s="1016">
        <f t="shared" ref="AB44:AE44" si="162">AB45+AB65+AB71+AB87+AB92</f>
        <v>11192.419999999998</v>
      </c>
      <c r="AC44" s="1000">
        <f t="shared" si="162"/>
        <v>0</v>
      </c>
      <c r="AD44" s="1000">
        <f t="shared" si="162"/>
        <v>0</v>
      </c>
      <c r="AE44" s="1000">
        <f t="shared" si="162"/>
        <v>0</v>
      </c>
      <c r="AF44" s="1059">
        <f>AF45+AF65+AF71+AF87+AF92</f>
        <v>11192.419999999998</v>
      </c>
      <c r="AG44" s="1000">
        <f>AG45+AG65+AG71+AG87+AG92</f>
        <v>0</v>
      </c>
      <c r="AH44" s="1000">
        <f>AH45+AH65+AH71+AH87+AH92</f>
        <v>0</v>
      </c>
      <c r="AI44" s="1059">
        <f>AI45+AI65+AI71+AI87+AI92</f>
        <v>0</v>
      </c>
      <c r="AJ44" s="1059">
        <f t="shared" si="26"/>
        <v>11192.419999999998</v>
      </c>
      <c r="AK44" s="1016">
        <f t="shared" ref="AK44:AN44" si="163">AK45+AK65+AK71+AK87+AK92</f>
        <v>11192.419999999998</v>
      </c>
      <c r="AL44" s="1000">
        <f t="shared" si="163"/>
        <v>0</v>
      </c>
      <c r="AM44" s="1000">
        <f t="shared" si="163"/>
        <v>0</v>
      </c>
      <c r="AN44" s="1000">
        <f t="shared" si="163"/>
        <v>0</v>
      </c>
      <c r="AO44" s="1059">
        <f>AO45+AO65+AO71+AO87+AO92</f>
        <v>11192.419999999998</v>
      </c>
      <c r="AP44" s="1061"/>
      <c r="AQ44" s="999">
        <f t="shared" ref="AQ44:AT44" si="164">AQ45+AQ65+AQ71+AQ87+AQ92</f>
        <v>39691.79</v>
      </c>
      <c r="AR44" s="1010">
        <f t="shared" si="164"/>
        <v>13875</v>
      </c>
      <c r="AS44" s="1010">
        <f t="shared" si="164"/>
        <v>49199.999999999993</v>
      </c>
      <c r="AT44" s="1010">
        <f t="shared" si="164"/>
        <v>2900</v>
      </c>
      <c r="AU44" s="1000">
        <f>AU45+AU65+AU71+AU87+AU92</f>
        <v>67722.379999999001</v>
      </c>
      <c r="AV44" s="1059">
        <f>AV45+AV65+AV71+AV87+AV92</f>
        <v>173389.16999999899</v>
      </c>
      <c r="AW44" s="1059">
        <f t="shared" si="10"/>
        <v>184581.58999999898</v>
      </c>
      <c r="AX44" s="1022">
        <v>0</v>
      </c>
      <c r="AY44" s="1022">
        <v>0</v>
      </c>
      <c r="AZ44" s="1022">
        <v>0</v>
      </c>
      <c r="BA44" s="1027">
        <f>M44+N44+O44+AX44+AZ44</f>
        <v>0</v>
      </c>
      <c r="BB44" s="1000">
        <f>BB45+BB65+BB71+BB87+BB92</f>
        <v>177.1</v>
      </c>
      <c r="BC44" s="1000">
        <f t="shared" ref="BC44" si="165">BC45+BC65+BC71+BC87+BC92</f>
        <v>0</v>
      </c>
      <c r="BD44" s="1000">
        <f>BD45+BD65+BD71+BD87+BD92</f>
        <v>0</v>
      </c>
      <c r="BE44" s="1027">
        <f>SUM(BB44:BD44)</f>
        <v>177.1</v>
      </c>
      <c r="BF44" s="1026">
        <v>0</v>
      </c>
      <c r="BG44" s="1022">
        <v>0</v>
      </c>
      <c r="BH44" s="1027">
        <v>0</v>
      </c>
      <c r="BI44" s="1026">
        <v>0</v>
      </c>
      <c r="BJ44" s="1022">
        <v>0</v>
      </c>
      <c r="BK44" s="1023">
        <v>0</v>
      </c>
      <c r="BL44" s="1026">
        <v>0</v>
      </c>
      <c r="BM44" s="1022">
        <v>0</v>
      </c>
      <c r="BN44" s="1023">
        <v>0</v>
      </c>
      <c r="BO44" s="1026">
        <v>0</v>
      </c>
      <c r="BP44" s="1028">
        <v>0</v>
      </c>
      <c r="BQ44" s="1008">
        <f t="shared" si="15"/>
        <v>0</v>
      </c>
      <c r="BR44" s="1028"/>
      <c r="BS44" s="1013">
        <f t="shared" si="16"/>
        <v>490376.28999999893</v>
      </c>
      <c r="BT44" s="993" t="s">
        <v>419</v>
      </c>
    </row>
    <row r="45" spans="1:72" s="140" customFormat="1" ht="18" customHeight="1" x14ac:dyDescent="0.2">
      <c r="A45" s="1014">
        <v>541</v>
      </c>
      <c r="B45" s="1080" t="s">
        <v>28</v>
      </c>
      <c r="C45" s="1016">
        <f>SUM(C46:C64)</f>
        <v>24839</v>
      </c>
      <c r="D45" s="1000">
        <f t="shared" ref="D45:J45" si="166">SUM(D46:D64)</f>
        <v>4845</v>
      </c>
      <c r="E45" s="1000">
        <f t="shared" si="166"/>
        <v>865</v>
      </c>
      <c r="F45" s="1000">
        <f t="shared" si="166"/>
        <v>18095</v>
      </c>
      <c r="G45" s="1059">
        <f>SUM(G46:G64)</f>
        <v>48644</v>
      </c>
      <c r="H45" s="1060">
        <f t="shared" si="166"/>
        <v>0</v>
      </c>
      <c r="I45" s="1019">
        <f t="shared" si="166"/>
        <v>0</v>
      </c>
      <c r="J45" s="1019">
        <f t="shared" si="166"/>
        <v>0</v>
      </c>
      <c r="K45" s="1019">
        <f>SUM(K46:K64)</f>
        <v>0</v>
      </c>
      <c r="L45" s="1021">
        <f>SUM(H45:K45)</f>
        <v>0</v>
      </c>
      <c r="M45" s="1028">
        <f>SUM(M46:M64)</f>
        <v>0</v>
      </c>
      <c r="N45" s="1022">
        <f>SUM(N46:N64)</f>
        <v>0</v>
      </c>
      <c r="O45" s="1022">
        <f>SUM(O46:O64)</f>
        <v>0</v>
      </c>
      <c r="P45" s="1022">
        <v>0</v>
      </c>
      <c r="Q45" s="1022">
        <v>0</v>
      </c>
      <c r="R45" s="1023">
        <f t="shared" si="3"/>
        <v>0</v>
      </c>
      <c r="S45" s="1016">
        <f>SUM(S46:S64)</f>
        <v>0</v>
      </c>
      <c r="T45" s="1000">
        <f t="shared" ref="T45:V45" si="167">SUM(T46:T64)</f>
        <v>0</v>
      </c>
      <c r="U45" s="1000">
        <f t="shared" si="167"/>
        <v>0</v>
      </c>
      <c r="V45" s="1000">
        <f t="shared" si="167"/>
        <v>0</v>
      </c>
      <c r="W45" s="1059">
        <f>SUM(W46:W64)</f>
        <v>0</v>
      </c>
      <c r="X45" s="1000">
        <f t="shared" ref="X45:Y45" si="168">SUM(X46:X64)</f>
        <v>0</v>
      </c>
      <c r="Y45" s="1000">
        <f t="shared" si="168"/>
        <v>0</v>
      </c>
      <c r="Z45" s="1059">
        <f>SUM(Z46:Z64)</f>
        <v>0</v>
      </c>
      <c r="AA45" s="1059">
        <f t="shared" si="18"/>
        <v>0</v>
      </c>
      <c r="AB45" s="1016">
        <f>SUM(AB46:AB64)</f>
        <v>11192.419999999998</v>
      </c>
      <c r="AC45" s="1000">
        <f t="shared" ref="AC45:AE45" si="169">SUM(AC46:AC64)</f>
        <v>0</v>
      </c>
      <c r="AD45" s="1000">
        <f t="shared" si="169"/>
        <v>0</v>
      </c>
      <c r="AE45" s="1000">
        <f t="shared" si="169"/>
        <v>0</v>
      </c>
      <c r="AF45" s="1059">
        <f>SUM(AF46:AF64)</f>
        <v>11192.419999999998</v>
      </c>
      <c r="AG45" s="1000">
        <f t="shared" ref="AG45:AH45" si="170">SUM(AG46:AG64)</f>
        <v>0</v>
      </c>
      <c r="AH45" s="1000">
        <f t="shared" si="170"/>
        <v>0</v>
      </c>
      <c r="AI45" s="1059">
        <f t="shared" ref="AI45" si="171">SUM(AI46:AI64)</f>
        <v>0</v>
      </c>
      <c r="AJ45" s="1059">
        <f t="shared" si="26"/>
        <v>11192.419999999998</v>
      </c>
      <c r="AK45" s="1016">
        <f>SUM(AK46:AK64)</f>
        <v>11192.419999999998</v>
      </c>
      <c r="AL45" s="1000">
        <f t="shared" ref="AL45:AN45" si="172">SUM(AL46:AL64)</f>
        <v>0</v>
      </c>
      <c r="AM45" s="1000">
        <f t="shared" si="172"/>
        <v>0</v>
      </c>
      <c r="AN45" s="1000">
        <f t="shared" si="172"/>
        <v>0</v>
      </c>
      <c r="AO45" s="1059">
        <f>SUM(AO46:AO64)</f>
        <v>11192.419999999998</v>
      </c>
      <c r="AP45" s="1061"/>
      <c r="AQ45" s="999">
        <f t="shared" ref="AQ45:AU45" si="173">SUM(AQ46:AQ64)</f>
        <v>0</v>
      </c>
      <c r="AR45" s="1010">
        <f t="shared" si="173"/>
        <v>720</v>
      </c>
      <c r="AS45" s="1010">
        <f t="shared" si="173"/>
        <v>0</v>
      </c>
      <c r="AT45" s="1010">
        <f t="shared" si="173"/>
        <v>2200</v>
      </c>
      <c r="AU45" s="1000">
        <f t="shared" si="173"/>
        <v>50922.379999999001</v>
      </c>
      <c r="AV45" s="1059">
        <f t="shared" ref="AV45" si="174">SUM(AV46:AV64)</f>
        <v>53842.379999999001</v>
      </c>
      <c r="AW45" s="1059">
        <f t="shared" si="10"/>
        <v>65034.799999998999</v>
      </c>
      <c r="AX45" s="1022">
        <v>0</v>
      </c>
      <c r="AY45" s="1022">
        <v>0</v>
      </c>
      <c r="AZ45" s="1022">
        <v>0</v>
      </c>
      <c r="BA45" s="1027">
        <f>M45+N45+O45+AX45</f>
        <v>0</v>
      </c>
      <c r="BB45" s="1000">
        <f>SUM(BB46:BB64)</f>
        <v>177.1</v>
      </c>
      <c r="BC45" s="1000">
        <f t="shared" ref="BC45:BD45" si="175">SUM(BC46:BC64)</f>
        <v>0</v>
      </c>
      <c r="BD45" s="1000">
        <f t="shared" si="175"/>
        <v>0</v>
      </c>
      <c r="BE45" s="1027">
        <f>SUM(BB45:BD45)</f>
        <v>177.1</v>
      </c>
      <c r="BF45" s="1026">
        <v>0</v>
      </c>
      <c r="BG45" s="1022">
        <v>0</v>
      </c>
      <c r="BH45" s="1027">
        <v>0</v>
      </c>
      <c r="BI45" s="1026">
        <v>0</v>
      </c>
      <c r="BJ45" s="1022">
        <v>0</v>
      </c>
      <c r="BK45" s="1023">
        <v>0</v>
      </c>
      <c r="BL45" s="1026">
        <v>0</v>
      </c>
      <c r="BM45" s="1022">
        <v>0</v>
      </c>
      <c r="BN45" s="1023">
        <v>0</v>
      </c>
      <c r="BO45" s="1026">
        <v>0</v>
      </c>
      <c r="BP45" s="1028">
        <v>0</v>
      </c>
      <c r="BQ45" s="1008">
        <f t="shared" si="15"/>
        <v>0</v>
      </c>
      <c r="BR45" s="1028"/>
      <c r="BS45" s="1013">
        <f t="shared" si="16"/>
        <v>113855.899999999</v>
      </c>
      <c r="BT45" s="284" t="s">
        <v>419</v>
      </c>
    </row>
    <row r="46" spans="1:72" ht="18" customHeight="1" x14ac:dyDescent="0.2">
      <c r="A46" s="1050">
        <v>54101</v>
      </c>
      <c r="B46" s="1051" t="s">
        <v>29</v>
      </c>
      <c r="C46" s="1065">
        <f>'F.P y DL'!C450</f>
        <v>6700</v>
      </c>
      <c r="D46" s="1066">
        <f>'F.P y DL'!D450</f>
        <v>0</v>
      </c>
      <c r="E46" s="1066">
        <f>'F.P y DL'!E450</f>
        <v>0</v>
      </c>
      <c r="F46" s="1066">
        <f>'F.P y DL'!F450</f>
        <v>0</v>
      </c>
      <c r="G46" s="1067">
        <f>SUM(C46:F46)</f>
        <v>6700</v>
      </c>
      <c r="H46" s="1068">
        <f>'F.P y DL'!C13</f>
        <v>0</v>
      </c>
      <c r="I46" s="1069">
        <f>'F.P y DL'!D13</f>
        <v>0</v>
      </c>
      <c r="J46" s="1069">
        <f>'F.P y DL'!E13</f>
        <v>0</v>
      </c>
      <c r="K46" s="1069">
        <f>'F.P y DL'!F13</f>
        <v>0</v>
      </c>
      <c r="L46" s="1070">
        <f>SUM(H46:K46)</f>
        <v>0</v>
      </c>
      <c r="M46" s="1062">
        <v>0</v>
      </c>
      <c r="N46" s="1071">
        <v>0</v>
      </c>
      <c r="O46" s="1071">
        <v>0</v>
      </c>
      <c r="P46" s="1071">
        <v>0</v>
      </c>
      <c r="Q46" s="1071">
        <v>0</v>
      </c>
      <c r="R46" s="1072">
        <f t="shared" si="3"/>
        <v>0</v>
      </c>
      <c r="S46" s="1065">
        <f>'F.P y DL'!W450</f>
        <v>0</v>
      </c>
      <c r="T46" s="1066">
        <f>'F.P y DL'!X450</f>
        <v>0</v>
      </c>
      <c r="U46" s="1066">
        <f>'F.P y DL'!Y450</f>
        <v>0</v>
      </c>
      <c r="V46" s="1066">
        <f>'F.P y DL'!Z450</f>
        <v>0</v>
      </c>
      <c r="W46" s="1067">
        <f>SUM(S46:V46)</f>
        <v>0</v>
      </c>
      <c r="X46" s="1066">
        <v>0</v>
      </c>
      <c r="Y46" s="1066">
        <v>0</v>
      </c>
      <c r="Z46" s="1034">
        <f t="shared" ref="Z46:Z63" si="176">SUM(X46:Y46)</f>
        <v>0</v>
      </c>
      <c r="AA46" s="1067">
        <f t="shared" si="18"/>
        <v>0</v>
      </c>
      <c r="AB46" s="1065">
        <f>'F.P y DL'!AF450</f>
        <v>0</v>
      </c>
      <c r="AC46" s="1066">
        <f>'F.P y DL'!AG450</f>
        <v>0</v>
      </c>
      <c r="AD46" s="1066">
        <f>'F.P y DL'!AH450</f>
        <v>0</v>
      </c>
      <c r="AE46" s="1066">
        <f>'F.P y DL'!AI450</f>
        <v>0</v>
      </c>
      <c r="AF46" s="1067">
        <f>SUM(AB46:AE46)</f>
        <v>0</v>
      </c>
      <c r="AG46" s="1066">
        <f>'F.P y DL'!AJ450</f>
        <v>0</v>
      </c>
      <c r="AH46" s="1066">
        <f>'F.P y DL'!AK450</f>
        <v>0</v>
      </c>
      <c r="AI46" s="1034">
        <f t="shared" ref="AI46:AI63" si="177">SUM(AG46:AH46)</f>
        <v>0</v>
      </c>
      <c r="AJ46" s="1067">
        <f t="shared" si="26"/>
        <v>0</v>
      </c>
      <c r="AK46" s="1065">
        <f t="shared" ref="AK46:AK64" si="178">S46+AB46</f>
        <v>0</v>
      </c>
      <c r="AL46" s="1066">
        <f t="shared" ref="AL46:AL64" si="179">T46+AC46</f>
        <v>0</v>
      </c>
      <c r="AM46" s="1066">
        <f t="shared" ref="AM46:AM64" si="180">U46+AD46</f>
        <v>0</v>
      </c>
      <c r="AN46" s="1066">
        <f t="shared" ref="AN46:AN64" si="181">V46+AE46</f>
        <v>0</v>
      </c>
      <c r="AO46" s="1067">
        <f>SUM(AK46:AN46)</f>
        <v>0</v>
      </c>
      <c r="AP46" s="1073"/>
      <c r="AQ46" s="1074">
        <v>0</v>
      </c>
      <c r="AR46" s="1075">
        <v>0</v>
      </c>
      <c r="AS46" s="1075">
        <v>0</v>
      </c>
      <c r="AT46" s="1075">
        <v>0</v>
      </c>
      <c r="AU46" s="1066">
        <f>'AG3'!L30+'AG3'!L39+'AG3'!L44+'AG3'!L51</f>
        <v>37639.999999999003</v>
      </c>
      <c r="AV46" s="1067">
        <f>SUM(AQ46:AU46)</f>
        <v>37639.999999999003</v>
      </c>
      <c r="AW46" s="1034">
        <f t="shared" si="10"/>
        <v>37639.999999999003</v>
      </c>
      <c r="AX46" s="1071">
        <v>0</v>
      </c>
      <c r="AY46" s="1071">
        <v>0</v>
      </c>
      <c r="AZ46" s="1071">
        <v>0</v>
      </c>
      <c r="BA46" s="1076">
        <f t="shared" ref="BA46:BA64" si="182">SUM(AX46:AZ46)</f>
        <v>0</v>
      </c>
      <c r="BB46" s="1066">
        <v>0</v>
      </c>
      <c r="BC46" s="1066">
        <v>0</v>
      </c>
      <c r="BD46" s="1066">
        <v>0</v>
      </c>
      <c r="BE46" s="1076">
        <f t="shared" si="22"/>
        <v>0</v>
      </c>
      <c r="BF46" s="1077">
        <v>0</v>
      </c>
      <c r="BG46" s="1071">
        <v>0</v>
      </c>
      <c r="BH46" s="1076">
        <v>0</v>
      </c>
      <c r="BI46" s="1077">
        <v>0</v>
      </c>
      <c r="BJ46" s="1071">
        <v>0</v>
      </c>
      <c r="BK46" s="1041">
        <v>0</v>
      </c>
      <c r="BL46" s="1077">
        <v>0</v>
      </c>
      <c r="BM46" s="1071">
        <v>0</v>
      </c>
      <c r="BN46" s="1041">
        <v>0</v>
      </c>
      <c r="BO46" s="1077">
        <v>0</v>
      </c>
      <c r="BP46" s="1062">
        <v>0</v>
      </c>
      <c r="BQ46" s="1078">
        <f t="shared" si="15"/>
        <v>0</v>
      </c>
      <c r="BR46" s="1062"/>
      <c r="BS46" s="1079">
        <f t="shared" si="16"/>
        <v>44339.999999999003</v>
      </c>
      <c r="BT46" s="284" t="s">
        <v>419</v>
      </c>
    </row>
    <row r="47" spans="1:72" ht="18" hidden="1" customHeight="1" x14ac:dyDescent="0.2">
      <c r="A47" s="1050">
        <v>54103</v>
      </c>
      <c r="B47" s="1051" t="s">
        <v>30</v>
      </c>
      <c r="C47" s="1065">
        <v>0</v>
      </c>
      <c r="D47" s="1066">
        <v>0</v>
      </c>
      <c r="E47" s="1066">
        <v>0</v>
      </c>
      <c r="F47" s="1066">
        <v>0</v>
      </c>
      <c r="G47" s="1067">
        <f t="shared" ref="G47:G64" si="183">SUM(C47:F47)</f>
        <v>0</v>
      </c>
      <c r="H47" s="1068">
        <v>0</v>
      </c>
      <c r="I47" s="1069">
        <f>'F.P y DL'!D14</f>
        <v>0</v>
      </c>
      <c r="J47" s="1069">
        <f>'F.P y DL'!E14</f>
        <v>0</v>
      </c>
      <c r="K47" s="1069">
        <f>'F.P y DL'!F14</f>
        <v>0</v>
      </c>
      <c r="L47" s="1070">
        <f>SUM(H47:J47)</f>
        <v>0</v>
      </c>
      <c r="M47" s="1062">
        <v>0</v>
      </c>
      <c r="N47" s="1071">
        <v>0</v>
      </c>
      <c r="O47" s="1071">
        <v>0</v>
      </c>
      <c r="P47" s="1071">
        <v>0</v>
      </c>
      <c r="Q47" s="1071">
        <v>0</v>
      </c>
      <c r="R47" s="1072">
        <f t="shared" si="3"/>
        <v>0</v>
      </c>
      <c r="S47" s="1065">
        <v>0</v>
      </c>
      <c r="T47" s="1066">
        <v>0</v>
      </c>
      <c r="U47" s="1066">
        <v>0</v>
      </c>
      <c r="V47" s="1066">
        <v>0</v>
      </c>
      <c r="W47" s="1067">
        <f t="shared" ref="W47:W64" si="184">SUM(S47:V47)</f>
        <v>0</v>
      </c>
      <c r="X47" s="1066">
        <v>0</v>
      </c>
      <c r="Y47" s="1066">
        <v>0</v>
      </c>
      <c r="Z47" s="1034">
        <f t="shared" si="176"/>
        <v>0</v>
      </c>
      <c r="AA47" s="1067">
        <f>W47+Z47</f>
        <v>0</v>
      </c>
      <c r="AB47" s="1065">
        <v>0</v>
      </c>
      <c r="AC47" s="1066">
        <v>0</v>
      </c>
      <c r="AD47" s="1066">
        <v>0</v>
      </c>
      <c r="AE47" s="1066">
        <v>0</v>
      </c>
      <c r="AF47" s="1067">
        <f t="shared" ref="AF47:AF64" si="185">SUM(AB47:AE47)</f>
        <v>0</v>
      </c>
      <c r="AG47" s="1066">
        <v>0</v>
      </c>
      <c r="AH47" s="1066">
        <v>0</v>
      </c>
      <c r="AI47" s="1034">
        <f t="shared" si="177"/>
        <v>0</v>
      </c>
      <c r="AJ47" s="1067">
        <f>AF47+AI47</f>
        <v>0</v>
      </c>
      <c r="AK47" s="1065">
        <f t="shared" si="178"/>
        <v>0</v>
      </c>
      <c r="AL47" s="1066">
        <f t="shared" si="179"/>
        <v>0</v>
      </c>
      <c r="AM47" s="1066">
        <f t="shared" si="180"/>
        <v>0</v>
      </c>
      <c r="AN47" s="1066">
        <f t="shared" si="181"/>
        <v>0</v>
      </c>
      <c r="AO47" s="1067">
        <f t="shared" ref="AO47:AO64" si="186">SUM(AK47:AN47)</f>
        <v>0</v>
      </c>
      <c r="AP47" s="1073"/>
      <c r="AQ47" s="1074">
        <v>0</v>
      </c>
      <c r="AR47" s="1075">
        <v>0</v>
      </c>
      <c r="AS47" s="1075">
        <v>0</v>
      </c>
      <c r="AT47" s="1075">
        <v>0</v>
      </c>
      <c r="AU47" s="1066">
        <v>0</v>
      </c>
      <c r="AV47" s="1067">
        <f t="shared" ref="AV47:AV86" si="187">SUM(AQ47:AU47)</f>
        <v>0</v>
      </c>
      <c r="AW47" s="1034">
        <f t="shared" si="10"/>
        <v>0</v>
      </c>
      <c r="AX47" s="1071">
        <v>0</v>
      </c>
      <c r="AY47" s="1071">
        <v>0</v>
      </c>
      <c r="AZ47" s="1071">
        <v>0</v>
      </c>
      <c r="BA47" s="1076">
        <f t="shared" si="182"/>
        <v>0</v>
      </c>
      <c r="BB47" s="1066">
        <v>0</v>
      </c>
      <c r="BC47" s="1066">
        <v>0</v>
      </c>
      <c r="BD47" s="1066">
        <v>0</v>
      </c>
      <c r="BE47" s="1076">
        <f t="shared" si="22"/>
        <v>0</v>
      </c>
      <c r="BF47" s="1077">
        <v>0</v>
      </c>
      <c r="BG47" s="1071">
        <v>0</v>
      </c>
      <c r="BH47" s="1076">
        <v>0</v>
      </c>
      <c r="BI47" s="1077">
        <v>0</v>
      </c>
      <c r="BJ47" s="1071">
        <v>0</v>
      </c>
      <c r="BK47" s="1041">
        <v>0</v>
      </c>
      <c r="BL47" s="1077">
        <v>0</v>
      </c>
      <c r="BM47" s="1071">
        <v>0</v>
      </c>
      <c r="BN47" s="1041">
        <v>0</v>
      </c>
      <c r="BO47" s="1077">
        <v>0</v>
      </c>
      <c r="BP47" s="1062">
        <v>0</v>
      </c>
      <c r="BQ47" s="1078">
        <f t="shared" si="15"/>
        <v>0</v>
      </c>
      <c r="BR47" s="1062"/>
      <c r="BS47" s="1079">
        <f t="shared" si="16"/>
        <v>0</v>
      </c>
      <c r="BT47" s="284" t="s">
        <v>419</v>
      </c>
    </row>
    <row r="48" spans="1:72" ht="18" customHeight="1" x14ac:dyDescent="0.2">
      <c r="A48" s="1050">
        <v>54104</v>
      </c>
      <c r="B48" s="1051" t="s">
        <v>31</v>
      </c>
      <c r="C48" s="1065">
        <f>'F.P y DL'!C452</f>
        <v>0</v>
      </c>
      <c r="D48" s="1082">
        <f>'F.P y DL'!D452</f>
        <v>0</v>
      </c>
      <c r="E48" s="1082">
        <f>'F.P y DL'!E452</f>
        <v>0</v>
      </c>
      <c r="F48" s="1082">
        <f>'F.P y DL'!F452</f>
        <v>0</v>
      </c>
      <c r="G48" s="1067">
        <f t="shared" si="183"/>
        <v>0</v>
      </c>
      <c r="H48" s="1068">
        <f>'F.P y DL'!C15</f>
        <v>0</v>
      </c>
      <c r="I48" s="1069">
        <f>'F.P y DL'!D15</f>
        <v>0</v>
      </c>
      <c r="J48" s="1069">
        <f>'F.P y DL'!E15</f>
        <v>0</v>
      </c>
      <c r="K48" s="1069">
        <f>'F.P y DL'!F15</f>
        <v>0</v>
      </c>
      <c r="L48" s="1070">
        <f>SUM(H48:K48)</f>
        <v>0</v>
      </c>
      <c r="M48" s="1062">
        <v>0</v>
      </c>
      <c r="N48" s="1071">
        <v>0</v>
      </c>
      <c r="O48" s="1071">
        <v>0</v>
      </c>
      <c r="P48" s="1071">
        <v>0</v>
      </c>
      <c r="Q48" s="1071">
        <v>0</v>
      </c>
      <c r="R48" s="1072">
        <f t="shared" si="3"/>
        <v>0</v>
      </c>
      <c r="S48" s="1065">
        <f>'F.P y DL'!W452</f>
        <v>0</v>
      </c>
      <c r="T48" s="1082">
        <f>'F.P y DL'!X452</f>
        <v>0</v>
      </c>
      <c r="U48" s="1082">
        <f>'F.P y DL'!Y452</f>
        <v>0</v>
      </c>
      <c r="V48" s="1082">
        <f>'F.P y DL'!Z452</f>
        <v>0</v>
      </c>
      <c r="W48" s="1067">
        <f t="shared" si="184"/>
        <v>0</v>
      </c>
      <c r="X48" s="1082">
        <v>0</v>
      </c>
      <c r="Y48" s="1082">
        <v>0</v>
      </c>
      <c r="Z48" s="1034">
        <f t="shared" si="176"/>
        <v>0</v>
      </c>
      <c r="AA48" s="1067">
        <f t="shared" si="18"/>
        <v>0</v>
      </c>
      <c r="AB48" s="1065">
        <f>'F.P y DL'!AF452</f>
        <v>0</v>
      </c>
      <c r="AC48" s="1082">
        <f>'F.P y DL'!AG452</f>
        <v>0</v>
      </c>
      <c r="AD48" s="1082">
        <f>'F.P y DL'!AH452</f>
        <v>0</v>
      </c>
      <c r="AE48" s="1082">
        <f>'F.P y DL'!AI452</f>
        <v>0</v>
      </c>
      <c r="AF48" s="1067">
        <f t="shared" si="185"/>
        <v>0</v>
      </c>
      <c r="AG48" s="1082">
        <f>'F.P y DL'!AJ452</f>
        <v>0</v>
      </c>
      <c r="AH48" s="1082">
        <f>'F.P y DL'!AK452</f>
        <v>0</v>
      </c>
      <c r="AI48" s="1034">
        <f t="shared" si="177"/>
        <v>0</v>
      </c>
      <c r="AJ48" s="1067">
        <f t="shared" ref="AJ48:AJ113" si="188">AF48+AI48</f>
        <v>0</v>
      </c>
      <c r="AK48" s="1065">
        <f t="shared" si="178"/>
        <v>0</v>
      </c>
      <c r="AL48" s="1082">
        <f t="shared" si="179"/>
        <v>0</v>
      </c>
      <c r="AM48" s="1082">
        <f t="shared" si="180"/>
        <v>0</v>
      </c>
      <c r="AN48" s="1082">
        <f t="shared" si="181"/>
        <v>0</v>
      </c>
      <c r="AO48" s="1067">
        <f t="shared" si="186"/>
        <v>0</v>
      </c>
      <c r="AP48" s="1073"/>
      <c r="AQ48" s="1083">
        <v>0</v>
      </c>
      <c r="AR48" s="1084">
        <v>0</v>
      </c>
      <c r="AS48" s="1084">
        <v>0</v>
      </c>
      <c r="AT48" s="1084">
        <v>0</v>
      </c>
      <c r="AU48" s="1082">
        <f>'AG3'!L31+'AG3'!L40</f>
        <v>2845</v>
      </c>
      <c r="AV48" s="1067">
        <f t="shared" si="187"/>
        <v>2845</v>
      </c>
      <c r="AW48" s="1034">
        <f t="shared" si="10"/>
        <v>2845</v>
      </c>
      <c r="AX48" s="1071">
        <v>0</v>
      </c>
      <c r="AY48" s="1071">
        <v>0</v>
      </c>
      <c r="AZ48" s="1071">
        <v>0</v>
      </c>
      <c r="BA48" s="1076">
        <f t="shared" si="182"/>
        <v>0</v>
      </c>
      <c r="BB48" s="1082">
        <v>0</v>
      </c>
      <c r="BC48" s="1082">
        <v>0</v>
      </c>
      <c r="BD48" s="1066">
        <v>0</v>
      </c>
      <c r="BE48" s="1076">
        <f t="shared" si="22"/>
        <v>0</v>
      </c>
      <c r="BF48" s="1077">
        <v>0</v>
      </c>
      <c r="BG48" s="1071">
        <v>0</v>
      </c>
      <c r="BH48" s="1076">
        <v>0</v>
      </c>
      <c r="BI48" s="1077">
        <v>0</v>
      </c>
      <c r="BJ48" s="1071">
        <v>0</v>
      </c>
      <c r="BK48" s="1041">
        <v>0</v>
      </c>
      <c r="BL48" s="1077">
        <v>0</v>
      </c>
      <c r="BM48" s="1071">
        <v>0</v>
      </c>
      <c r="BN48" s="1041">
        <v>0</v>
      </c>
      <c r="BO48" s="1077">
        <v>0</v>
      </c>
      <c r="BP48" s="1062">
        <v>0</v>
      </c>
      <c r="BQ48" s="1078">
        <f t="shared" si="15"/>
        <v>0</v>
      </c>
      <c r="BR48" s="1062"/>
      <c r="BS48" s="1079">
        <f t="shared" si="16"/>
        <v>2845</v>
      </c>
      <c r="BT48" s="284" t="s">
        <v>419</v>
      </c>
    </row>
    <row r="49" spans="1:72" ht="18" customHeight="1" x14ac:dyDescent="0.2">
      <c r="A49" s="1050">
        <v>54105</v>
      </c>
      <c r="B49" s="1051" t="s">
        <v>32</v>
      </c>
      <c r="C49" s="1083">
        <f>'F.P y DL'!C453</f>
        <v>1500</v>
      </c>
      <c r="D49" s="1082">
        <f>'F.P y DL'!D453</f>
        <v>550</v>
      </c>
      <c r="E49" s="1082">
        <f>'F.P y DL'!E453</f>
        <v>0</v>
      </c>
      <c r="F49" s="1082">
        <f>'F.P y DL'!F453</f>
        <v>0</v>
      </c>
      <c r="G49" s="1067">
        <f t="shared" si="183"/>
        <v>2050</v>
      </c>
      <c r="H49" s="1068">
        <f>'F.P y DL'!C16</f>
        <v>0</v>
      </c>
      <c r="I49" s="1069">
        <f>'F.P y DL'!D16</f>
        <v>0</v>
      </c>
      <c r="J49" s="1069">
        <f>'F.P y DL'!E16</f>
        <v>0</v>
      </c>
      <c r="K49" s="1069">
        <f>'F.P y DL'!F16</f>
        <v>0</v>
      </c>
      <c r="L49" s="1070">
        <f>SUM(H49:K49)</f>
        <v>0</v>
      </c>
      <c r="M49" s="1062">
        <v>0</v>
      </c>
      <c r="N49" s="1071">
        <v>0</v>
      </c>
      <c r="O49" s="1071">
        <v>0</v>
      </c>
      <c r="P49" s="1071">
        <v>0</v>
      </c>
      <c r="Q49" s="1071">
        <v>0</v>
      </c>
      <c r="R49" s="1072">
        <f t="shared" si="3"/>
        <v>0</v>
      </c>
      <c r="S49" s="1083">
        <f>'F.P y DL'!C124</f>
        <v>0</v>
      </c>
      <c r="T49" s="1082">
        <f>'F.P y DL'!D124</f>
        <v>0</v>
      </c>
      <c r="U49" s="1082">
        <f>'F.P y DL'!E124</f>
        <v>0</v>
      </c>
      <c r="V49" s="1082">
        <f>'F.P y DL'!F124</f>
        <v>0</v>
      </c>
      <c r="W49" s="1067">
        <f t="shared" si="184"/>
        <v>0</v>
      </c>
      <c r="X49" s="1082">
        <v>0</v>
      </c>
      <c r="Y49" s="1082">
        <v>0</v>
      </c>
      <c r="Z49" s="1034">
        <f t="shared" si="176"/>
        <v>0</v>
      </c>
      <c r="AA49" s="1067">
        <f t="shared" si="18"/>
        <v>0</v>
      </c>
      <c r="AB49" s="1083">
        <f>'F.P y DL'!L124</f>
        <v>0</v>
      </c>
      <c r="AC49" s="1082">
        <f>'F.P y DL'!M124</f>
        <v>0</v>
      </c>
      <c r="AD49" s="1082">
        <f>'F.P y DL'!N124</f>
        <v>0</v>
      </c>
      <c r="AE49" s="1082">
        <f>'F.P y DL'!O124</f>
        <v>0</v>
      </c>
      <c r="AF49" s="1067">
        <f t="shared" si="185"/>
        <v>0</v>
      </c>
      <c r="AG49" s="1082">
        <f>'F.P y DL'!AJ453</f>
        <v>0</v>
      </c>
      <c r="AH49" s="1082">
        <f>'F.P y DL'!AK453</f>
        <v>0</v>
      </c>
      <c r="AI49" s="1034">
        <f t="shared" si="177"/>
        <v>0</v>
      </c>
      <c r="AJ49" s="1067">
        <f t="shared" si="188"/>
        <v>0</v>
      </c>
      <c r="AK49" s="1083">
        <f t="shared" si="178"/>
        <v>0</v>
      </c>
      <c r="AL49" s="1082">
        <f t="shared" si="179"/>
        <v>0</v>
      </c>
      <c r="AM49" s="1082">
        <f t="shared" si="180"/>
        <v>0</v>
      </c>
      <c r="AN49" s="1082">
        <f t="shared" si="181"/>
        <v>0</v>
      </c>
      <c r="AO49" s="1067">
        <f t="shared" si="186"/>
        <v>0</v>
      </c>
      <c r="AP49" s="1073"/>
      <c r="AQ49" s="1083">
        <v>0</v>
      </c>
      <c r="AR49" s="1084">
        <v>0</v>
      </c>
      <c r="AS49" s="1084">
        <v>0</v>
      </c>
      <c r="AT49" s="1084">
        <v>0</v>
      </c>
      <c r="AU49" s="1082">
        <v>0</v>
      </c>
      <c r="AV49" s="1067">
        <f t="shared" si="187"/>
        <v>0</v>
      </c>
      <c r="AW49" s="1034">
        <f t="shared" si="10"/>
        <v>0</v>
      </c>
      <c r="AX49" s="1071">
        <v>0</v>
      </c>
      <c r="AY49" s="1071">
        <v>0</v>
      </c>
      <c r="AZ49" s="1071">
        <v>0</v>
      </c>
      <c r="BA49" s="1076">
        <f t="shared" si="182"/>
        <v>0</v>
      </c>
      <c r="BB49" s="1082">
        <v>0</v>
      </c>
      <c r="BC49" s="1082">
        <v>0</v>
      </c>
      <c r="BD49" s="1066">
        <v>0</v>
      </c>
      <c r="BE49" s="1076">
        <f t="shared" si="22"/>
        <v>0</v>
      </c>
      <c r="BF49" s="1077">
        <v>0</v>
      </c>
      <c r="BG49" s="1071">
        <v>0</v>
      </c>
      <c r="BH49" s="1076">
        <v>0</v>
      </c>
      <c r="BI49" s="1077">
        <v>0</v>
      </c>
      <c r="BJ49" s="1071">
        <v>0</v>
      </c>
      <c r="BK49" s="1041">
        <v>0</v>
      </c>
      <c r="BL49" s="1077">
        <v>0</v>
      </c>
      <c r="BM49" s="1071">
        <v>0</v>
      </c>
      <c r="BN49" s="1041">
        <v>0</v>
      </c>
      <c r="BO49" s="1077">
        <v>0</v>
      </c>
      <c r="BP49" s="1062">
        <v>0</v>
      </c>
      <c r="BQ49" s="1078">
        <f t="shared" si="15"/>
        <v>0</v>
      </c>
      <c r="BR49" s="1062"/>
      <c r="BS49" s="1079">
        <f t="shared" si="16"/>
        <v>2050</v>
      </c>
      <c r="BT49" s="284" t="s">
        <v>419</v>
      </c>
    </row>
    <row r="50" spans="1:72" ht="18" customHeight="1" x14ac:dyDescent="0.2">
      <c r="A50" s="1050">
        <v>54106</v>
      </c>
      <c r="B50" s="1051" t="s">
        <v>33</v>
      </c>
      <c r="C50" s="1065">
        <f>'F.P y DL'!C454</f>
        <v>0</v>
      </c>
      <c r="D50" s="1066">
        <f>'F.P y DL'!D454</f>
        <v>0</v>
      </c>
      <c r="E50" s="1066">
        <f>'F.P y DL'!E454</f>
        <v>0</v>
      </c>
      <c r="F50" s="1066">
        <f>'F.P y DL'!F454</f>
        <v>200</v>
      </c>
      <c r="G50" s="1067">
        <f t="shared" si="183"/>
        <v>200</v>
      </c>
      <c r="H50" s="1068">
        <f>'F.P y DL'!C17</f>
        <v>0</v>
      </c>
      <c r="I50" s="1069">
        <f>'F.P y DL'!D17</f>
        <v>0</v>
      </c>
      <c r="J50" s="1069">
        <f>'F.P y DL'!E17</f>
        <v>0</v>
      </c>
      <c r="K50" s="1069">
        <f>'F.P y DL'!F17</f>
        <v>0</v>
      </c>
      <c r="L50" s="1070">
        <f>SUM(H50:J50)</f>
        <v>0</v>
      </c>
      <c r="M50" s="1062">
        <v>0</v>
      </c>
      <c r="N50" s="1071">
        <v>0</v>
      </c>
      <c r="O50" s="1071">
        <v>0</v>
      </c>
      <c r="P50" s="1071">
        <v>0</v>
      </c>
      <c r="Q50" s="1071">
        <v>0</v>
      </c>
      <c r="R50" s="1072">
        <f t="shared" si="3"/>
        <v>0</v>
      </c>
      <c r="S50" s="1065">
        <f>'F.P y DL'!W454</f>
        <v>0</v>
      </c>
      <c r="T50" s="1066">
        <f>'F.P y DL'!X454</f>
        <v>0</v>
      </c>
      <c r="U50" s="1066">
        <f>'F.P y DL'!Y454</f>
        <v>0</v>
      </c>
      <c r="V50" s="1066">
        <f>'F.P y DL'!Z454</f>
        <v>0</v>
      </c>
      <c r="W50" s="1067">
        <f t="shared" si="184"/>
        <v>0</v>
      </c>
      <c r="X50" s="1066">
        <v>0</v>
      </c>
      <c r="Y50" s="1066">
        <v>0</v>
      </c>
      <c r="Z50" s="1034">
        <f t="shared" si="176"/>
        <v>0</v>
      </c>
      <c r="AA50" s="1067">
        <f t="shared" si="18"/>
        <v>0</v>
      </c>
      <c r="AB50" s="1065">
        <f>'F.P y DL'!AF454</f>
        <v>0</v>
      </c>
      <c r="AC50" s="1066">
        <f>'F.P y DL'!AG454</f>
        <v>0</v>
      </c>
      <c r="AD50" s="1066">
        <f>'F.P y DL'!AH454</f>
        <v>0</v>
      </c>
      <c r="AE50" s="1066">
        <f>'F.P y DL'!AI454</f>
        <v>0</v>
      </c>
      <c r="AF50" s="1067">
        <f t="shared" si="185"/>
        <v>0</v>
      </c>
      <c r="AG50" s="1066">
        <f>'F.P y DL'!AJ454</f>
        <v>0</v>
      </c>
      <c r="AH50" s="1066">
        <f>'F.P y DL'!AK454</f>
        <v>0</v>
      </c>
      <c r="AI50" s="1034">
        <f t="shared" si="177"/>
        <v>0</v>
      </c>
      <c r="AJ50" s="1067">
        <f t="shared" si="188"/>
        <v>0</v>
      </c>
      <c r="AK50" s="1065">
        <f t="shared" si="178"/>
        <v>0</v>
      </c>
      <c r="AL50" s="1066">
        <f t="shared" si="179"/>
        <v>0</v>
      </c>
      <c r="AM50" s="1066">
        <f t="shared" si="180"/>
        <v>0</v>
      </c>
      <c r="AN50" s="1066">
        <f t="shared" si="181"/>
        <v>0</v>
      </c>
      <c r="AO50" s="1067">
        <f t="shared" si="186"/>
        <v>0</v>
      </c>
      <c r="AP50" s="1073"/>
      <c r="AQ50" s="1074">
        <v>0</v>
      </c>
      <c r="AR50" s="1075">
        <v>0</v>
      </c>
      <c r="AS50" s="1075">
        <v>0</v>
      </c>
      <c r="AT50" s="1075">
        <v>0</v>
      </c>
      <c r="AU50" s="1066">
        <f>'AG3'!L32</f>
        <v>66.25</v>
      </c>
      <c r="AV50" s="1067">
        <f t="shared" si="187"/>
        <v>66.25</v>
      </c>
      <c r="AW50" s="1034">
        <f t="shared" si="10"/>
        <v>66.25</v>
      </c>
      <c r="AX50" s="1071">
        <v>0</v>
      </c>
      <c r="AY50" s="1071">
        <v>0</v>
      </c>
      <c r="AZ50" s="1071">
        <v>0</v>
      </c>
      <c r="BA50" s="1076">
        <f t="shared" si="182"/>
        <v>0</v>
      </c>
      <c r="BB50" s="1066">
        <v>0</v>
      </c>
      <c r="BC50" s="1066">
        <v>0</v>
      </c>
      <c r="BD50" s="1066">
        <v>0</v>
      </c>
      <c r="BE50" s="1076">
        <f t="shared" si="22"/>
        <v>0</v>
      </c>
      <c r="BF50" s="1077">
        <v>0</v>
      </c>
      <c r="BG50" s="1071">
        <v>0</v>
      </c>
      <c r="BH50" s="1076">
        <v>0</v>
      </c>
      <c r="BI50" s="1077">
        <v>0</v>
      </c>
      <c r="BJ50" s="1071">
        <v>0</v>
      </c>
      <c r="BK50" s="1041">
        <v>0</v>
      </c>
      <c r="BL50" s="1077">
        <v>0</v>
      </c>
      <c r="BM50" s="1071">
        <v>0</v>
      </c>
      <c r="BN50" s="1041">
        <v>0</v>
      </c>
      <c r="BO50" s="1077">
        <v>0</v>
      </c>
      <c r="BP50" s="1062">
        <v>0</v>
      </c>
      <c r="BQ50" s="1078">
        <f t="shared" si="15"/>
        <v>0</v>
      </c>
      <c r="BR50" s="1062"/>
      <c r="BS50" s="1079">
        <f t="shared" si="16"/>
        <v>266.25</v>
      </c>
      <c r="BT50" s="284" t="s">
        <v>419</v>
      </c>
    </row>
    <row r="51" spans="1:72" ht="18" customHeight="1" x14ac:dyDescent="0.2">
      <c r="A51" s="1050">
        <v>54107</v>
      </c>
      <c r="B51" s="1051" t="s">
        <v>34</v>
      </c>
      <c r="C51" s="1065">
        <f>'F.P y DL'!C455</f>
        <v>700</v>
      </c>
      <c r="D51" s="1066">
        <f>'F.P y DL'!D455</f>
        <v>15</v>
      </c>
      <c r="E51" s="1066">
        <f>'F.P y DL'!E455</f>
        <v>55</v>
      </c>
      <c r="F51" s="1066">
        <f>'F.P y DL'!F455</f>
        <v>1050</v>
      </c>
      <c r="G51" s="1067">
        <f t="shared" si="183"/>
        <v>1820</v>
      </c>
      <c r="H51" s="1068">
        <f>'F.P y DL'!C18</f>
        <v>0</v>
      </c>
      <c r="I51" s="1069">
        <f>'F.P y DL'!D18</f>
        <v>0</v>
      </c>
      <c r="J51" s="1069">
        <f>'F.P y DL'!E18</f>
        <v>0</v>
      </c>
      <c r="K51" s="1069">
        <f>'F.P y DL'!F18</f>
        <v>0</v>
      </c>
      <c r="L51" s="1070">
        <f>SUM(H51:K51)</f>
        <v>0</v>
      </c>
      <c r="M51" s="1062">
        <v>0</v>
      </c>
      <c r="N51" s="1071">
        <v>0</v>
      </c>
      <c r="O51" s="1071">
        <v>0</v>
      </c>
      <c r="P51" s="1071">
        <v>0</v>
      </c>
      <c r="Q51" s="1071">
        <v>0</v>
      </c>
      <c r="R51" s="1072">
        <f t="shared" si="3"/>
        <v>0</v>
      </c>
      <c r="S51" s="1065">
        <f>'F.P y DL'!W455</f>
        <v>0</v>
      </c>
      <c r="T51" s="1066">
        <f>'F.P y DL'!X455</f>
        <v>0</v>
      </c>
      <c r="U51" s="1066">
        <f>'F.P y DL'!Y455</f>
        <v>0</v>
      </c>
      <c r="V51" s="1066">
        <f>'F.P y DL'!Z455</f>
        <v>0</v>
      </c>
      <c r="W51" s="1067">
        <f t="shared" si="184"/>
        <v>0</v>
      </c>
      <c r="X51" s="1066">
        <v>0</v>
      </c>
      <c r="Y51" s="1066">
        <v>0</v>
      </c>
      <c r="Z51" s="1034">
        <f t="shared" si="176"/>
        <v>0</v>
      </c>
      <c r="AA51" s="1067">
        <f t="shared" si="18"/>
        <v>0</v>
      </c>
      <c r="AB51" s="1065">
        <f>'F.P y DL'!AF455</f>
        <v>0</v>
      </c>
      <c r="AC51" s="1066">
        <f>'F.P y DL'!AG455</f>
        <v>0</v>
      </c>
      <c r="AD51" s="1066">
        <f>'F.P y DL'!AH455</f>
        <v>0</v>
      </c>
      <c r="AE51" s="1066">
        <f>'F.P y DL'!AI455</f>
        <v>0</v>
      </c>
      <c r="AF51" s="1067">
        <f t="shared" si="185"/>
        <v>0</v>
      </c>
      <c r="AG51" s="1066">
        <f>'F.P y DL'!AJ455</f>
        <v>0</v>
      </c>
      <c r="AH51" s="1066">
        <f>'F.P y DL'!AK455</f>
        <v>0</v>
      </c>
      <c r="AI51" s="1034">
        <f t="shared" si="177"/>
        <v>0</v>
      </c>
      <c r="AJ51" s="1067">
        <f t="shared" si="188"/>
        <v>0</v>
      </c>
      <c r="AK51" s="1065">
        <f t="shared" si="178"/>
        <v>0</v>
      </c>
      <c r="AL51" s="1066">
        <f t="shared" si="179"/>
        <v>0</v>
      </c>
      <c r="AM51" s="1066">
        <f t="shared" si="180"/>
        <v>0</v>
      </c>
      <c r="AN51" s="1066">
        <f t="shared" si="181"/>
        <v>0</v>
      </c>
      <c r="AO51" s="1067">
        <f t="shared" si="186"/>
        <v>0</v>
      </c>
      <c r="AP51" s="1073"/>
      <c r="AQ51" s="1074">
        <v>0</v>
      </c>
      <c r="AR51" s="1075">
        <f>'AG3'!I24</f>
        <v>720</v>
      </c>
      <c r="AS51" s="1075">
        <v>0</v>
      </c>
      <c r="AT51" s="1075">
        <v>0</v>
      </c>
      <c r="AU51" s="1066">
        <f>'AG3'!L33+'AG3'!L52</f>
        <v>1591</v>
      </c>
      <c r="AV51" s="1067">
        <f t="shared" si="187"/>
        <v>2311</v>
      </c>
      <c r="AW51" s="1034">
        <f t="shared" si="10"/>
        <v>2311</v>
      </c>
      <c r="AX51" s="1071">
        <v>0</v>
      </c>
      <c r="AY51" s="1071">
        <v>0</v>
      </c>
      <c r="AZ51" s="1071">
        <v>0</v>
      </c>
      <c r="BA51" s="1076">
        <f t="shared" si="182"/>
        <v>0</v>
      </c>
      <c r="BB51" s="1066">
        <v>0</v>
      </c>
      <c r="BC51" s="1066">
        <v>0</v>
      </c>
      <c r="BD51" s="1066">
        <v>0</v>
      </c>
      <c r="BE51" s="1076">
        <f t="shared" si="22"/>
        <v>0</v>
      </c>
      <c r="BF51" s="1077">
        <v>0</v>
      </c>
      <c r="BG51" s="1071">
        <v>0</v>
      </c>
      <c r="BH51" s="1076">
        <v>0</v>
      </c>
      <c r="BI51" s="1077">
        <v>0</v>
      </c>
      <c r="BJ51" s="1071">
        <v>0</v>
      </c>
      <c r="BK51" s="1041">
        <v>0</v>
      </c>
      <c r="BL51" s="1077">
        <v>0</v>
      </c>
      <c r="BM51" s="1071">
        <v>0</v>
      </c>
      <c r="BN51" s="1041">
        <v>0</v>
      </c>
      <c r="BO51" s="1077">
        <v>0</v>
      </c>
      <c r="BP51" s="1062">
        <v>0</v>
      </c>
      <c r="BQ51" s="1078">
        <f t="shared" si="15"/>
        <v>0</v>
      </c>
      <c r="BR51" s="1062"/>
      <c r="BS51" s="1079">
        <f t="shared" si="16"/>
        <v>4131</v>
      </c>
      <c r="BT51" s="284" t="s">
        <v>419</v>
      </c>
    </row>
    <row r="52" spans="1:72" ht="18" customHeight="1" x14ac:dyDescent="0.2">
      <c r="A52" s="1050">
        <v>54108</v>
      </c>
      <c r="B52" s="1051" t="s">
        <v>35</v>
      </c>
      <c r="C52" s="1065">
        <f>'F.P y DL'!C456</f>
        <v>0</v>
      </c>
      <c r="D52" s="1066">
        <f>'F.P y DL'!D456</f>
        <v>0</v>
      </c>
      <c r="E52" s="1066">
        <f>'F.P y DL'!E456</f>
        <v>0</v>
      </c>
      <c r="F52" s="1066">
        <f>'F.P y DL'!F456</f>
        <v>0</v>
      </c>
      <c r="G52" s="1067">
        <f t="shared" si="183"/>
        <v>0</v>
      </c>
      <c r="H52" s="1068">
        <f>'F.P y DL'!C19</f>
        <v>0</v>
      </c>
      <c r="I52" s="1069">
        <f>'F.P y DL'!D19</f>
        <v>0</v>
      </c>
      <c r="J52" s="1069">
        <f>'F.P y DL'!E19</f>
        <v>0</v>
      </c>
      <c r="K52" s="1069">
        <f>'F.P y DL'!F19</f>
        <v>0</v>
      </c>
      <c r="L52" s="1070">
        <f>SUM(H52:J52)</f>
        <v>0</v>
      </c>
      <c r="M52" s="1062">
        <v>0</v>
      </c>
      <c r="N52" s="1071">
        <v>0</v>
      </c>
      <c r="O52" s="1071">
        <v>0</v>
      </c>
      <c r="P52" s="1071">
        <v>0</v>
      </c>
      <c r="Q52" s="1071">
        <v>0</v>
      </c>
      <c r="R52" s="1072">
        <f t="shared" si="3"/>
        <v>0</v>
      </c>
      <c r="S52" s="1065">
        <f>'F.P y DL'!W456</f>
        <v>0</v>
      </c>
      <c r="T52" s="1066">
        <f>'F.P y DL'!X456</f>
        <v>0</v>
      </c>
      <c r="U52" s="1066">
        <f>'F.P y DL'!Y456</f>
        <v>0</v>
      </c>
      <c r="V52" s="1066">
        <f>'F.P y DL'!Z456</f>
        <v>0</v>
      </c>
      <c r="W52" s="1067">
        <f t="shared" si="184"/>
        <v>0</v>
      </c>
      <c r="X52" s="1066">
        <v>0</v>
      </c>
      <c r="Y52" s="1066">
        <v>0</v>
      </c>
      <c r="Z52" s="1034">
        <f t="shared" si="176"/>
        <v>0</v>
      </c>
      <c r="AA52" s="1067">
        <f t="shared" si="18"/>
        <v>0</v>
      </c>
      <c r="AB52" s="1065">
        <f>'F.P y DL'!AF456</f>
        <v>0</v>
      </c>
      <c r="AC52" s="1066">
        <f>'F.P y DL'!AG456</f>
        <v>0</v>
      </c>
      <c r="AD52" s="1066">
        <f>'F.P y DL'!AH456</f>
        <v>0</v>
      </c>
      <c r="AE52" s="1066">
        <f>'F.P y DL'!AI456</f>
        <v>0</v>
      </c>
      <c r="AF52" s="1067">
        <f t="shared" si="185"/>
        <v>0</v>
      </c>
      <c r="AG52" s="1066">
        <f>'F.P y DL'!AJ456</f>
        <v>0</v>
      </c>
      <c r="AH52" s="1066">
        <f>'F.P y DL'!AK456</f>
        <v>0</v>
      </c>
      <c r="AI52" s="1034">
        <f t="shared" si="177"/>
        <v>0</v>
      </c>
      <c r="AJ52" s="1067">
        <f t="shared" si="188"/>
        <v>0</v>
      </c>
      <c r="AK52" s="1065">
        <f t="shared" si="178"/>
        <v>0</v>
      </c>
      <c r="AL52" s="1066">
        <f t="shared" si="179"/>
        <v>0</v>
      </c>
      <c r="AM52" s="1066">
        <f t="shared" si="180"/>
        <v>0</v>
      </c>
      <c r="AN52" s="1066">
        <f t="shared" si="181"/>
        <v>0</v>
      </c>
      <c r="AO52" s="1067">
        <f t="shared" si="186"/>
        <v>0</v>
      </c>
      <c r="AP52" s="1073"/>
      <c r="AQ52" s="1083">
        <v>0</v>
      </c>
      <c r="AR52" s="1082">
        <v>0</v>
      </c>
      <c r="AS52" s="1082">
        <v>0</v>
      </c>
      <c r="AT52" s="1082">
        <v>0</v>
      </c>
      <c r="AU52" s="1082">
        <v>0</v>
      </c>
      <c r="AV52" s="1067">
        <f t="shared" si="187"/>
        <v>0</v>
      </c>
      <c r="AW52" s="1055">
        <f t="shared" si="10"/>
        <v>0</v>
      </c>
      <c r="AX52" s="1071">
        <v>0</v>
      </c>
      <c r="AY52" s="1071">
        <v>0</v>
      </c>
      <c r="AZ52" s="1071">
        <v>0</v>
      </c>
      <c r="BA52" s="1076">
        <f t="shared" si="182"/>
        <v>0</v>
      </c>
      <c r="BB52" s="1066">
        <f>'AG3'!N61</f>
        <v>177.1</v>
      </c>
      <c r="BC52" s="1066">
        <v>0</v>
      </c>
      <c r="BD52" s="1066">
        <v>0</v>
      </c>
      <c r="BE52" s="1076">
        <f t="shared" si="22"/>
        <v>177.1</v>
      </c>
      <c r="BF52" s="1077">
        <v>0</v>
      </c>
      <c r="BG52" s="1071">
        <v>0</v>
      </c>
      <c r="BH52" s="1076">
        <v>0</v>
      </c>
      <c r="BI52" s="1077">
        <v>0</v>
      </c>
      <c r="BJ52" s="1071">
        <v>0</v>
      </c>
      <c r="BK52" s="1041">
        <v>0</v>
      </c>
      <c r="BL52" s="1077">
        <v>0</v>
      </c>
      <c r="BM52" s="1071">
        <v>0</v>
      </c>
      <c r="BN52" s="1041">
        <v>0</v>
      </c>
      <c r="BO52" s="1077">
        <v>0</v>
      </c>
      <c r="BP52" s="1062">
        <v>0</v>
      </c>
      <c r="BQ52" s="1078">
        <f t="shared" si="15"/>
        <v>0</v>
      </c>
      <c r="BR52" s="1062"/>
      <c r="BS52" s="1079">
        <f t="shared" si="16"/>
        <v>177.1</v>
      </c>
      <c r="BT52" s="284" t="s">
        <v>419</v>
      </c>
    </row>
    <row r="53" spans="1:72" ht="18" customHeight="1" x14ac:dyDescent="0.2">
      <c r="A53" s="1050">
        <v>54109</v>
      </c>
      <c r="B53" s="1051" t="s">
        <v>36</v>
      </c>
      <c r="C53" s="1065">
        <f>'F.P y DL'!C457</f>
        <v>520</v>
      </c>
      <c r="D53" s="1066">
        <f>'F.P y DL'!D457</f>
        <v>0</v>
      </c>
      <c r="E53" s="1066">
        <f>'F.P y DL'!E457</f>
        <v>0</v>
      </c>
      <c r="F53" s="1066">
        <f>'F.P y DL'!F457</f>
        <v>180</v>
      </c>
      <c r="G53" s="1067">
        <f t="shared" si="183"/>
        <v>700</v>
      </c>
      <c r="H53" s="1068">
        <f>'F.P y DL'!C20</f>
        <v>0</v>
      </c>
      <c r="I53" s="1069">
        <f>'F.P y DL'!D20</f>
        <v>0</v>
      </c>
      <c r="J53" s="1069">
        <f>'F.P y DL'!E20</f>
        <v>0</v>
      </c>
      <c r="K53" s="1069">
        <f>'F.P y DL'!F20</f>
        <v>0</v>
      </c>
      <c r="L53" s="1070">
        <f>SUM(H53:K53)</f>
        <v>0</v>
      </c>
      <c r="M53" s="1062">
        <v>0</v>
      </c>
      <c r="N53" s="1071">
        <v>0</v>
      </c>
      <c r="O53" s="1071">
        <v>0</v>
      </c>
      <c r="P53" s="1071">
        <v>0</v>
      </c>
      <c r="Q53" s="1071">
        <v>0</v>
      </c>
      <c r="R53" s="1072">
        <f t="shared" si="3"/>
        <v>0</v>
      </c>
      <c r="S53" s="1065">
        <f>'F.P y DL'!W457</f>
        <v>0</v>
      </c>
      <c r="T53" s="1066">
        <f>'F.P y DL'!X457</f>
        <v>0</v>
      </c>
      <c r="U53" s="1066">
        <f>'F.P y DL'!Y457</f>
        <v>0</v>
      </c>
      <c r="V53" s="1066">
        <f>'F.P y DL'!Z457</f>
        <v>0</v>
      </c>
      <c r="W53" s="1067">
        <f t="shared" si="184"/>
        <v>0</v>
      </c>
      <c r="X53" s="1066">
        <v>0</v>
      </c>
      <c r="Y53" s="1066">
        <v>0</v>
      </c>
      <c r="Z53" s="1034">
        <f t="shared" si="176"/>
        <v>0</v>
      </c>
      <c r="AA53" s="1067">
        <f t="shared" si="18"/>
        <v>0</v>
      </c>
      <c r="AB53" s="1065">
        <f>'F.P y DL'!AF457</f>
        <v>0</v>
      </c>
      <c r="AC53" s="1066">
        <f>'F.P y DL'!AG457</f>
        <v>0</v>
      </c>
      <c r="AD53" s="1066">
        <f>'F.P y DL'!AH457</f>
        <v>0</v>
      </c>
      <c r="AE53" s="1066">
        <f>'F.P y DL'!AI457</f>
        <v>0</v>
      </c>
      <c r="AF53" s="1067">
        <f t="shared" si="185"/>
        <v>0</v>
      </c>
      <c r="AG53" s="1066">
        <f>'F.P y DL'!AJ457</f>
        <v>0</v>
      </c>
      <c r="AH53" s="1066">
        <f>'F.P y DL'!AK457</f>
        <v>0</v>
      </c>
      <c r="AI53" s="1034">
        <f t="shared" si="177"/>
        <v>0</v>
      </c>
      <c r="AJ53" s="1067">
        <f t="shared" si="188"/>
        <v>0</v>
      </c>
      <c r="AK53" s="1065">
        <f t="shared" si="178"/>
        <v>0</v>
      </c>
      <c r="AL53" s="1066">
        <f t="shared" si="179"/>
        <v>0</v>
      </c>
      <c r="AM53" s="1066">
        <f t="shared" si="180"/>
        <v>0</v>
      </c>
      <c r="AN53" s="1066">
        <f t="shared" si="181"/>
        <v>0</v>
      </c>
      <c r="AO53" s="1067">
        <f t="shared" si="186"/>
        <v>0</v>
      </c>
      <c r="AP53" s="1073"/>
      <c r="AQ53" s="1083">
        <v>0</v>
      </c>
      <c r="AR53" s="1082">
        <v>0</v>
      </c>
      <c r="AS53" s="1082">
        <v>0</v>
      </c>
      <c r="AT53" s="1082">
        <f>'AG3'!K15</f>
        <v>2200</v>
      </c>
      <c r="AU53" s="1082">
        <v>0</v>
      </c>
      <c r="AV53" s="1067">
        <f t="shared" si="187"/>
        <v>2200</v>
      </c>
      <c r="AW53" s="1055">
        <f t="shared" si="10"/>
        <v>2200</v>
      </c>
      <c r="AX53" s="1071">
        <v>0</v>
      </c>
      <c r="AY53" s="1071">
        <v>0</v>
      </c>
      <c r="AZ53" s="1071">
        <v>0</v>
      </c>
      <c r="BA53" s="1076">
        <f t="shared" si="182"/>
        <v>0</v>
      </c>
      <c r="BB53" s="1066">
        <v>0</v>
      </c>
      <c r="BC53" s="1066">
        <v>0</v>
      </c>
      <c r="BD53" s="1066">
        <v>0</v>
      </c>
      <c r="BE53" s="1076">
        <f t="shared" si="22"/>
        <v>0</v>
      </c>
      <c r="BF53" s="1077">
        <v>0</v>
      </c>
      <c r="BG53" s="1071">
        <v>0</v>
      </c>
      <c r="BH53" s="1076">
        <v>0</v>
      </c>
      <c r="BI53" s="1077">
        <v>0</v>
      </c>
      <c r="BJ53" s="1071">
        <v>0</v>
      </c>
      <c r="BK53" s="1041">
        <v>0</v>
      </c>
      <c r="BL53" s="1077">
        <v>0</v>
      </c>
      <c r="BM53" s="1071">
        <v>0</v>
      </c>
      <c r="BN53" s="1041">
        <v>0</v>
      </c>
      <c r="BO53" s="1077">
        <v>0</v>
      </c>
      <c r="BP53" s="1062">
        <v>0</v>
      </c>
      <c r="BQ53" s="1078">
        <f t="shared" si="15"/>
        <v>0</v>
      </c>
      <c r="BR53" s="1062"/>
      <c r="BS53" s="1079">
        <f t="shared" si="16"/>
        <v>2900</v>
      </c>
      <c r="BT53" s="284" t="s">
        <v>419</v>
      </c>
    </row>
    <row r="54" spans="1:72" ht="18" customHeight="1" x14ac:dyDescent="0.2">
      <c r="A54" s="1050">
        <v>54110</v>
      </c>
      <c r="B54" s="1051" t="s">
        <v>37</v>
      </c>
      <c r="C54" s="1065">
        <f>'F.P y DL'!C458</f>
        <v>5400</v>
      </c>
      <c r="D54" s="1066">
        <f>'F.P y DL'!D458</f>
        <v>0</v>
      </c>
      <c r="E54" s="1066">
        <f>'F.P y DL'!E458</f>
        <v>0</v>
      </c>
      <c r="F54" s="1066">
        <f>'F.P y DL'!F458</f>
        <v>13500</v>
      </c>
      <c r="G54" s="1067">
        <f t="shared" si="183"/>
        <v>18900</v>
      </c>
      <c r="H54" s="1068">
        <f>'F.P y DL'!C21</f>
        <v>0</v>
      </c>
      <c r="I54" s="1069">
        <f>'F.P y DL'!D21</f>
        <v>0</v>
      </c>
      <c r="J54" s="1069">
        <f>'F.P y DL'!E21</f>
        <v>0</v>
      </c>
      <c r="K54" s="1069">
        <f>'F.P y DL'!F21</f>
        <v>0</v>
      </c>
      <c r="L54" s="1070">
        <f t="shared" ref="L54:L70" si="189">SUM(H54:K54)</f>
        <v>0</v>
      </c>
      <c r="M54" s="1062">
        <v>0</v>
      </c>
      <c r="N54" s="1071">
        <v>0</v>
      </c>
      <c r="O54" s="1071">
        <v>0</v>
      </c>
      <c r="P54" s="1071">
        <v>0</v>
      </c>
      <c r="Q54" s="1071">
        <v>0</v>
      </c>
      <c r="R54" s="1072">
        <f t="shared" si="3"/>
        <v>0</v>
      </c>
      <c r="S54" s="1065">
        <f>'F.P y DL'!C129</f>
        <v>0</v>
      </c>
      <c r="T54" s="1066">
        <f>'F.P y DL'!D129</f>
        <v>0</v>
      </c>
      <c r="U54" s="1066">
        <f>'F.P y DL'!E129</f>
        <v>0</v>
      </c>
      <c r="V54" s="1066">
        <f>'F.P y DL'!F129</f>
        <v>0</v>
      </c>
      <c r="W54" s="1067">
        <f t="shared" si="184"/>
        <v>0</v>
      </c>
      <c r="X54" s="1066">
        <v>0</v>
      </c>
      <c r="Y54" s="1066">
        <v>0</v>
      </c>
      <c r="Z54" s="1034">
        <f t="shared" si="176"/>
        <v>0</v>
      </c>
      <c r="AA54" s="1067">
        <f t="shared" si="18"/>
        <v>0</v>
      </c>
      <c r="AB54" s="1065">
        <f>'F.P y DL'!C237</f>
        <v>0</v>
      </c>
      <c r="AC54" s="1066">
        <f>'F.P y DL'!D237</f>
        <v>0</v>
      </c>
      <c r="AD54" s="1066">
        <f>'F.P y DL'!E237</f>
        <v>0</v>
      </c>
      <c r="AE54" s="1066">
        <f>'F.P y DL'!F237</f>
        <v>0</v>
      </c>
      <c r="AF54" s="1067">
        <f t="shared" si="185"/>
        <v>0</v>
      </c>
      <c r="AG54" s="1066">
        <f>'F.P y DL'!AJ458</f>
        <v>0</v>
      </c>
      <c r="AH54" s="1066">
        <f>'F.P y DL'!AK458</f>
        <v>0</v>
      </c>
      <c r="AI54" s="1034">
        <f t="shared" si="177"/>
        <v>0</v>
      </c>
      <c r="AJ54" s="1067">
        <f t="shared" si="188"/>
        <v>0</v>
      </c>
      <c r="AK54" s="1065">
        <f t="shared" si="178"/>
        <v>0</v>
      </c>
      <c r="AL54" s="1066">
        <f t="shared" si="179"/>
        <v>0</v>
      </c>
      <c r="AM54" s="1066">
        <f t="shared" si="180"/>
        <v>0</v>
      </c>
      <c r="AN54" s="1066">
        <f t="shared" si="181"/>
        <v>0</v>
      </c>
      <c r="AO54" s="1067">
        <f t="shared" si="186"/>
        <v>0</v>
      </c>
      <c r="AP54" s="1073"/>
      <c r="AQ54" s="1083">
        <v>0</v>
      </c>
      <c r="AR54" s="1082">
        <v>0</v>
      </c>
      <c r="AS54" s="1082">
        <v>0</v>
      </c>
      <c r="AT54" s="1082">
        <v>0</v>
      </c>
      <c r="AU54" s="1082">
        <v>0</v>
      </c>
      <c r="AV54" s="1067">
        <f t="shared" si="187"/>
        <v>0</v>
      </c>
      <c r="AW54" s="1055">
        <f t="shared" si="10"/>
        <v>0</v>
      </c>
      <c r="AX54" s="1071">
        <v>0</v>
      </c>
      <c r="AY54" s="1071">
        <v>0</v>
      </c>
      <c r="AZ54" s="1071">
        <v>0</v>
      </c>
      <c r="BA54" s="1076">
        <f t="shared" si="182"/>
        <v>0</v>
      </c>
      <c r="BB54" s="1066">
        <v>0</v>
      </c>
      <c r="BC54" s="1066">
        <v>0</v>
      </c>
      <c r="BD54" s="1066">
        <v>0</v>
      </c>
      <c r="BE54" s="1076">
        <f t="shared" si="22"/>
        <v>0</v>
      </c>
      <c r="BF54" s="1077">
        <v>0</v>
      </c>
      <c r="BG54" s="1071">
        <v>0</v>
      </c>
      <c r="BH54" s="1076">
        <v>0</v>
      </c>
      <c r="BI54" s="1077">
        <v>0</v>
      </c>
      <c r="BJ54" s="1071">
        <v>0</v>
      </c>
      <c r="BK54" s="1041">
        <v>0</v>
      </c>
      <c r="BL54" s="1077">
        <v>0</v>
      </c>
      <c r="BM54" s="1071">
        <v>0</v>
      </c>
      <c r="BN54" s="1041">
        <v>0</v>
      </c>
      <c r="BO54" s="1077">
        <v>0</v>
      </c>
      <c r="BP54" s="1062">
        <v>0</v>
      </c>
      <c r="BQ54" s="1078">
        <f t="shared" si="15"/>
        <v>0</v>
      </c>
      <c r="BR54" s="1062"/>
      <c r="BS54" s="1079">
        <f t="shared" si="16"/>
        <v>18900</v>
      </c>
      <c r="BT54" s="284" t="s">
        <v>419</v>
      </c>
    </row>
    <row r="55" spans="1:72" ht="18" customHeight="1" x14ac:dyDescent="0.2">
      <c r="A55" s="1050">
        <v>54111</v>
      </c>
      <c r="B55" s="1051" t="s">
        <v>38</v>
      </c>
      <c r="C55" s="1065">
        <f>'F.P y DL'!C459</f>
        <v>0</v>
      </c>
      <c r="D55" s="1066">
        <f>'F.P y DL'!D459</f>
        <v>0</v>
      </c>
      <c r="E55" s="1066">
        <f>'F.P y DL'!E459</f>
        <v>0</v>
      </c>
      <c r="F55" s="1066">
        <f>'F.P y DL'!F459</f>
        <v>300</v>
      </c>
      <c r="G55" s="1067">
        <f t="shared" si="183"/>
        <v>300</v>
      </c>
      <c r="H55" s="1068">
        <f>'F.P y DL'!C22</f>
        <v>0</v>
      </c>
      <c r="I55" s="1069">
        <f>'F.P y DL'!D22</f>
        <v>0</v>
      </c>
      <c r="J55" s="1069">
        <f>'F.P y DL'!E22</f>
        <v>0</v>
      </c>
      <c r="K55" s="1069">
        <f>'F.P y DL'!F22</f>
        <v>0</v>
      </c>
      <c r="L55" s="1070">
        <f t="shared" si="189"/>
        <v>0</v>
      </c>
      <c r="M55" s="1062">
        <v>0</v>
      </c>
      <c r="N55" s="1071">
        <v>0</v>
      </c>
      <c r="O55" s="1071">
        <v>0</v>
      </c>
      <c r="P55" s="1071">
        <v>0</v>
      </c>
      <c r="Q55" s="1071">
        <v>0</v>
      </c>
      <c r="R55" s="1072">
        <f t="shared" si="3"/>
        <v>0</v>
      </c>
      <c r="S55" s="1065">
        <f>'F.P y DL'!W459</f>
        <v>0</v>
      </c>
      <c r="T55" s="1066">
        <f>'F.P y DL'!X459</f>
        <v>0</v>
      </c>
      <c r="U55" s="1066">
        <f>'F.P y DL'!Y459</f>
        <v>0</v>
      </c>
      <c r="V55" s="1066">
        <f>'F.P y DL'!Z459</f>
        <v>0</v>
      </c>
      <c r="W55" s="1067">
        <f t="shared" si="184"/>
        <v>0</v>
      </c>
      <c r="X55" s="1066">
        <v>0</v>
      </c>
      <c r="Y55" s="1066">
        <v>0</v>
      </c>
      <c r="Z55" s="1034">
        <f t="shared" si="176"/>
        <v>0</v>
      </c>
      <c r="AA55" s="1067">
        <f t="shared" si="18"/>
        <v>0</v>
      </c>
      <c r="AB55" s="1065">
        <f>'F.P y DL'!AF459</f>
        <v>0</v>
      </c>
      <c r="AC55" s="1066">
        <f>'F.P y DL'!AG459</f>
        <v>0</v>
      </c>
      <c r="AD55" s="1066">
        <f>'F.P y DL'!AH459</f>
        <v>0</v>
      </c>
      <c r="AE55" s="1066">
        <f>'F.P y DL'!AI459</f>
        <v>0</v>
      </c>
      <c r="AF55" s="1067">
        <f t="shared" si="185"/>
        <v>0</v>
      </c>
      <c r="AG55" s="1066">
        <f>'F.P y DL'!AJ459</f>
        <v>0</v>
      </c>
      <c r="AH55" s="1066">
        <f>'F.P y DL'!AK459</f>
        <v>0</v>
      </c>
      <c r="AI55" s="1034">
        <f t="shared" si="177"/>
        <v>0</v>
      </c>
      <c r="AJ55" s="1067">
        <f t="shared" si="188"/>
        <v>0</v>
      </c>
      <c r="AK55" s="1065">
        <f t="shared" si="178"/>
        <v>0</v>
      </c>
      <c r="AL55" s="1066">
        <f t="shared" si="179"/>
        <v>0</v>
      </c>
      <c r="AM55" s="1066">
        <f t="shared" si="180"/>
        <v>0</v>
      </c>
      <c r="AN55" s="1066">
        <f t="shared" si="181"/>
        <v>0</v>
      </c>
      <c r="AO55" s="1067">
        <f t="shared" si="186"/>
        <v>0</v>
      </c>
      <c r="AP55" s="1073"/>
      <c r="AQ55" s="1083">
        <v>0</v>
      </c>
      <c r="AR55" s="1082">
        <v>0</v>
      </c>
      <c r="AS55" s="1082">
        <v>0</v>
      </c>
      <c r="AT55" s="1082">
        <v>0</v>
      </c>
      <c r="AU55" s="1082">
        <f>'AG3'!L53</f>
        <v>199</v>
      </c>
      <c r="AV55" s="1067">
        <f t="shared" si="187"/>
        <v>199</v>
      </c>
      <c r="AW55" s="1055">
        <f t="shared" si="10"/>
        <v>199</v>
      </c>
      <c r="AX55" s="1071">
        <v>0</v>
      </c>
      <c r="AY55" s="1071">
        <v>0</v>
      </c>
      <c r="AZ55" s="1071">
        <v>0</v>
      </c>
      <c r="BA55" s="1076">
        <f t="shared" si="182"/>
        <v>0</v>
      </c>
      <c r="BB55" s="1066">
        <v>0</v>
      </c>
      <c r="BC55" s="1066">
        <v>0</v>
      </c>
      <c r="BD55" s="1066">
        <v>0</v>
      </c>
      <c r="BE55" s="1076">
        <f t="shared" si="22"/>
        <v>0</v>
      </c>
      <c r="BF55" s="1077">
        <v>0</v>
      </c>
      <c r="BG55" s="1071">
        <v>0</v>
      </c>
      <c r="BH55" s="1076">
        <v>0</v>
      </c>
      <c r="BI55" s="1077">
        <v>0</v>
      </c>
      <c r="BJ55" s="1071">
        <v>0</v>
      </c>
      <c r="BK55" s="1041">
        <v>0</v>
      </c>
      <c r="BL55" s="1077">
        <v>0</v>
      </c>
      <c r="BM55" s="1071">
        <v>0</v>
      </c>
      <c r="BN55" s="1041">
        <v>0</v>
      </c>
      <c r="BO55" s="1077">
        <v>0</v>
      </c>
      <c r="BP55" s="1062">
        <v>0</v>
      </c>
      <c r="BQ55" s="1078">
        <f t="shared" si="15"/>
        <v>0</v>
      </c>
      <c r="BR55" s="1062"/>
      <c r="BS55" s="1079">
        <f t="shared" si="16"/>
        <v>499</v>
      </c>
      <c r="BT55" s="284" t="s">
        <v>419</v>
      </c>
    </row>
    <row r="56" spans="1:72" ht="18" customHeight="1" x14ac:dyDescent="0.2">
      <c r="A56" s="1050">
        <v>54112</v>
      </c>
      <c r="B56" s="1051" t="s">
        <v>39</v>
      </c>
      <c r="C56" s="1065">
        <f>'F.P y DL'!C460</f>
        <v>100</v>
      </c>
      <c r="D56" s="1066">
        <f>'F.P y DL'!D460</f>
        <v>0</v>
      </c>
      <c r="E56" s="1066">
        <f>'F.P y DL'!E460</f>
        <v>0</v>
      </c>
      <c r="F56" s="1066">
        <f>'F.P y DL'!F460</f>
        <v>100</v>
      </c>
      <c r="G56" s="1067">
        <f t="shared" si="183"/>
        <v>200</v>
      </c>
      <c r="H56" s="1068">
        <f>'F.P y DL'!C23</f>
        <v>0</v>
      </c>
      <c r="I56" s="1069">
        <f>'F.P y DL'!D23</f>
        <v>0</v>
      </c>
      <c r="J56" s="1069">
        <f>'F.P y DL'!E23</f>
        <v>0</v>
      </c>
      <c r="K56" s="1069">
        <f>'F.P y DL'!F23</f>
        <v>0</v>
      </c>
      <c r="L56" s="1070">
        <f t="shared" si="189"/>
        <v>0</v>
      </c>
      <c r="M56" s="1062">
        <v>0</v>
      </c>
      <c r="N56" s="1071">
        <v>0</v>
      </c>
      <c r="O56" s="1071">
        <v>0</v>
      </c>
      <c r="P56" s="1071">
        <v>0</v>
      </c>
      <c r="Q56" s="1071">
        <v>0</v>
      </c>
      <c r="R56" s="1072">
        <f t="shared" si="3"/>
        <v>0</v>
      </c>
      <c r="S56" s="1065">
        <f>'F.P y DL'!W460</f>
        <v>0</v>
      </c>
      <c r="T56" s="1066">
        <f>'F.P y DL'!X460</f>
        <v>0</v>
      </c>
      <c r="U56" s="1066">
        <f>'F.P y DL'!Y460</f>
        <v>0</v>
      </c>
      <c r="V56" s="1066">
        <f>'F.P y DL'!Z460</f>
        <v>0</v>
      </c>
      <c r="W56" s="1067">
        <f t="shared" si="184"/>
        <v>0</v>
      </c>
      <c r="X56" s="1066">
        <v>0</v>
      </c>
      <c r="Y56" s="1066">
        <v>0</v>
      </c>
      <c r="Z56" s="1034">
        <f t="shared" si="176"/>
        <v>0</v>
      </c>
      <c r="AA56" s="1067">
        <f t="shared" si="18"/>
        <v>0</v>
      </c>
      <c r="AB56" s="1065">
        <f>'F.P y DL'!AF460</f>
        <v>0</v>
      </c>
      <c r="AC56" s="1066">
        <f>'F.P y DL'!AG460</f>
        <v>0</v>
      </c>
      <c r="AD56" s="1066">
        <f>'F.P y DL'!AH460</f>
        <v>0</v>
      </c>
      <c r="AE56" s="1066">
        <f>'F.P y DL'!AI460</f>
        <v>0</v>
      </c>
      <c r="AF56" s="1067">
        <f t="shared" si="185"/>
        <v>0</v>
      </c>
      <c r="AG56" s="1066">
        <f>'F.P y DL'!AJ460</f>
        <v>0</v>
      </c>
      <c r="AH56" s="1066">
        <f>'F.P y DL'!AK460</f>
        <v>0</v>
      </c>
      <c r="AI56" s="1034">
        <f t="shared" si="177"/>
        <v>0</v>
      </c>
      <c r="AJ56" s="1067">
        <f t="shared" si="188"/>
        <v>0</v>
      </c>
      <c r="AK56" s="1065">
        <f t="shared" si="178"/>
        <v>0</v>
      </c>
      <c r="AL56" s="1066">
        <f t="shared" si="179"/>
        <v>0</v>
      </c>
      <c r="AM56" s="1066">
        <f t="shared" si="180"/>
        <v>0</v>
      </c>
      <c r="AN56" s="1066">
        <f t="shared" si="181"/>
        <v>0</v>
      </c>
      <c r="AO56" s="1067">
        <f t="shared" si="186"/>
        <v>0</v>
      </c>
      <c r="AP56" s="1073"/>
      <c r="AQ56" s="1083">
        <v>0</v>
      </c>
      <c r="AR56" s="1082">
        <v>0</v>
      </c>
      <c r="AS56" s="1082">
        <v>0</v>
      </c>
      <c r="AT56" s="1082">
        <v>0</v>
      </c>
      <c r="AU56" s="1082">
        <v>0</v>
      </c>
      <c r="AV56" s="1067">
        <f t="shared" si="187"/>
        <v>0</v>
      </c>
      <c r="AW56" s="1055">
        <f t="shared" si="10"/>
        <v>0</v>
      </c>
      <c r="AX56" s="1071">
        <v>0</v>
      </c>
      <c r="AY56" s="1071">
        <v>0</v>
      </c>
      <c r="AZ56" s="1071">
        <v>0</v>
      </c>
      <c r="BA56" s="1076">
        <f t="shared" si="182"/>
        <v>0</v>
      </c>
      <c r="BB56" s="1066">
        <v>0</v>
      </c>
      <c r="BC56" s="1066">
        <v>0</v>
      </c>
      <c r="BD56" s="1066">
        <v>0</v>
      </c>
      <c r="BE56" s="1076">
        <f t="shared" si="22"/>
        <v>0</v>
      </c>
      <c r="BF56" s="1077">
        <v>0</v>
      </c>
      <c r="BG56" s="1071">
        <v>0</v>
      </c>
      <c r="BH56" s="1076">
        <v>0</v>
      </c>
      <c r="BI56" s="1077">
        <v>0</v>
      </c>
      <c r="BJ56" s="1071">
        <v>0</v>
      </c>
      <c r="BK56" s="1041">
        <v>0</v>
      </c>
      <c r="BL56" s="1077">
        <v>0</v>
      </c>
      <c r="BM56" s="1071">
        <v>0</v>
      </c>
      <c r="BN56" s="1041">
        <v>0</v>
      </c>
      <c r="BO56" s="1077">
        <v>0</v>
      </c>
      <c r="BP56" s="1062">
        <v>0</v>
      </c>
      <c r="BQ56" s="1078">
        <f t="shared" si="15"/>
        <v>0</v>
      </c>
      <c r="BR56" s="1062"/>
      <c r="BS56" s="1079">
        <f t="shared" si="16"/>
        <v>200</v>
      </c>
      <c r="BT56" s="284" t="s">
        <v>419</v>
      </c>
    </row>
    <row r="57" spans="1:72" ht="18" customHeight="1" x14ac:dyDescent="0.2">
      <c r="A57" s="1050">
        <v>54114</v>
      </c>
      <c r="B57" s="1051" t="s">
        <v>40</v>
      </c>
      <c r="C57" s="1065">
        <f>'F.P y DL'!C461</f>
        <v>200</v>
      </c>
      <c r="D57" s="1082">
        <f>'F.P y DL'!D461</f>
        <v>100</v>
      </c>
      <c r="E57" s="1082">
        <f>'F.P y DL'!E461</f>
        <v>50</v>
      </c>
      <c r="F57" s="1082">
        <f>'F.P y DL'!F461</f>
        <v>0</v>
      </c>
      <c r="G57" s="1067">
        <f t="shared" si="183"/>
        <v>350</v>
      </c>
      <c r="H57" s="1068">
        <f>'F.P y DL'!C24</f>
        <v>0</v>
      </c>
      <c r="I57" s="1069">
        <f>'F.P y DL'!D24</f>
        <v>0</v>
      </c>
      <c r="J57" s="1069">
        <f>'F.P y DL'!E24</f>
        <v>0</v>
      </c>
      <c r="K57" s="1069">
        <f>'F.P y DL'!F24</f>
        <v>0</v>
      </c>
      <c r="L57" s="1070">
        <f t="shared" si="189"/>
        <v>0</v>
      </c>
      <c r="M57" s="1085">
        <v>0</v>
      </c>
      <c r="N57" s="1086">
        <v>0</v>
      </c>
      <c r="O57" s="1086">
        <v>0</v>
      </c>
      <c r="P57" s="1086">
        <v>0</v>
      </c>
      <c r="Q57" s="1086">
        <v>0</v>
      </c>
      <c r="R57" s="1087">
        <f t="shared" si="3"/>
        <v>0</v>
      </c>
      <c r="S57" s="1065">
        <f>'F.P y DL'!C132</f>
        <v>0</v>
      </c>
      <c r="T57" s="1082">
        <f>'F.P y DL'!D132</f>
        <v>0</v>
      </c>
      <c r="U57" s="1082">
        <f>'F.P y DL'!E132</f>
        <v>0</v>
      </c>
      <c r="V57" s="1082">
        <f>'F.P y DL'!F132</f>
        <v>0</v>
      </c>
      <c r="W57" s="1067">
        <f t="shared" si="184"/>
        <v>0</v>
      </c>
      <c r="X57" s="1082">
        <v>0</v>
      </c>
      <c r="Y57" s="1082">
        <v>0</v>
      </c>
      <c r="Z57" s="1034">
        <f t="shared" si="176"/>
        <v>0</v>
      </c>
      <c r="AA57" s="1067">
        <f t="shared" si="18"/>
        <v>0</v>
      </c>
      <c r="AB57" s="1065">
        <f>'F.P y DL'!L132</f>
        <v>0</v>
      </c>
      <c r="AC57" s="1082">
        <f>'F.P y DL'!M132</f>
        <v>0</v>
      </c>
      <c r="AD57" s="1082">
        <f>'F.P y DL'!N132</f>
        <v>0</v>
      </c>
      <c r="AE57" s="1082">
        <f>'F.P y DL'!O132</f>
        <v>0</v>
      </c>
      <c r="AF57" s="1067">
        <f t="shared" si="185"/>
        <v>0</v>
      </c>
      <c r="AG57" s="1082">
        <f>'F.P y DL'!AJ461</f>
        <v>0</v>
      </c>
      <c r="AH57" s="1082">
        <f>'F.P y DL'!AK461</f>
        <v>0</v>
      </c>
      <c r="AI57" s="1034">
        <f t="shared" si="177"/>
        <v>0</v>
      </c>
      <c r="AJ57" s="1067">
        <f t="shared" si="188"/>
        <v>0</v>
      </c>
      <c r="AK57" s="1065">
        <f t="shared" si="178"/>
        <v>0</v>
      </c>
      <c r="AL57" s="1082">
        <f t="shared" si="179"/>
        <v>0</v>
      </c>
      <c r="AM57" s="1082">
        <f t="shared" si="180"/>
        <v>0</v>
      </c>
      <c r="AN57" s="1082">
        <f t="shared" si="181"/>
        <v>0</v>
      </c>
      <c r="AO57" s="1067">
        <f t="shared" si="186"/>
        <v>0</v>
      </c>
      <c r="AP57" s="1073"/>
      <c r="AQ57" s="1083">
        <v>0</v>
      </c>
      <c r="AR57" s="1082">
        <v>0</v>
      </c>
      <c r="AS57" s="1082">
        <v>0</v>
      </c>
      <c r="AT57" s="1082">
        <v>0</v>
      </c>
      <c r="AU57" s="1082">
        <v>0</v>
      </c>
      <c r="AV57" s="1067">
        <f t="shared" si="187"/>
        <v>0</v>
      </c>
      <c r="AW57" s="1055">
        <f t="shared" si="10"/>
        <v>0</v>
      </c>
      <c r="AX57" s="1086">
        <v>0</v>
      </c>
      <c r="AY57" s="1086">
        <v>0</v>
      </c>
      <c r="AZ57" s="1086">
        <v>0</v>
      </c>
      <c r="BA57" s="1076">
        <f t="shared" si="182"/>
        <v>0</v>
      </c>
      <c r="BB57" s="1082">
        <v>0</v>
      </c>
      <c r="BC57" s="1082">
        <v>0</v>
      </c>
      <c r="BD57" s="1066">
        <v>0</v>
      </c>
      <c r="BE57" s="1088">
        <f t="shared" si="22"/>
        <v>0</v>
      </c>
      <c r="BF57" s="1089">
        <v>0</v>
      </c>
      <c r="BG57" s="1086">
        <v>0</v>
      </c>
      <c r="BH57" s="1088">
        <v>0</v>
      </c>
      <c r="BI57" s="1089">
        <v>0</v>
      </c>
      <c r="BJ57" s="1086">
        <v>0</v>
      </c>
      <c r="BK57" s="1041">
        <v>0</v>
      </c>
      <c r="BL57" s="1089">
        <v>0</v>
      </c>
      <c r="BM57" s="1086">
        <v>0</v>
      </c>
      <c r="BN57" s="1041">
        <v>0</v>
      </c>
      <c r="BO57" s="1089">
        <v>0</v>
      </c>
      <c r="BP57" s="1085">
        <v>0</v>
      </c>
      <c r="BQ57" s="1078">
        <f t="shared" si="15"/>
        <v>0</v>
      </c>
      <c r="BR57" s="1085"/>
      <c r="BS57" s="1079">
        <f t="shared" si="16"/>
        <v>350</v>
      </c>
      <c r="BT57" s="284" t="s">
        <v>419</v>
      </c>
    </row>
    <row r="58" spans="1:72" ht="18" customHeight="1" x14ac:dyDescent="0.2">
      <c r="A58" s="1050">
        <v>54115</v>
      </c>
      <c r="B58" s="1051" t="s">
        <v>41</v>
      </c>
      <c r="C58" s="1065">
        <f>'F.P y DL'!C462</f>
        <v>300</v>
      </c>
      <c r="D58" s="1066">
        <f>'F.P y DL'!D462</f>
        <v>150</v>
      </c>
      <c r="E58" s="1066">
        <f>'F.P y DL'!E462</f>
        <v>400</v>
      </c>
      <c r="F58" s="1066">
        <f>'F.P y DL'!F462</f>
        <v>0</v>
      </c>
      <c r="G58" s="1067">
        <f t="shared" si="183"/>
        <v>850</v>
      </c>
      <c r="H58" s="1068">
        <f>'F.P y DL'!C25</f>
        <v>0</v>
      </c>
      <c r="I58" s="1069">
        <f>'F.P y DL'!D25</f>
        <v>0</v>
      </c>
      <c r="J58" s="1069">
        <f>'F.P y DL'!E25</f>
        <v>0</v>
      </c>
      <c r="K58" s="1069">
        <f>'F.P y DL'!F25</f>
        <v>0</v>
      </c>
      <c r="L58" s="1070">
        <f t="shared" si="189"/>
        <v>0</v>
      </c>
      <c r="M58" s="1085">
        <v>0</v>
      </c>
      <c r="N58" s="1086">
        <v>0</v>
      </c>
      <c r="O58" s="1086">
        <v>0</v>
      </c>
      <c r="P58" s="1086">
        <v>0</v>
      </c>
      <c r="Q58" s="1086">
        <v>0</v>
      </c>
      <c r="R58" s="1087">
        <f t="shared" si="3"/>
        <v>0</v>
      </c>
      <c r="S58" s="1065">
        <f>'F.P y DL'!C133</f>
        <v>0</v>
      </c>
      <c r="T58" s="1066">
        <f>'F.P y DL'!D133</f>
        <v>0</v>
      </c>
      <c r="U58" s="1066">
        <f>'F.P y DL'!E133</f>
        <v>0</v>
      </c>
      <c r="V58" s="1066">
        <f>'F.P y DL'!F133</f>
        <v>0</v>
      </c>
      <c r="W58" s="1067">
        <f t="shared" si="184"/>
        <v>0</v>
      </c>
      <c r="X58" s="1066">
        <v>0</v>
      </c>
      <c r="Y58" s="1066">
        <v>0</v>
      </c>
      <c r="Z58" s="1034">
        <f t="shared" si="176"/>
        <v>0</v>
      </c>
      <c r="AA58" s="1067">
        <f t="shared" si="18"/>
        <v>0</v>
      </c>
      <c r="AB58" s="1065">
        <f>'F.P y DL'!L133</f>
        <v>0</v>
      </c>
      <c r="AC58" s="1066">
        <f>'F.P y DL'!M133</f>
        <v>0</v>
      </c>
      <c r="AD58" s="1066">
        <f>'F.P y DL'!N133</f>
        <v>0</v>
      </c>
      <c r="AE58" s="1066">
        <f>'F.P y DL'!O133</f>
        <v>0</v>
      </c>
      <c r="AF58" s="1067">
        <f t="shared" si="185"/>
        <v>0</v>
      </c>
      <c r="AG58" s="1066">
        <f>'F.P y DL'!AJ462</f>
        <v>0</v>
      </c>
      <c r="AH58" s="1066">
        <f>'F.P y DL'!AK462</f>
        <v>0</v>
      </c>
      <c r="AI58" s="1034">
        <f t="shared" si="177"/>
        <v>0</v>
      </c>
      <c r="AJ58" s="1067">
        <f t="shared" si="188"/>
        <v>0</v>
      </c>
      <c r="AK58" s="1065">
        <f t="shared" si="178"/>
        <v>0</v>
      </c>
      <c r="AL58" s="1066">
        <f t="shared" si="179"/>
        <v>0</v>
      </c>
      <c r="AM58" s="1066">
        <f t="shared" si="180"/>
        <v>0</v>
      </c>
      <c r="AN58" s="1066">
        <f t="shared" si="181"/>
        <v>0</v>
      </c>
      <c r="AO58" s="1067">
        <f t="shared" si="186"/>
        <v>0</v>
      </c>
      <c r="AP58" s="1073"/>
      <c r="AQ58" s="1083">
        <v>0</v>
      </c>
      <c r="AR58" s="1082">
        <v>0</v>
      </c>
      <c r="AS58" s="1082">
        <v>0</v>
      </c>
      <c r="AT58" s="1082">
        <v>0</v>
      </c>
      <c r="AU58" s="1082">
        <v>0</v>
      </c>
      <c r="AV58" s="1067">
        <f t="shared" si="187"/>
        <v>0</v>
      </c>
      <c r="AW58" s="1055">
        <f t="shared" si="10"/>
        <v>0</v>
      </c>
      <c r="AX58" s="1086">
        <v>0</v>
      </c>
      <c r="AY58" s="1086">
        <v>0</v>
      </c>
      <c r="AZ58" s="1086">
        <v>0</v>
      </c>
      <c r="BA58" s="1076">
        <f t="shared" si="182"/>
        <v>0</v>
      </c>
      <c r="BB58" s="1066">
        <v>0</v>
      </c>
      <c r="BC58" s="1066">
        <v>0</v>
      </c>
      <c r="BD58" s="1066">
        <v>0</v>
      </c>
      <c r="BE58" s="1088">
        <f t="shared" si="22"/>
        <v>0</v>
      </c>
      <c r="BF58" s="1089">
        <v>0</v>
      </c>
      <c r="BG58" s="1086">
        <v>0</v>
      </c>
      <c r="BH58" s="1088">
        <v>0</v>
      </c>
      <c r="BI58" s="1089">
        <v>0</v>
      </c>
      <c r="BJ58" s="1086">
        <v>0</v>
      </c>
      <c r="BK58" s="1041">
        <v>0</v>
      </c>
      <c r="BL58" s="1089">
        <v>0</v>
      </c>
      <c r="BM58" s="1086">
        <v>0</v>
      </c>
      <c r="BN58" s="1041">
        <v>0</v>
      </c>
      <c r="BO58" s="1089">
        <v>0</v>
      </c>
      <c r="BP58" s="1085">
        <v>0</v>
      </c>
      <c r="BQ58" s="1078">
        <f t="shared" si="15"/>
        <v>0</v>
      </c>
      <c r="BR58" s="1085"/>
      <c r="BS58" s="1079">
        <f t="shared" si="16"/>
        <v>850</v>
      </c>
      <c r="BT58" s="284" t="s">
        <v>419</v>
      </c>
    </row>
    <row r="59" spans="1:72" ht="18" customHeight="1" x14ac:dyDescent="0.2">
      <c r="A59" s="1050">
        <v>54116</v>
      </c>
      <c r="B59" s="1051" t="s">
        <v>42</v>
      </c>
      <c r="C59" s="1065">
        <f>'F.P y DL'!C463</f>
        <v>175</v>
      </c>
      <c r="D59" s="1066">
        <f>'F.P y DL'!D463</f>
        <v>10</v>
      </c>
      <c r="E59" s="1066">
        <f>'F.P y DL'!E463</f>
        <v>0</v>
      </c>
      <c r="F59" s="1066">
        <f>'F.P y DL'!F463</f>
        <v>0</v>
      </c>
      <c r="G59" s="1067">
        <f t="shared" si="183"/>
        <v>185</v>
      </c>
      <c r="H59" s="1068">
        <f>'F.P y DL'!C26</f>
        <v>0</v>
      </c>
      <c r="I59" s="1069">
        <f>'F.P y DL'!D26</f>
        <v>0</v>
      </c>
      <c r="J59" s="1069">
        <f>'F.P y DL'!E26</f>
        <v>0</v>
      </c>
      <c r="K59" s="1069">
        <f>'F.P y DL'!F26</f>
        <v>0</v>
      </c>
      <c r="L59" s="1070">
        <f t="shared" si="189"/>
        <v>0</v>
      </c>
      <c r="M59" s="1085">
        <v>0</v>
      </c>
      <c r="N59" s="1086">
        <v>0</v>
      </c>
      <c r="O59" s="1086">
        <v>0</v>
      </c>
      <c r="P59" s="1086">
        <v>0</v>
      </c>
      <c r="Q59" s="1086">
        <v>0</v>
      </c>
      <c r="R59" s="1087">
        <f t="shared" si="3"/>
        <v>0</v>
      </c>
      <c r="S59" s="1065">
        <f>'F.P y DL'!W463</f>
        <v>0</v>
      </c>
      <c r="T59" s="1066">
        <f>'F.P y DL'!X463</f>
        <v>0</v>
      </c>
      <c r="U59" s="1066">
        <f>'F.P y DL'!Y463</f>
        <v>0</v>
      </c>
      <c r="V59" s="1066">
        <f>'F.P y DL'!Z463</f>
        <v>0</v>
      </c>
      <c r="W59" s="1067">
        <f t="shared" si="184"/>
        <v>0</v>
      </c>
      <c r="X59" s="1066">
        <v>0</v>
      </c>
      <c r="Y59" s="1066">
        <v>0</v>
      </c>
      <c r="Z59" s="1034">
        <f t="shared" si="176"/>
        <v>0</v>
      </c>
      <c r="AA59" s="1067">
        <f t="shared" si="18"/>
        <v>0</v>
      </c>
      <c r="AB59" s="1065">
        <f>'F.P y DL'!AF463</f>
        <v>0</v>
      </c>
      <c r="AC59" s="1066">
        <f>'F.P y DL'!AG463</f>
        <v>0</v>
      </c>
      <c r="AD59" s="1066">
        <f>'F.P y DL'!AH463</f>
        <v>0</v>
      </c>
      <c r="AE59" s="1066">
        <f>'F.P y DL'!AI463</f>
        <v>0</v>
      </c>
      <c r="AF59" s="1067">
        <f t="shared" si="185"/>
        <v>0</v>
      </c>
      <c r="AG59" s="1066">
        <f>'F.P y DL'!AJ463</f>
        <v>0</v>
      </c>
      <c r="AH59" s="1066">
        <f>'F.P y DL'!AK463</f>
        <v>0</v>
      </c>
      <c r="AI59" s="1034">
        <f t="shared" si="177"/>
        <v>0</v>
      </c>
      <c r="AJ59" s="1067">
        <f t="shared" si="188"/>
        <v>0</v>
      </c>
      <c r="AK59" s="1065">
        <f t="shared" si="178"/>
        <v>0</v>
      </c>
      <c r="AL59" s="1066">
        <f t="shared" si="179"/>
        <v>0</v>
      </c>
      <c r="AM59" s="1066">
        <f t="shared" si="180"/>
        <v>0</v>
      </c>
      <c r="AN59" s="1066">
        <f t="shared" si="181"/>
        <v>0</v>
      </c>
      <c r="AO59" s="1067">
        <f t="shared" si="186"/>
        <v>0</v>
      </c>
      <c r="AP59" s="1073"/>
      <c r="AQ59" s="1083">
        <v>0</v>
      </c>
      <c r="AR59" s="1082">
        <v>0</v>
      </c>
      <c r="AS59" s="1082">
        <v>0</v>
      </c>
      <c r="AT59" s="1082">
        <v>0</v>
      </c>
      <c r="AU59" s="1082">
        <v>0</v>
      </c>
      <c r="AV59" s="1067">
        <f t="shared" si="187"/>
        <v>0</v>
      </c>
      <c r="AW59" s="1055">
        <f t="shared" si="10"/>
        <v>0</v>
      </c>
      <c r="AX59" s="1086">
        <v>0</v>
      </c>
      <c r="AY59" s="1086">
        <v>0</v>
      </c>
      <c r="AZ59" s="1086">
        <v>0</v>
      </c>
      <c r="BA59" s="1076">
        <f t="shared" si="182"/>
        <v>0</v>
      </c>
      <c r="BB59" s="1066">
        <v>0</v>
      </c>
      <c r="BC59" s="1066">
        <v>0</v>
      </c>
      <c r="BD59" s="1066">
        <v>0</v>
      </c>
      <c r="BE59" s="1088">
        <f t="shared" si="22"/>
        <v>0</v>
      </c>
      <c r="BF59" s="1089">
        <v>0</v>
      </c>
      <c r="BG59" s="1086">
        <v>0</v>
      </c>
      <c r="BH59" s="1088">
        <v>0</v>
      </c>
      <c r="BI59" s="1089">
        <v>0</v>
      </c>
      <c r="BJ59" s="1086">
        <v>0</v>
      </c>
      <c r="BK59" s="1041">
        <v>0</v>
      </c>
      <c r="BL59" s="1089">
        <v>0</v>
      </c>
      <c r="BM59" s="1086">
        <v>0</v>
      </c>
      <c r="BN59" s="1041">
        <v>0</v>
      </c>
      <c r="BO59" s="1089">
        <v>0</v>
      </c>
      <c r="BP59" s="1085">
        <v>0</v>
      </c>
      <c r="BQ59" s="1078">
        <f t="shared" si="15"/>
        <v>0</v>
      </c>
      <c r="BR59" s="1085"/>
      <c r="BS59" s="1079">
        <f t="shared" si="16"/>
        <v>185</v>
      </c>
      <c r="BT59" s="284" t="s">
        <v>419</v>
      </c>
    </row>
    <row r="60" spans="1:72" ht="18" hidden="1" customHeight="1" x14ac:dyDescent="0.2">
      <c r="A60" s="1050">
        <v>54117</v>
      </c>
      <c r="B60" s="1051" t="s">
        <v>43</v>
      </c>
      <c r="C60" s="1065">
        <v>0</v>
      </c>
      <c r="D60" s="1066">
        <v>0</v>
      </c>
      <c r="E60" s="1066">
        <v>0</v>
      </c>
      <c r="F60" s="1066">
        <v>0</v>
      </c>
      <c r="G60" s="1067">
        <f t="shared" si="183"/>
        <v>0</v>
      </c>
      <c r="H60" s="1068">
        <f>'F.P y DL'!C27</f>
        <v>0</v>
      </c>
      <c r="I60" s="1069">
        <f>'F.P y DL'!D27</f>
        <v>0</v>
      </c>
      <c r="J60" s="1069">
        <f>'F.P y DL'!E27</f>
        <v>0</v>
      </c>
      <c r="K60" s="1069">
        <f>'F.P y DL'!F27</f>
        <v>0</v>
      </c>
      <c r="L60" s="1070">
        <f t="shared" si="189"/>
        <v>0</v>
      </c>
      <c r="M60" s="1062">
        <v>0</v>
      </c>
      <c r="N60" s="1071">
        <v>0</v>
      </c>
      <c r="O60" s="1071">
        <v>0</v>
      </c>
      <c r="P60" s="1071">
        <v>0</v>
      </c>
      <c r="Q60" s="1071">
        <v>0</v>
      </c>
      <c r="R60" s="1072">
        <f t="shared" si="3"/>
        <v>0</v>
      </c>
      <c r="S60" s="1065">
        <v>0</v>
      </c>
      <c r="T60" s="1066">
        <v>0</v>
      </c>
      <c r="U60" s="1066">
        <v>0</v>
      </c>
      <c r="V60" s="1066">
        <v>0</v>
      </c>
      <c r="W60" s="1067">
        <f t="shared" si="184"/>
        <v>0</v>
      </c>
      <c r="X60" s="1066">
        <v>0</v>
      </c>
      <c r="Y60" s="1066">
        <v>0</v>
      </c>
      <c r="Z60" s="1034">
        <f t="shared" si="176"/>
        <v>0</v>
      </c>
      <c r="AA60" s="1067">
        <f t="shared" si="18"/>
        <v>0</v>
      </c>
      <c r="AB60" s="1065">
        <v>0</v>
      </c>
      <c r="AC60" s="1066">
        <v>0</v>
      </c>
      <c r="AD60" s="1066">
        <v>0</v>
      </c>
      <c r="AE60" s="1066">
        <v>0</v>
      </c>
      <c r="AF60" s="1067">
        <f t="shared" si="185"/>
        <v>0</v>
      </c>
      <c r="AG60" s="1066">
        <v>0</v>
      </c>
      <c r="AH60" s="1066">
        <v>0</v>
      </c>
      <c r="AI60" s="1034">
        <f t="shared" si="177"/>
        <v>0</v>
      </c>
      <c r="AJ60" s="1067">
        <f t="shared" si="188"/>
        <v>0</v>
      </c>
      <c r="AK60" s="1065">
        <f t="shared" si="178"/>
        <v>0</v>
      </c>
      <c r="AL60" s="1066">
        <f t="shared" si="179"/>
        <v>0</v>
      </c>
      <c r="AM60" s="1066">
        <f t="shared" si="180"/>
        <v>0</v>
      </c>
      <c r="AN60" s="1066">
        <f t="shared" si="181"/>
        <v>0</v>
      </c>
      <c r="AO60" s="1067">
        <f t="shared" si="186"/>
        <v>0</v>
      </c>
      <c r="AP60" s="1073"/>
      <c r="AQ60" s="1083">
        <v>0</v>
      </c>
      <c r="AR60" s="1082">
        <v>0</v>
      </c>
      <c r="AS60" s="1082">
        <v>0</v>
      </c>
      <c r="AT60" s="1082">
        <v>0</v>
      </c>
      <c r="AU60" s="1082">
        <v>0</v>
      </c>
      <c r="AV60" s="1067">
        <f t="shared" si="187"/>
        <v>0</v>
      </c>
      <c r="AW60" s="1055">
        <f t="shared" si="10"/>
        <v>0</v>
      </c>
      <c r="AX60" s="1071">
        <v>0</v>
      </c>
      <c r="AY60" s="1071">
        <v>0</v>
      </c>
      <c r="AZ60" s="1071">
        <v>0</v>
      </c>
      <c r="BA60" s="1076">
        <f t="shared" si="182"/>
        <v>0</v>
      </c>
      <c r="BB60" s="1066">
        <v>0</v>
      </c>
      <c r="BC60" s="1066">
        <v>0</v>
      </c>
      <c r="BD60" s="1066">
        <v>0</v>
      </c>
      <c r="BE60" s="1076">
        <f t="shared" si="22"/>
        <v>0</v>
      </c>
      <c r="BF60" s="1077">
        <v>0</v>
      </c>
      <c r="BG60" s="1071">
        <v>0</v>
      </c>
      <c r="BH60" s="1076">
        <v>0</v>
      </c>
      <c r="BI60" s="1077">
        <v>0</v>
      </c>
      <c r="BJ60" s="1071">
        <v>0</v>
      </c>
      <c r="BK60" s="1041">
        <v>0</v>
      </c>
      <c r="BL60" s="1077">
        <v>0</v>
      </c>
      <c r="BM60" s="1071">
        <v>0</v>
      </c>
      <c r="BN60" s="1041">
        <v>0</v>
      </c>
      <c r="BO60" s="1077">
        <v>0</v>
      </c>
      <c r="BP60" s="1062">
        <v>0</v>
      </c>
      <c r="BQ60" s="1078">
        <f t="shared" si="15"/>
        <v>0</v>
      </c>
      <c r="BR60" s="1062"/>
      <c r="BS60" s="1079">
        <f t="shared" si="16"/>
        <v>0</v>
      </c>
      <c r="BT60" s="284" t="s">
        <v>419</v>
      </c>
    </row>
    <row r="61" spans="1:72" ht="18" customHeight="1" x14ac:dyDescent="0.2">
      <c r="A61" s="1050">
        <v>54118</v>
      </c>
      <c r="B61" s="1051" t="s">
        <v>44</v>
      </c>
      <c r="C61" s="1065">
        <f>'F.P y DL'!C465</f>
        <v>20</v>
      </c>
      <c r="D61" s="1082">
        <f>'F.P y DL'!D465</f>
        <v>10</v>
      </c>
      <c r="E61" s="1082">
        <f>'F.P y DL'!E465</f>
        <v>10</v>
      </c>
      <c r="F61" s="1082">
        <f>'F.P y DL'!F465</f>
        <v>1400</v>
      </c>
      <c r="G61" s="1067">
        <f t="shared" si="183"/>
        <v>1440</v>
      </c>
      <c r="H61" s="1068">
        <f>'F.P y DL'!C28</f>
        <v>0</v>
      </c>
      <c r="I61" s="1069">
        <f>'F.P y DL'!D28</f>
        <v>0</v>
      </c>
      <c r="J61" s="1069">
        <f>'F.P y DL'!E28</f>
        <v>0</v>
      </c>
      <c r="K61" s="1069">
        <f>'F.P y DL'!F28</f>
        <v>0</v>
      </c>
      <c r="L61" s="1070">
        <f t="shared" si="189"/>
        <v>0</v>
      </c>
      <c r="M61" s="1062">
        <v>0</v>
      </c>
      <c r="N61" s="1071">
        <v>0</v>
      </c>
      <c r="O61" s="1071">
        <v>0</v>
      </c>
      <c r="P61" s="1071">
        <v>0</v>
      </c>
      <c r="Q61" s="1071">
        <v>0</v>
      </c>
      <c r="R61" s="1072">
        <f t="shared" si="3"/>
        <v>0</v>
      </c>
      <c r="S61" s="1065">
        <f>'F.P y DL'!W465</f>
        <v>0</v>
      </c>
      <c r="T61" s="1082">
        <f>'F.P y DL'!X465</f>
        <v>0</v>
      </c>
      <c r="U61" s="1082">
        <f>'F.P y DL'!Y465</f>
        <v>0</v>
      </c>
      <c r="V61" s="1082">
        <f>'F.P y DL'!Z465</f>
        <v>0</v>
      </c>
      <c r="W61" s="1067">
        <f t="shared" si="184"/>
        <v>0</v>
      </c>
      <c r="X61" s="1082">
        <v>0</v>
      </c>
      <c r="Y61" s="1082">
        <v>0</v>
      </c>
      <c r="Z61" s="1034">
        <f t="shared" si="176"/>
        <v>0</v>
      </c>
      <c r="AA61" s="1067">
        <f t="shared" si="18"/>
        <v>0</v>
      </c>
      <c r="AB61" s="1065">
        <f>'F.P y DL'!AF465</f>
        <v>0</v>
      </c>
      <c r="AC61" s="1082">
        <f>'F.P y DL'!AG465</f>
        <v>0</v>
      </c>
      <c r="AD61" s="1082">
        <f>'F.P y DL'!AH465</f>
        <v>0</v>
      </c>
      <c r="AE61" s="1082">
        <f>'F.P y DL'!AI465</f>
        <v>0</v>
      </c>
      <c r="AF61" s="1067">
        <f t="shared" si="185"/>
        <v>0</v>
      </c>
      <c r="AG61" s="1082">
        <f>'F.P y DL'!AJ465</f>
        <v>0</v>
      </c>
      <c r="AH61" s="1082">
        <f>'F.P y DL'!AK465</f>
        <v>0</v>
      </c>
      <c r="AI61" s="1034">
        <f t="shared" si="177"/>
        <v>0</v>
      </c>
      <c r="AJ61" s="1067">
        <f t="shared" si="188"/>
        <v>0</v>
      </c>
      <c r="AK61" s="1065">
        <f t="shared" si="178"/>
        <v>0</v>
      </c>
      <c r="AL61" s="1082">
        <f t="shared" si="179"/>
        <v>0</v>
      </c>
      <c r="AM61" s="1082">
        <f t="shared" si="180"/>
        <v>0</v>
      </c>
      <c r="AN61" s="1082">
        <f t="shared" si="181"/>
        <v>0</v>
      </c>
      <c r="AO61" s="1067">
        <f t="shared" si="186"/>
        <v>0</v>
      </c>
      <c r="AP61" s="1073"/>
      <c r="AQ61" s="1083">
        <v>0</v>
      </c>
      <c r="AR61" s="1082">
        <v>0</v>
      </c>
      <c r="AS61" s="1082">
        <v>0</v>
      </c>
      <c r="AT61" s="1082">
        <v>0</v>
      </c>
      <c r="AU61" s="1082">
        <f>'AG3'!L34</f>
        <v>73.7</v>
      </c>
      <c r="AV61" s="1067">
        <f t="shared" si="187"/>
        <v>73.7</v>
      </c>
      <c r="AW61" s="1055">
        <f t="shared" si="10"/>
        <v>73.7</v>
      </c>
      <c r="AX61" s="1071">
        <v>0</v>
      </c>
      <c r="AY61" s="1071">
        <v>0</v>
      </c>
      <c r="AZ61" s="1071">
        <v>0</v>
      </c>
      <c r="BA61" s="1076">
        <f t="shared" si="182"/>
        <v>0</v>
      </c>
      <c r="BB61" s="1082">
        <v>0</v>
      </c>
      <c r="BC61" s="1082">
        <v>0</v>
      </c>
      <c r="BD61" s="1066">
        <v>0</v>
      </c>
      <c r="BE61" s="1076">
        <f t="shared" si="22"/>
        <v>0</v>
      </c>
      <c r="BF61" s="1077">
        <v>0</v>
      </c>
      <c r="BG61" s="1071">
        <v>0</v>
      </c>
      <c r="BH61" s="1076">
        <v>0</v>
      </c>
      <c r="BI61" s="1077">
        <v>0</v>
      </c>
      <c r="BJ61" s="1071">
        <v>0</v>
      </c>
      <c r="BK61" s="1041">
        <v>0</v>
      </c>
      <c r="BL61" s="1077">
        <v>0</v>
      </c>
      <c r="BM61" s="1071">
        <v>0</v>
      </c>
      <c r="BN61" s="1041">
        <v>0</v>
      </c>
      <c r="BO61" s="1077">
        <v>0</v>
      </c>
      <c r="BP61" s="1062">
        <v>0</v>
      </c>
      <c r="BQ61" s="1078">
        <f t="shared" si="15"/>
        <v>0</v>
      </c>
      <c r="BR61" s="1062"/>
      <c r="BS61" s="1079">
        <f t="shared" si="16"/>
        <v>1513.7</v>
      </c>
      <c r="BT61" s="284" t="s">
        <v>419</v>
      </c>
    </row>
    <row r="62" spans="1:72" ht="18" customHeight="1" x14ac:dyDescent="0.2">
      <c r="A62" s="1050">
        <v>54119</v>
      </c>
      <c r="B62" s="1051" t="s">
        <v>45</v>
      </c>
      <c r="C62" s="1065">
        <f>'F.P y DL'!C466</f>
        <v>10</v>
      </c>
      <c r="D62" s="1066">
        <f>'F.P y DL'!D466</f>
        <v>0</v>
      </c>
      <c r="E62" s="1066">
        <f>'F.P y DL'!E466</f>
        <v>0</v>
      </c>
      <c r="F62" s="1066">
        <f>'F.P y DL'!F466</f>
        <v>1050</v>
      </c>
      <c r="G62" s="1067">
        <f t="shared" si="183"/>
        <v>1060</v>
      </c>
      <c r="H62" s="1068">
        <f>'F.P y DL'!C29</f>
        <v>0</v>
      </c>
      <c r="I62" s="1069">
        <f>'F.P y DL'!D29</f>
        <v>0</v>
      </c>
      <c r="J62" s="1069">
        <f>'F.P y DL'!E29</f>
        <v>0</v>
      </c>
      <c r="K62" s="1069">
        <f>'F.P y DL'!F29</f>
        <v>0</v>
      </c>
      <c r="L62" s="1070">
        <f t="shared" si="189"/>
        <v>0</v>
      </c>
      <c r="M62" s="1062">
        <v>0</v>
      </c>
      <c r="N62" s="1071">
        <v>0</v>
      </c>
      <c r="O62" s="1071">
        <v>0</v>
      </c>
      <c r="P62" s="1071">
        <v>0</v>
      </c>
      <c r="Q62" s="1071">
        <v>0</v>
      </c>
      <c r="R62" s="1072">
        <f t="shared" si="3"/>
        <v>0</v>
      </c>
      <c r="S62" s="1065">
        <f>'F.P y DL'!W466</f>
        <v>0</v>
      </c>
      <c r="T62" s="1066">
        <f>'F.P y DL'!X466</f>
        <v>0</v>
      </c>
      <c r="U62" s="1066">
        <f>'F.P y DL'!Y466</f>
        <v>0</v>
      </c>
      <c r="V62" s="1066">
        <f>'F.P y DL'!Z466</f>
        <v>0</v>
      </c>
      <c r="W62" s="1067">
        <f t="shared" si="184"/>
        <v>0</v>
      </c>
      <c r="X62" s="1066">
        <v>0</v>
      </c>
      <c r="Y62" s="1066">
        <v>0</v>
      </c>
      <c r="Z62" s="1034">
        <f t="shared" si="176"/>
        <v>0</v>
      </c>
      <c r="AA62" s="1067">
        <f t="shared" si="18"/>
        <v>0</v>
      </c>
      <c r="AB62" s="1065">
        <f>'F.P y DL'!AF466</f>
        <v>0</v>
      </c>
      <c r="AC62" s="1066">
        <f>'F.P y DL'!AG466</f>
        <v>0</v>
      </c>
      <c r="AD62" s="1066">
        <f>'F.P y DL'!AH466</f>
        <v>0</v>
      </c>
      <c r="AE62" s="1066">
        <f>'F.P y DL'!AI466</f>
        <v>0</v>
      </c>
      <c r="AF62" s="1067">
        <f t="shared" si="185"/>
        <v>0</v>
      </c>
      <c r="AG62" s="1066">
        <f>'F.P y DL'!AJ466</f>
        <v>0</v>
      </c>
      <c r="AH62" s="1066">
        <f>'F.P y DL'!AK466</f>
        <v>0</v>
      </c>
      <c r="AI62" s="1034">
        <f t="shared" si="177"/>
        <v>0</v>
      </c>
      <c r="AJ62" s="1067">
        <f t="shared" si="188"/>
        <v>0</v>
      </c>
      <c r="AK62" s="1065">
        <f t="shared" si="178"/>
        <v>0</v>
      </c>
      <c r="AL62" s="1066">
        <f t="shared" si="179"/>
        <v>0</v>
      </c>
      <c r="AM62" s="1066">
        <f t="shared" si="180"/>
        <v>0</v>
      </c>
      <c r="AN62" s="1066">
        <f t="shared" si="181"/>
        <v>0</v>
      </c>
      <c r="AO62" s="1067">
        <f t="shared" si="186"/>
        <v>0</v>
      </c>
      <c r="AP62" s="1073"/>
      <c r="AQ62" s="1083">
        <v>0</v>
      </c>
      <c r="AR62" s="1082">
        <v>0</v>
      </c>
      <c r="AS62" s="1082">
        <v>0</v>
      </c>
      <c r="AT62" s="1082">
        <v>0</v>
      </c>
      <c r="AU62" s="1082">
        <v>0</v>
      </c>
      <c r="AV62" s="1067">
        <f t="shared" si="187"/>
        <v>0</v>
      </c>
      <c r="AW62" s="1055">
        <f t="shared" si="10"/>
        <v>0</v>
      </c>
      <c r="AX62" s="1071">
        <v>0</v>
      </c>
      <c r="AY62" s="1071">
        <v>0</v>
      </c>
      <c r="AZ62" s="1071">
        <v>0</v>
      </c>
      <c r="BA62" s="1076">
        <f t="shared" si="182"/>
        <v>0</v>
      </c>
      <c r="BB62" s="1066">
        <v>0</v>
      </c>
      <c r="BC62" s="1066">
        <v>0</v>
      </c>
      <c r="BD62" s="1066">
        <v>0</v>
      </c>
      <c r="BE62" s="1076">
        <f t="shared" si="22"/>
        <v>0</v>
      </c>
      <c r="BF62" s="1077">
        <v>0</v>
      </c>
      <c r="BG62" s="1071">
        <v>0</v>
      </c>
      <c r="BH62" s="1076">
        <v>0</v>
      </c>
      <c r="BI62" s="1077">
        <v>0</v>
      </c>
      <c r="BJ62" s="1071">
        <v>0</v>
      </c>
      <c r="BK62" s="1041">
        <v>0</v>
      </c>
      <c r="BL62" s="1077">
        <v>0</v>
      </c>
      <c r="BM62" s="1071">
        <v>0</v>
      </c>
      <c r="BN62" s="1041">
        <v>0</v>
      </c>
      <c r="BO62" s="1077">
        <v>0</v>
      </c>
      <c r="BP62" s="1062">
        <v>0</v>
      </c>
      <c r="BQ62" s="1078">
        <f t="shared" si="15"/>
        <v>0</v>
      </c>
      <c r="BR62" s="1062"/>
      <c r="BS62" s="1079">
        <f t="shared" si="16"/>
        <v>1060</v>
      </c>
      <c r="BT62" s="284" t="s">
        <v>419</v>
      </c>
    </row>
    <row r="63" spans="1:72" ht="18" customHeight="1" x14ac:dyDescent="0.2">
      <c r="A63" s="1050">
        <v>54121</v>
      </c>
      <c r="B63" s="1051" t="s">
        <v>46</v>
      </c>
      <c r="C63" s="1065">
        <f>'F.P y DL'!C467</f>
        <v>0</v>
      </c>
      <c r="D63" s="1066">
        <f>'F.P y DL'!D467</f>
        <v>4000</v>
      </c>
      <c r="E63" s="1066">
        <f>'F.P y DL'!E467</f>
        <v>0</v>
      </c>
      <c r="F63" s="1066">
        <f>'F.P y DL'!F467</f>
        <v>0</v>
      </c>
      <c r="G63" s="1067">
        <f t="shared" si="183"/>
        <v>4000</v>
      </c>
      <c r="H63" s="1068">
        <f>'F.P y DL'!C30</f>
        <v>0</v>
      </c>
      <c r="I63" s="1069">
        <f>'F.P y DL'!D30</f>
        <v>0</v>
      </c>
      <c r="J63" s="1069">
        <f>'F.P y DL'!E30</f>
        <v>0</v>
      </c>
      <c r="K63" s="1069">
        <f>'F.P y DL'!F30</f>
        <v>0</v>
      </c>
      <c r="L63" s="1070">
        <f t="shared" si="189"/>
        <v>0</v>
      </c>
      <c r="M63" s="1062">
        <v>0</v>
      </c>
      <c r="N63" s="1071">
        <v>0</v>
      </c>
      <c r="O63" s="1071">
        <v>0</v>
      </c>
      <c r="P63" s="1071">
        <v>0</v>
      </c>
      <c r="Q63" s="1071">
        <v>0</v>
      </c>
      <c r="R63" s="1072">
        <f t="shared" si="3"/>
        <v>0</v>
      </c>
      <c r="S63" s="1065">
        <f>'F.P y DL'!W467</f>
        <v>0</v>
      </c>
      <c r="T63" s="1066">
        <f>'F.P y DL'!X467</f>
        <v>0</v>
      </c>
      <c r="U63" s="1066">
        <f>'F.P y DL'!Y467</f>
        <v>0</v>
      </c>
      <c r="V63" s="1066">
        <f>'F.P y DL'!Z467</f>
        <v>0</v>
      </c>
      <c r="W63" s="1067">
        <f t="shared" si="184"/>
        <v>0</v>
      </c>
      <c r="X63" s="1066">
        <v>0</v>
      </c>
      <c r="Y63" s="1066">
        <v>0</v>
      </c>
      <c r="Z63" s="1034">
        <f t="shared" si="176"/>
        <v>0</v>
      </c>
      <c r="AA63" s="1067">
        <f t="shared" si="18"/>
        <v>0</v>
      </c>
      <c r="AB63" s="1065">
        <f>'F.P y DL'!AF467</f>
        <v>0</v>
      </c>
      <c r="AC63" s="1066">
        <f>'F.P y DL'!AG467</f>
        <v>0</v>
      </c>
      <c r="AD63" s="1066">
        <f>'F.P y DL'!AH467</f>
        <v>0</v>
      </c>
      <c r="AE63" s="1066">
        <f>'F.P y DL'!AI467</f>
        <v>0</v>
      </c>
      <c r="AF63" s="1067">
        <f t="shared" si="185"/>
        <v>0</v>
      </c>
      <c r="AG63" s="1066">
        <f>'F.P y DL'!AJ467</f>
        <v>0</v>
      </c>
      <c r="AH63" s="1066">
        <f>'F.P y DL'!AK467</f>
        <v>0</v>
      </c>
      <c r="AI63" s="1034">
        <f t="shared" si="177"/>
        <v>0</v>
      </c>
      <c r="AJ63" s="1067">
        <f t="shared" si="188"/>
        <v>0</v>
      </c>
      <c r="AK63" s="1065">
        <f t="shared" si="178"/>
        <v>0</v>
      </c>
      <c r="AL63" s="1066">
        <f t="shared" si="179"/>
        <v>0</v>
      </c>
      <c r="AM63" s="1066">
        <f t="shared" si="180"/>
        <v>0</v>
      </c>
      <c r="AN63" s="1066">
        <f t="shared" si="181"/>
        <v>0</v>
      </c>
      <c r="AO63" s="1067">
        <f t="shared" si="186"/>
        <v>0</v>
      </c>
      <c r="AP63" s="1073"/>
      <c r="AQ63" s="1083">
        <v>0</v>
      </c>
      <c r="AR63" s="1082">
        <v>0</v>
      </c>
      <c r="AS63" s="1082">
        <v>0</v>
      </c>
      <c r="AT63" s="1082">
        <v>0</v>
      </c>
      <c r="AU63" s="1082">
        <v>0</v>
      </c>
      <c r="AV63" s="1067">
        <f t="shared" si="187"/>
        <v>0</v>
      </c>
      <c r="AW63" s="1055">
        <f t="shared" si="10"/>
        <v>0</v>
      </c>
      <c r="AX63" s="1071">
        <v>0</v>
      </c>
      <c r="AY63" s="1071">
        <v>0</v>
      </c>
      <c r="AZ63" s="1071">
        <v>0</v>
      </c>
      <c r="BA63" s="1076">
        <f t="shared" si="182"/>
        <v>0</v>
      </c>
      <c r="BB63" s="1066">
        <v>0</v>
      </c>
      <c r="BC63" s="1066">
        <v>0</v>
      </c>
      <c r="BD63" s="1066">
        <v>0</v>
      </c>
      <c r="BE63" s="1076">
        <f t="shared" si="22"/>
        <v>0</v>
      </c>
      <c r="BF63" s="1077">
        <v>0</v>
      </c>
      <c r="BG63" s="1071">
        <v>0</v>
      </c>
      <c r="BH63" s="1076">
        <v>0</v>
      </c>
      <c r="BI63" s="1077">
        <v>0</v>
      </c>
      <c r="BJ63" s="1071">
        <v>0</v>
      </c>
      <c r="BK63" s="1041">
        <v>0</v>
      </c>
      <c r="BL63" s="1077">
        <v>0</v>
      </c>
      <c r="BM63" s="1071">
        <v>0</v>
      </c>
      <c r="BN63" s="1041">
        <v>0</v>
      </c>
      <c r="BO63" s="1077">
        <v>0</v>
      </c>
      <c r="BP63" s="1062">
        <v>0</v>
      </c>
      <c r="BQ63" s="1078">
        <f t="shared" si="15"/>
        <v>0</v>
      </c>
      <c r="BR63" s="1062"/>
      <c r="BS63" s="1079">
        <f t="shared" si="16"/>
        <v>4000</v>
      </c>
      <c r="BT63" s="284" t="s">
        <v>419</v>
      </c>
    </row>
    <row r="64" spans="1:72" ht="18" customHeight="1" x14ac:dyDescent="0.2">
      <c r="A64" s="1050">
        <v>54199</v>
      </c>
      <c r="B64" s="1051" t="s">
        <v>47</v>
      </c>
      <c r="C64" s="1065">
        <f>'F.P y DL'!C468</f>
        <v>9214</v>
      </c>
      <c r="D64" s="1082">
        <f>'F.P y DL'!D468</f>
        <v>10</v>
      </c>
      <c r="E64" s="1082">
        <f>'F.P y DL'!E468</f>
        <v>350</v>
      </c>
      <c r="F64" s="1082">
        <f>'F.P y DL'!F468</f>
        <v>315</v>
      </c>
      <c r="G64" s="1067">
        <f t="shared" si="183"/>
        <v>9889</v>
      </c>
      <c r="H64" s="1068">
        <v>0</v>
      </c>
      <c r="I64" s="1069">
        <v>0</v>
      </c>
      <c r="J64" s="1069">
        <f>'F.P y DL'!E31</f>
        <v>0</v>
      </c>
      <c r="K64" s="1069">
        <f>'F.P y DL'!F31</f>
        <v>0</v>
      </c>
      <c r="L64" s="1070">
        <f t="shared" si="189"/>
        <v>0</v>
      </c>
      <c r="M64" s="1062">
        <v>0</v>
      </c>
      <c r="N64" s="1071">
        <v>0</v>
      </c>
      <c r="O64" s="1071">
        <v>0</v>
      </c>
      <c r="P64" s="1071">
        <v>0</v>
      </c>
      <c r="Q64" s="1071">
        <v>0</v>
      </c>
      <c r="R64" s="1072">
        <f t="shared" si="3"/>
        <v>0</v>
      </c>
      <c r="S64" s="1065">
        <f>'F.P y DL'!W468</f>
        <v>0</v>
      </c>
      <c r="T64" s="1082">
        <f>'F.P y DL'!X468</f>
        <v>0</v>
      </c>
      <c r="U64" s="1082">
        <f>'F.P y DL'!Y468</f>
        <v>0</v>
      </c>
      <c r="V64" s="1082">
        <f>'F.P y DL'!Z468</f>
        <v>0</v>
      </c>
      <c r="W64" s="1067">
        <f t="shared" si="184"/>
        <v>0</v>
      </c>
      <c r="X64" s="1082">
        <v>0</v>
      </c>
      <c r="Y64" s="1082">
        <v>0</v>
      </c>
      <c r="Z64" s="1034">
        <f>SUM(X64:Y64)</f>
        <v>0</v>
      </c>
      <c r="AA64" s="1067">
        <f t="shared" si="18"/>
        <v>0</v>
      </c>
      <c r="AB64" s="1065">
        <f>'F.P y DL'!C355</f>
        <v>11192.419999999998</v>
      </c>
      <c r="AC64" s="1082">
        <f>'F.P y DL'!AG468</f>
        <v>0</v>
      </c>
      <c r="AD64" s="1082">
        <f>'F.P y DL'!AH468</f>
        <v>0</v>
      </c>
      <c r="AE64" s="1082">
        <f>'F.P y DL'!AI468</f>
        <v>0</v>
      </c>
      <c r="AF64" s="1067">
        <f t="shared" si="185"/>
        <v>11192.419999999998</v>
      </c>
      <c r="AG64" s="1082">
        <f>'F.P y DL'!AJ468</f>
        <v>0</v>
      </c>
      <c r="AH64" s="1082">
        <f>'F.P y DL'!AK468</f>
        <v>0</v>
      </c>
      <c r="AI64" s="1034">
        <f>SUM(AG64:AH64)</f>
        <v>0</v>
      </c>
      <c r="AJ64" s="1067">
        <f t="shared" si="188"/>
        <v>11192.419999999998</v>
      </c>
      <c r="AK64" s="1065">
        <f t="shared" si="178"/>
        <v>11192.419999999998</v>
      </c>
      <c r="AL64" s="1082">
        <f t="shared" si="179"/>
        <v>0</v>
      </c>
      <c r="AM64" s="1082">
        <f t="shared" si="180"/>
        <v>0</v>
      </c>
      <c r="AN64" s="1082">
        <f t="shared" si="181"/>
        <v>0</v>
      </c>
      <c r="AO64" s="1067">
        <f t="shared" si="186"/>
        <v>11192.419999999998</v>
      </c>
      <c r="AP64" s="1073"/>
      <c r="AQ64" s="1083">
        <v>0</v>
      </c>
      <c r="AR64" s="1082">
        <v>0</v>
      </c>
      <c r="AS64" s="1082">
        <v>0</v>
      </c>
      <c r="AT64" s="1082">
        <v>0</v>
      </c>
      <c r="AU64" s="1082">
        <f>'AG3'!L41+'AG3'!L45+'AG3'!L54</f>
        <v>8507.43</v>
      </c>
      <c r="AV64" s="1067">
        <f t="shared" si="187"/>
        <v>8507.43</v>
      </c>
      <c r="AW64" s="1055">
        <f t="shared" si="10"/>
        <v>19699.849999999999</v>
      </c>
      <c r="AX64" s="1071">
        <v>0</v>
      </c>
      <c r="AY64" s="1071">
        <v>0</v>
      </c>
      <c r="AZ64" s="1071">
        <v>0</v>
      </c>
      <c r="BA64" s="1076">
        <f t="shared" si="182"/>
        <v>0</v>
      </c>
      <c r="BB64" s="1082">
        <v>0</v>
      </c>
      <c r="BC64" s="1082">
        <v>0</v>
      </c>
      <c r="BD64" s="1066">
        <v>0</v>
      </c>
      <c r="BE64" s="1076">
        <f t="shared" si="22"/>
        <v>0</v>
      </c>
      <c r="BF64" s="1077">
        <v>0</v>
      </c>
      <c r="BG64" s="1071">
        <v>0</v>
      </c>
      <c r="BH64" s="1076">
        <v>0</v>
      </c>
      <c r="BI64" s="1077">
        <v>0</v>
      </c>
      <c r="BJ64" s="1071">
        <v>0</v>
      </c>
      <c r="BK64" s="1041">
        <v>0</v>
      </c>
      <c r="BL64" s="1077">
        <v>0</v>
      </c>
      <c r="BM64" s="1071">
        <v>0</v>
      </c>
      <c r="BN64" s="1041">
        <v>0</v>
      </c>
      <c r="BO64" s="1077">
        <v>0</v>
      </c>
      <c r="BP64" s="1062">
        <v>0</v>
      </c>
      <c r="BQ64" s="1078">
        <f t="shared" si="15"/>
        <v>0</v>
      </c>
      <c r="BR64" s="1062"/>
      <c r="BS64" s="1079">
        <f t="shared" si="16"/>
        <v>29588.85</v>
      </c>
      <c r="BT64" s="284" t="s">
        <v>419</v>
      </c>
    </row>
    <row r="65" spans="1:72" ht="18" customHeight="1" x14ac:dyDescent="0.2">
      <c r="A65" s="1014">
        <v>542</v>
      </c>
      <c r="B65" s="1080" t="s">
        <v>48</v>
      </c>
      <c r="C65" s="1016">
        <f t="shared" ref="C65:K65" si="190">SUM(C66:C70)</f>
        <v>22220.6</v>
      </c>
      <c r="D65" s="1000">
        <f t="shared" si="190"/>
        <v>4068</v>
      </c>
      <c r="E65" s="1000">
        <f t="shared" si="190"/>
        <v>0</v>
      </c>
      <c r="F65" s="1000">
        <f t="shared" si="190"/>
        <v>146300</v>
      </c>
      <c r="G65" s="1059">
        <f>SUM(G66:G70)</f>
        <v>172588.6</v>
      </c>
      <c r="H65" s="1060">
        <f t="shared" si="190"/>
        <v>0</v>
      </c>
      <c r="I65" s="1019">
        <f t="shared" si="190"/>
        <v>0</v>
      </c>
      <c r="J65" s="1019">
        <f t="shared" si="190"/>
        <v>0</v>
      </c>
      <c r="K65" s="1019">
        <f t="shared" si="190"/>
        <v>0</v>
      </c>
      <c r="L65" s="1021">
        <f>SUM(H65:K65)</f>
        <v>0</v>
      </c>
      <c r="M65" s="1028">
        <v>0</v>
      </c>
      <c r="N65" s="1022">
        <f>SUM(N66:N70)</f>
        <v>0</v>
      </c>
      <c r="O65" s="1022">
        <v>0</v>
      </c>
      <c r="P65" s="1022">
        <v>0</v>
      </c>
      <c r="Q65" s="1022">
        <v>0</v>
      </c>
      <c r="R65" s="1023">
        <f t="shared" si="3"/>
        <v>0</v>
      </c>
      <c r="S65" s="1016">
        <f t="shared" ref="S65:V65" si="191">SUM(S66:S70)</f>
        <v>0</v>
      </c>
      <c r="T65" s="1000">
        <f t="shared" si="191"/>
        <v>0</v>
      </c>
      <c r="U65" s="1000">
        <f t="shared" si="191"/>
        <v>0</v>
      </c>
      <c r="V65" s="1000">
        <f t="shared" si="191"/>
        <v>0</v>
      </c>
      <c r="W65" s="1059">
        <f>SUM(W66:W70)</f>
        <v>0</v>
      </c>
      <c r="X65" s="1000">
        <f t="shared" ref="X65:Y65" si="192">SUM(X66:X70)</f>
        <v>0</v>
      </c>
      <c r="Y65" s="1000">
        <f t="shared" si="192"/>
        <v>0</v>
      </c>
      <c r="Z65" s="1059">
        <f>SUM(Z66:Z70)</f>
        <v>0</v>
      </c>
      <c r="AA65" s="1059">
        <f t="shared" si="18"/>
        <v>0</v>
      </c>
      <c r="AB65" s="1016">
        <f t="shared" ref="AB65:AE65" si="193">SUM(AB66:AB70)</f>
        <v>0</v>
      </c>
      <c r="AC65" s="1000">
        <f t="shared" si="193"/>
        <v>0</v>
      </c>
      <c r="AD65" s="1000">
        <f t="shared" si="193"/>
        <v>0</v>
      </c>
      <c r="AE65" s="1000">
        <f t="shared" si="193"/>
        <v>0</v>
      </c>
      <c r="AF65" s="1059">
        <f>SUM(AF66:AF70)</f>
        <v>0</v>
      </c>
      <c r="AG65" s="1000">
        <f t="shared" ref="AG65:AH65" si="194">SUM(AG66:AG70)</f>
        <v>0</v>
      </c>
      <c r="AH65" s="1000">
        <f t="shared" si="194"/>
        <v>0</v>
      </c>
      <c r="AI65" s="1059">
        <f>SUM(AI66:AI70)</f>
        <v>0</v>
      </c>
      <c r="AJ65" s="1059">
        <f t="shared" si="188"/>
        <v>0</v>
      </c>
      <c r="AK65" s="1016">
        <f t="shared" ref="AK65:AN65" si="195">SUM(AK66:AK70)</f>
        <v>0</v>
      </c>
      <c r="AL65" s="1000">
        <f t="shared" si="195"/>
        <v>0</v>
      </c>
      <c r="AM65" s="1000">
        <f t="shared" si="195"/>
        <v>0</v>
      </c>
      <c r="AN65" s="1000">
        <f t="shared" si="195"/>
        <v>0</v>
      </c>
      <c r="AO65" s="1059">
        <f>SUM(AO66:AO70)</f>
        <v>0</v>
      </c>
      <c r="AP65" s="1061"/>
      <c r="AQ65" s="1024">
        <f t="shared" ref="AQ65:AU65" si="196">SUM(AQ66:AQ70)</f>
        <v>39691.79</v>
      </c>
      <c r="AR65" s="1017">
        <f t="shared" si="196"/>
        <v>0</v>
      </c>
      <c r="AS65" s="1017">
        <f t="shared" si="196"/>
        <v>49199.999999999993</v>
      </c>
      <c r="AT65" s="1017">
        <f t="shared" si="196"/>
        <v>0</v>
      </c>
      <c r="AU65" s="1017">
        <f t="shared" si="196"/>
        <v>0</v>
      </c>
      <c r="AV65" s="1090">
        <f>SUM(AV66:AV70)</f>
        <v>88891.79</v>
      </c>
      <c r="AW65" s="1059">
        <f t="shared" si="10"/>
        <v>88891.79</v>
      </c>
      <c r="AX65" s="1022">
        <v>0</v>
      </c>
      <c r="AY65" s="1022">
        <v>0</v>
      </c>
      <c r="AZ65" s="1022">
        <v>0</v>
      </c>
      <c r="BA65" s="1027">
        <f>M65+N65+O65+AX65+AZ65</f>
        <v>0</v>
      </c>
      <c r="BB65" s="1000">
        <f t="shared" ref="BB65:BC65" si="197">SUM(BB66:BB70)</f>
        <v>0</v>
      </c>
      <c r="BC65" s="1000">
        <f t="shared" si="197"/>
        <v>0</v>
      </c>
      <c r="BD65" s="1000">
        <f>SUM(BD66:BD70)</f>
        <v>0</v>
      </c>
      <c r="BE65" s="1027">
        <f>SUM(BB65:BD65)</f>
        <v>0</v>
      </c>
      <c r="BF65" s="1026">
        <v>0</v>
      </c>
      <c r="BG65" s="1022">
        <v>0</v>
      </c>
      <c r="BH65" s="1027">
        <v>0</v>
      </c>
      <c r="BI65" s="1026">
        <v>0</v>
      </c>
      <c r="BJ65" s="1022">
        <v>0</v>
      </c>
      <c r="BK65" s="1023">
        <v>0</v>
      </c>
      <c r="BL65" s="1026">
        <v>0</v>
      </c>
      <c r="BM65" s="1022">
        <v>0</v>
      </c>
      <c r="BN65" s="1023">
        <v>0</v>
      </c>
      <c r="BO65" s="1026">
        <v>0</v>
      </c>
      <c r="BP65" s="1028">
        <v>0</v>
      </c>
      <c r="BQ65" s="1008">
        <f t="shared" si="15"/>
        <v>0</v>
      </c>
      <c r="BR65" s="1062"/>
      <c r="BS65" s="1013">
        <f t="shared" si="16"/>
        <v>261480.39</v>
      </c>
      <c r="BT65" s="284" t="s">
        <v>419</v>
      </c>
    </row>
    <row r="66" spans="1:72" ht="18" customHeight="1" x14ac:dyDescent="0.2">
      <c r="A66" s="1050">
        <v>54201</v>
      </c>
      <c r="B66" s="1051" t="s">
        <v>49</v>
      </c>
      <c r="C66" s="1065">
        <f>'F.P y DL'!C470</f>
        <v>1600</v>
      </c>
      <c r="D66" s="1066">
        <f>'F.P y DL'!D470</f>
        <v>0</v>
      </c>
      <c r="E66" s="1066">
        <f>'F.P y DL'!E470</f>
        <v>0</v>
      </c>
      <c r="F66" s="1066">
        <f>'F.P y DL'!F470</f>
        <v>141000</v>
      </c>
      <c r="G66" s="1067">
        <f t="shared" ref="G66:G91" si="198">SUM(C66:F66)</f>
        <v>142600</v>
      </c>
      <c r="H66" s="1068">
        <f>'F.P y DL'!C33</f>
        <v>0</v>
      </c>
      <c r="I66" s="1069">
        <v>0</v>
      </c>
      <c r="J66" s="1069">
        <v>0</v>
      </c>
      <c r="K66" s="1069">
        <f>'F.P y DL'!F33</f>
        <v>0</v>
      </c>
      <c r="L66" s="1070">
        <f t="shared" si="189"/>
        <v>0</v>
      </c>
      <c r="M66" s="1062">
        <v>0</v>
      </c>
      <c r="N66" s="1071">
        <v>0</v>
      </c>
      <c r="O66" s="1071">
        <v>0</v>
      </c>
      <c r="P66" s="1071">
        <v>0</v>
      </c>
      <c r="Q66" s="1071">
        <v>0</v>
      </c>
      <c r="R66" s="1072">
        <f t="shared" si="3"/>
        <v>0</v>
      </c>
      <c r="S66" s="1065">
        <f>'F.P y DL'!C141</f>
        <v>0</v>
      </c>
      <c r="T66" s="1066">
        <f>'F.P y DL'!D141</f>
        <v>0</v>
      </c>
      <c r="U66" s="1066">
        <f>'F.P y DL'!E141</f>
        <v>0</v>
      </c>
      <c r="V66" s="1066">
        <f>'F.P y DL'!F141</f>
        <v>0</v>
      </c>
      <c r="W66" s="1067">
        <f t="shared" ref="W66:W91" si="199">SUM(S66:V66)</f>
        <v>0</v>
      </c>
      <c r="X66" s="1066">
        <v>0</v>
      </c>
      <c r="Y66" s="1066">
        <v>0</v>
      </c>
      <c r="Z66" s="1034">
        <f t="shared" ref="Z66:Z97" si="200">SUM(X66:Y66)</f>
        <v>0</v>
      </c>
      <c r="AA66" s="1067">
        <f t="shared" si="18"/>
        <v>0</v>
      </c>
      <c r="AB66" s="1065">
        <f>'F.P y DL'!L141</f>
        <v>0</v>
      </c>
      <c r="AC66" s="1066">
        <f>'F.P y DL'!M141</f>
        <v>0</v>
      </c>
      <c r="AD66" s="1066">
        <f>'F.P y DL'!N141</f>
        <v>0</v>
      </c>
      <c r="AE66" s="1066">
        <f>'F.P y DL'!O141</f>
        <v>0</v>
      </c>
      <c r="AF66" s="1067">
        <f t="shared" ref="AF66:AF70" si="201">SUM(AB66:AE66)</f>
        <v>0</v>
      </c>
      <c r="AG66" s="1066">
        <f>'F.P y DL'!AJ470</f>
        <v>0</v>
      </c>
      <c r="AH66" s="1066">
        <f>'F.P y DL'!AK470</f>
        <v>0</v>
      </c>
      <c r="AI66" s="1034">
        <f t="shared" ref="AI66:AI70" si="202">SUM(AG66:AH66)</f>
        <v>0</v>
      </c>
      <c r="AJ66" s="1067">
        <f t="shared" si="188"/>
        <v>0</v>
      </c>
      <c r="AK66" s="1065">
        <f t="shared" ref="AK66:AK70" si="203">S66+AB66</f>
        <v>0</v>
      </c>
      <c r="AL66" s="1066">
        <f t="shared" ref="AL66:AL70" si="204">T66+AC66</f>
        <v>0</v>
      </c>
      <c r="AM66" s="1066">
        <f t="shared" ref="AM66:AM70" si="205">U66+AD66</f>
        <v>0</v>
      </c>
      <c r="AN66" s="1066">
        <f t="shared" ref="AN66:AN70" si="206">V66+AE66</f>
        <v>0</v>
      </c>
      <c r="AO66" s="1067">
        <f t="shared" ref="AO66:AO70" si="207">SUM(AK66:AN66)</f>
        <v>0</v>
      </c>
      <c r="AP66" s="1073"/>
      <c r="AQ66" s="1083">
        <f>'AG3'!H19</f>
        <v>39691.79</v>
      </c>
      <c r="AR66" s="1082">
        <v>0</v>
      </c>
      <c r="AS66" s="1082">
        <v>0</v>
      </c>
      <c r="AT66" s="1082">
        <v>0</v>
      </c>
      <c r="AU66" s="1082">
        <v>0</v>
      </c>
      <c r="AV66" s="1067">
        <f t="shared" si="187"/>
        <v>39691.79</v>
      </c>
      <c r="AW66" s="1055">
        <f t="shared" si="10"/>
        <v>39691.79</v>
      </c>
      <c r="AX66" s="1071">
        <v>0</v>
      </c>
      <c r="AY66" s="1071">
        <v>0</v>
      </c>
      <c r="AZ66" s="1071">
        <v>0</v>
      </c>
      <c r="BA66" s="1076">
        <f t="shared" ref="BA66:BA70" si="208">SUM(AX66:AZ66)</f>
        <v>0</v>
      </c>
      <c r="BB66" s="1066">
        <v>0</v>
      </c>
      <c r="BC66" s="1066">
        <v>0</v>
      </c>
      <c r="BD66" s="1066">
        <v>0</v>
      </c>
      <c r="BE66" s="1076">
        <f t="shared" si="22"/>
        <v>0</v>
      </c>
      <c r="BF66" s="1077">
        <v>0</v>
      </c>
      <c r="BG66" s="1071">
        <v>0</v>
      </c>
      <c r="BH66" s="1076">
        <v>0</v>
      </c>
      <c r="BI66" s="1077">
        <v>0</v>
      </c>
      <c r="BJ66" s="1071">
        <v>0</v>
      </c>
      <c r="BK66" s="1041">
        <v>0</v>
      </c>
      <c r="BL66" s="1077">
        <v>0</v>
      </c>
      <c r="BM66" s="1071">
        <v>0</v>
      </c>
      <c r="BN66" s="1041">
        <v>0</v>
      </c>
      <c r="BO66" s="1077">
        <v>0</v>
      </c>
      <c r="BP66" s="1062">
        <v>0</v>
      </c>
      <c r="BQ66" s="1078">
        <f t="shared" si="15"/>
        <v>0</v>
      </c>
      <c r="BR66" s="1062"/>
      <c r="BS66" s="1079">
        <f t="shared" si="16"/>
        <v>182291.79</v>
      </c>
      <c r="BT66" s="284" t="s">
        <v>419</v>
      </c>
    </row>
    <row r="67" spans="1:72" ht="18" customHeight="1" x14ac:dyDescent="0.2">
      <c r="A67" s="1050">
        <v>54202</v>
      </c>
      <c r="B67" s="1051" t="s">
        <v>50</v>
      </c>
      <c r="C67" s="1065">
        <f>'F.P y DL'!C471</f>
        <v>2200</v>
      </c>
      <c r="D67" s="1066">
        <f>'F.P y DL'!D471</f>
        <v>0</v>
      </c>
      <c r="E67" s="1066">
        <f>'F.P y DL'!E471</f>
        <v>0</v>
      </c>
      <c r="F67" s="1066">
        <f>'F.P y DL'!F471</f>
        <v>300</v>
      </c>
      <c r="G67" s="1067">
        <f t="shared" si="198"/>
        <v>2500</v>
      </c>
      <c r="H67" s="1068">
        <f>'F.P y DL'!C34</f>
        <v>0</v>
      </c>
      <c r="I67" s="1069">
        <v>0</v>
      </c>
      <c r="J67" s="1069">
        <v>0</v>
      </c>
      <c r="K67" s="1069">
        <f>'F.P y DL'!F34</f>
        <v>0</v>
      </c>
      <c r="L67" s="1070">
        <f t="shared" si="189"/>
        <v>0</v>
      </c>
      <c r="M67" s="1062">
        <v>0</v>
      </c>
      <c r="N67" s="1071">
        <v>0</v>
      </c>
      <c r="O67" s="1071">
        <v>0</v>
      </c>
      <c r="P67" s="1071">
        <v>0</v>
      </c>
      <c r="Q67" s="1071">
        <v>0</v>
      </c>
      <c r="R67" s="1072">
        <f t="shared" si="3"/>
        <v>0</v>
      </c>
      <c r="S67" s="1065">
        <f>'F.P y DL'!W471</f>
        <v>0</v>
      </c>
      <c r="T67" s="1066">
        <f>'F.P y DL'!X471</f>
        <v>0</v>
      </c>
      <c r="U67" s="1066">
        <f>'F.P y DL'!Y471</f>
        <v>0</v>
      </c>
      <c r="V67" s="1066">
        <f>'F.P y DL'!Z471</f>
        <v>0</v>
      </c>
      <c r="W67" s="1067">
        <f t="shared" si="199"/>
        <v>0</v>
      </c>
      <c r="X67" s="1066">
        <v>0</v>
      </c>
      <c r="Y67" s="1066">
        <v>0</v>
      </c>
      <c r="Z67" s="1034">
        <f t="shared" si="200"/>
        <v>0</v>
      </c>
      <c r="AA67" s="1067">
        <f t="shared" si="18"/>
        <v>0</v>
      </c>
      <c r="AB67" s="1065">
        <f>'F.P y DL'!AF471</f>
        <v>0</v>
      </c>
      <c r="AC67" s="1066">
        <f>'F.P y DL'!AG471</f>
        <v>0</v>
      </c>
      <c r="AD67" s="1066">
        <f>'F.P y DL'!AH471</f>
        <v>0</v>
      </c>
      <c r="AE67" s="1066">
        <f>'F.P y DL'!AI471</f>
        <v>0</v>
      </c>
      <c r="AF67" s="1067">
        <f t="shared" si="201"/>
        <v>0</v>
      </c>
      <c r="AG67" s="1066">
        <f>'F.P y DL'!AJ471</f>
        <v>0</v>
      </c>
      <c r="AH67" s="1066">
        <f>'F.P y DL'!AK471</f>
        <v>0</v>
      </c>
      <c r="AI67" s="1034">
        <f t="shared" si="202"/>
        <v>0</v>
      </c>
      <c r="AJ67" s="1067">
        <f t="shared" si="188"/>
        <v>0</v>
      </c>
      <c r="AK67" s="1065">
        <f t="shared" si="203"/>
        <v>0</v>
      </c>
      <c r="AL67" s="1066">
        <f t="shared" si="204"/>
        <v>0</v>
      </c>
      <c r="AM67" s="1066">
        <f t="shared" si="205"/>
        <v>0</v>
      </c>
      <c r="AN67" s="1066">
        <f t="shared" si="206"/>
        <v>0</v>
      </c>
      <c r="AO67" s="1067">
        <f t="shared" si="207"/>
        <v>0</v>
      </c>
      <c r="AP67" s="1073"/>
      <c r="AQ67" s="1083">
        <v>0</v>
      </c>
      <c r="AR67" s="1082">
        <v>0</v>
      </c>
      <c r="AS67" s="1082">
        <v>0</v>
      </c>
      <c r="AT67" s="1082">
        <v>0</v>
      </c>
      <c r="AU67" s="1082">
        <v>0</v>
      </c>
      <c r="AV67" s="1067">
        <f t="shared" si="187"/>
        <v>0</v>
      </c>
      <c r="AW67" s="1055">
        <f t="shared" si="10"/>
        <v>0</v>
      </c>
      <c r="AX67" s="1071">
        <v>0</v>
      </c>
      <c r="AY67" s="1071">
        <v>0</v>
      </c>
      <c r="AZ67" s="1071">
        <v>0</v>
      </c>
      <c r="BA67" s="1076">
        <f t="shared" si="208"/>
        <v>0</v>
      </c>
      <c r="BB67" s="1066">
        <v>0</v>
      </c>
      <c r="BC67" s="1066">
        <v>0</v>
      </c>
      <c r="BD67" s="1066">
        <v>0</v>
      </c>
      <c r="BE67" s="1076">
        <f t="shared" si="22"/>
        <v>0</v>
      </c>
      <c r="BF67" s="1077">
        <v>0</v>
      </c>
      <c r="BG67" s="1071">
        <v>0</v>
      </c>
      <c r="BH67" s="1076">
        <v>0</v>
      </c>
      <c r="BI67" s="1077">
        <v>0</v>
      </c>
      <c r="BJ67" s="1071">
        <v>0</v>
      </c>
      <c r="BK67" s="1041">
        <v>0</v>
      </c>
      <c r="BL67" s="1077">
        <v>0</v>
      </c>
      <c r="BM67" s="1071">
        <v>0</v>
      </c>
      <c r="BN67" s="1041">
        <v>0</v>
      </c>
      <c r="BO67" s="1077">
        <v>0</v>
      </c>
      <c r="BP67" s="1062">
        <v>0</v>
      </c>
      <c r="BQ67" s="1078">
        <f t="shared" si="15"/>
        <v>0</v>
      </c>
      <c r="BR67" s="1062"/>
      <c r="BS67" s="1079">
        <f t="shared" si="16"/>
        <v>2500</v>
      </c>
      <c r="BT67" s="284" t="s">
        <v>419</v>
      </c>
    </row>
    <row r="68" spans="1:72" ht="18" customHeight="1" x14ac:dyDescent="0.2">
      <c r="A68" s="1050">
        <v>54203</v>
      </c>
      <c r="B68" s="1051" t="s">
        <v>51</v>
      </c>
      <c r="C68" s="1065">
        <f>'F.P y DL'!C472</f>
        <v>18420.599999999999</v>
      </c>
      <c r="D68" s="1066">
        <f>'F.P y DL'!D472</f>
        <v>4068</v>
      </c>
      <c r="E68" s="1066">
        <f>'F.P y DL'!E472</f>
        <v>0</v>
      </c>
      <c r="F68" s="1066">
        <f>'F.P y DL'!F472</f>
        <v>0</v>
      </c>
      <c r="G68" s="1067">
        <f t="shared" si="198"/>
        <v>22488.6</v>
      </c>
      <c r="H68" s="1068">
        <f>'F.P y DL'!C35</f>
        <v>0</v>
      </c>
      <c r="I68" s="1069">
        <v>0</v>
      </c>
      <c r="J68" s="1069">
        <v>0</v>
      </c>
      <c r="K68" s="1069">
        <f>'F.P y DL'!F35</f>
        <v>0</v>
      </c>
      <c r="L68" s="1070">
        <f t="shared" si="189"/>
        <v>0</v>
      </c>
      <c r="M68" s="1062">
        <v>0</v>
      </c>
      <c r="N68" s="1071">
        <v>0</v>
      </c>
      <c r="O68" s="1071">
        <v>0</v>
      </c>
      <c r="P68" s="1071">
        <v>0</v>
      </c>
      <c r="Q68" s="1071">
        <v>0</v>
      </c>
      <c r="R68" s="1078">
        <f t="shared" si="3"/>
        <v>0</v>
      </c>
      <c r="S68" s="1065">
        <f>'F.P y DL'!W472</f>
        <v>0</v>
      </c>
      <c r="T68" s="1066">
        <f>'F.P y DL'!X472</f>
        <v>0</v>
      </c>
      <c r="U68" s="1066">
        <f>'F.P y DL'!Y472</f>
        <v>0</v>
      </c>
      <c r="V68" s="1066">
        <f>'F.P y DL'!Z472</f>
        <v>0</v>
      </c>
      <c r="W68" s="1067">
        <f t="shared" si="199"/>
        <v>0</v>
      </c>
      <c r="X68" s="1066">
        <v>0</v>
      </c>
      <c r="Y68" s="1066">
        <v>0</v>
      </c>
      <c r="Z68" s="1034">
        <f t="shared" si="200"/>
        <v>0</v>
      </c>
      <c r="AA68" s="1067">
        <f t="shared" si="18"/>
        <v>0</v>
      </c>
      <c r="AB68" s="1065">
        <f>'F.P y DL'!AF472</f>
        <v>0</v>
      </c>
      <c r="AC68" s="1066">
        <f>'F.P y DL'!AG472</f>
        <v>0</v>
      </c>
      <c r="AD68" s="1066">
        <f>'F.P y DL'!AH472</f>
        <v>0</v>
      </c>
      <c r="AE68" s="1066">
        <f>'F.P y DL'!AI472</f>
        <v>0</v>
      </c>
      <c r="AF68" s="1067">
        <f t="shared" si="201"/>
        <v>0</v>
      </c>
      <c r="AG68" s="1066">
        <f>'F.P y DL'!AJ472</f>
        <v>0</v>
      </c>
      <c r="AH68" s="1066">
        <f>'F.P y DL'!AK472</f>
        <v>0</v>
      </c>
      <c r="AI68" s="1034">
        <f t="shared" si="202"/>
        <v>0</v>
      </c>
      <c r="AJ68" s="1067">
        <f t="shared" si="188"/>
        <v>0</v>
      </c>
      <c r="AK68" s="1065">
        <f t="shared" si="203"/>
        <v>0</v>
      </c>
      <c r="AL68" s="1066">
        <f t="shared" si="204"/>
        <v>0</v>
      </c>
      <c r="AM68" s="1066">
        <f t="shared" si="205"/>
        <v>0</v>
      </c>
      <c r="AN68" s="1066">
        <f t="shared" si="206"/>
        <v>0</v>
      </c>
      <c r="AO68" s="1067">
        <f t="shared" si="207"/>
        <v>0</v>
      </c>
      <c r="AP68" s="1073"/>
      <c r="AQ68" s="1083">
        <v>0</v>
      </c>
      <c r="AR68" s="1082">
        <v>0</v>
      </c>
      <c r="AS68" s="1082">
        <v>0</v>
      </c>
      <c r="AT68" s="1082">
        <v>0</v>
      </c>
      <c r="AU68" s="1082">
        <v>0</v>
      </c>
      <c r="AV68" s="1067">
        <f t="shared" si="187"/>
        <v>0</v>
      </c>
      <c r="AW68" s="1055">
        <f t="shared" si="10"/>
        <v>0</v>
      </c>
      <c r="AX68" s="1071">
        <v>0</v>
      </c>
      <c r="AY68" s="1071">
        <v>0</v>
      </c>
      <c r="AZ68" s="1071">
        <v>0</v>
      </c>
      <c r="BA68" s="1076">
        <f t="shared" si="208"/>
        <v>0</v>
      </c>
      <c r="BB68" s="1066">
        <v>0</v>
      </c>
      <c r="BC68" s="1066">
        <v>0</v>
      </c>
      <c r="BD68" s="1066">
        <v>0</v>
      </c>
      <c r="BE68" s="1076">
        <f t="shared" si="22"/>
        <v>0</v>
      </c>
      <c r="BF68" s="1077">
        <v>0</v>
      </c>
      <c r="BG68" s="1071">
        <v>0</v>
      </c>
      <c r="BH68" s="1076">
        <v>0</v>
      </c>
      <c r="BI68" s="1077">
        <v>0</v>
      </c>
      <c r="BJ68" s="1071">
        <v>0</v>
      </c>
      <c r="BK68" s="1041">
        <v>0</v>
      </c>
      <c r="BL68" s="1077">
        <v>0</v>
      </c>
      <c r="BM68" s="1071">
        <v>0</v>
      </c>
      <c r="BN68" s="1041">
        <v>0</v>
      </c>
      <c r="BO68" s="1077">
        <v>0</v>
      </c>
      <c r="BP68" s="1091">
        <v>0</v>
      </c>
      <c r="BQ68" s="1078">
        <f t="shared" si="15"/>
        <v>0</v>
      </c>
      <c r="BR68" s="1092"/>
      <c r="BS68" s="1079">
        <f t="shared" si="16"/>
        <v>22488.6</v>
      </c>
      <c r="BT68" s="284" t="s">
        <v>419</v>
      </c>
    </row>
    <row r="69" spans="1:72" ht="18" customHeight="1" x14ac:dyDescent="0.2">
      <c r="A69" s="1050">
        <v>54204</v>
      </c>
      <c r="B69" s="1051" t="s">
        <v>52</v>
      </c>
      <c r="C69" s="1065">
        <v>0</v>
      </c>
      <c r="D69" s="1066">
        <v>0</v>
      </c>
      <c r="E69" s="1066">
        <v>0</v>
      </c>
      <c r="F69" s="1066">
        <v>0</v>
      </c>
      <c r="G69" s="1067">
        <f t="shared" si="198"/>
        <v>0</v>
      </c>
      <c r="H69" s="1068"/>
      <c r="I69" s="1069">
        <v>0</v>
      </c>
      <c r="J69" s="1069">
        <v>0</v>
      </c>
      <c r="K69" s="1069">
        <v>0</v>
      </c>
      <c r="L69" s="1070">
        <f t="shared" si="189"/>
        <v>0</v>
      </c>
      <c r="M69" s="1062">
        <v>0</v>
      </c>
      <c r="N69" s="1071">
        <v>0</v>
      </c>
      <c r="O69" s="1071">
        <v>0</v>
      </c>
      <c r="P69" s="1071">
        <v>0</v>
      </c>
      <c r="Q69" s="1071">
        <v>0</v>
      </c>
      <c r="R69" s="1072">
        <f t="shared" si="3"/>
        <v>0</v>
      </c>
      <c r="S69" s="1065">
        <v>0</v>
      </c>
      <c r="T69" s="1066">
        <v>0</v>
      </c>
      <c r="U69" s="1066">
        <v>0</v>
      </c>
      <c r="V69" s="1066">
        <v>0</v>
      </c>
      <c r="W69" s="1067">
        <f t="shared" si="199"/>
        <v>0</v>
      </c>
      <c r="X69" s="1066">
        <v>0</v>
      </c>
      <c r="Y69" s="1066">
        <v>0</v>
      </c>
      <c r="Z69" s="1034">
        <f t="shared" si="200"/>
        <v>0</v>
      </c>
      <c r="AA69" s="1067">
        <f t="shared" si="18"/>
        <v>0</v>
      </c>
      <c r="AB69" s="1065">
        <v>0</v>
      </c>
      <c r="AC69" s="1066">
        <v>0</v>
      </c>
      <c r="AD69" s="1066">
        <v>0</v>
      </c>
      <c r="AE69" s="1066">
        <v>0</v>
      </c>
      <c r="AF69" s="1067">
        <f t="shared" si="201"/>
        <v>0</v>
      </c>
      <c r="AG69" s="1066">
        <v>0</v>
      </c>
      <c r="AH69" s="1066">
        <v>0</v>
      </c>
      <c r="AI69" s="1034">
        <f t="shared" si="202"/>
        <v>0</v>
      </c>
      <c r="AJ69" s="1067">
        <f t="shared" si="188"/>
        <v>0</v>
      </c>
      <c r="AK69" s="1065">
        <f t="shared" si="203"/>
        <v>0</v>
      </c>
      <c r="AL69" s="1066">
        <f t="shared" si="204"/>
        <v>0</v>
      </c>
      <c r="AM69" s="1066">
        <f t="shared" si="205"/>
        <v>0</v>
      </c>
      <c r="AN69" s="1066">
        <f t="shared" si="206"/>
        <v>0</v>
      </c>
      <c r="AO69" s="1067">
        <f t="shared" si="207"/>
        <v>0</v>
      </c>
      <c r="AP69" s="1073"/>
      <c r="AQ69" s="1083">
        <v>0</v>
      </c>
      <c r="AR69" s="1082">
        <v>0</v>
      </c>
      <c r="AS69" s="1082">
        <v>0</v>
      </c>
      <c r="AT69" s="1082">
        <v>0</v>
      </c>
      <c r="AU69" s="1082">
        <v>0</v>
      </c>
      <c r="AV69" s="1067">
        <f t="shared" si="187"/>
        <v>0</v>
      </c>
      <c r="AW69" s="1055">
        <f t="shared" si="10"/>
        <v>0</v>
      </c>
      <c r="AX69" s="1071">
        <v>0</v>
      </c>
      <c r="AY69" s="1071">
        <v>0</v>
      </c>
      <c r="AZ69" s="1071">
        <v>0</v>
      </c>
      <c r="BA69" s="1076">
        <f t="shared" si="208"/>
        <v>0</v>
      </c>
      <c r="BB69" s="1066">
        <v>0</v>
      </c>
      <c r="BC69" s="1066">
        <v>0</v>
      </c>
      <c r="BD69" s="1066">
        <v>0</v>
      </c>
      <c r="BE69" s="1076">
        <f t="shared" si="22"/>
        <v>0</v>
      </c>
      <c r="BF69" s="1077">
        <v>0</v>
      </c>
      <c r="BG69" s="1071">
        <v>0</v>
      </c>
      <c r="BH69" s="1076">
        <v>0</v>
      </c>
      <c r="BI69" s="1077">
        <v>0</v>
      </c>
      <c r="BJ69" s="1071">
        <v>0</v>
      </c>
      <c r="BK69" s="1041">
        <v>0</v>
      </c>
      <c r="BL69" s="1077">
        <v>0</v>
      </c>
      <c r="BM69" s="1071">
        <v>0</v>
      </c>
      <c r="BN69" s="1041">
        <v>0</v>
      </c>
      <c r="BO69" s="1077">
        <v>0</v>
      </c>
      <c r="BP69" s="1062">
        <v>0</v>
      </c>
      <c r="BQ69" s="1078">
        <f t="shared" si="15"/>
        <v>0</v>
      </c>
      <c r="BR69" s="1062"/>
      <c r="BS69" s="1079">
        <f t="shared" si="16"/>
        <v>0</v>
      </c>
      <c r="BT69" s="284" t="s">
        <v>419</v>
      </c>
    </row>
    <row r="70" spans="1:72" ht="18" customHeight="1" x14ac:dyDescent="0.2">
      <c r="A70" s="1050">
        <v>54205</v>
      </c>
      <c r="B70" s="1051" t="s">
        <v>53</v>
      </c>
      <c r="C70" s="1065">
        <f>'F.P y DL'!C474</f>
        <v>0</v>
      </c>
      <c r="D70" s="1066">
        <f>'F.P y DL'!D474</f>
        <v>0</v>
      </c>
      <c r="E70" s="1066">
        <f>'F.P y DL'!E474</f>
        <v>0</v>
      </c>
      <c r="F70" s="1066">
        <f>'F.P y DL'!F474</f>
        <v>5000</v>
      </c>
      <c r="G70" s="1067">
        <f t="shared" si="198"/>
        <v>5000</v>
      </c>
      <c r="H70" s="1068">
        <v>0</v>
      </c>
      <c r="I70" s="1069">
        <v>0</v>
      </c>
      <c r="J70" s="1069">
        <v>0</v>
      </c>
      <c r="K70" s="1069">
        <f>'F.P y DL'!F37</f>
        <v>0</v>
      </c>
      <c r="L70" s="1070">
        <f t="shared" si="189"/>
        <v>0</v>
      </c>
      <c r="M70" s="1062">
        <v>0</v>
      </c>
      <c r="N70" s="1071">
        <v>0</v>
      </c>
      <c r="O70" s="1071">
        <v>0</v>
      </c>
      <c r="P70" s="1071">
        <v>0</v>
      </c>
      <c r="Q70" s="1071">
        <v>0</v>
      </c>
      <c r="R70" s="1072">
        <f t="shared" si="3"/>
        <v>0</v>
      </c>
      <c r="S70" s="1065">
        <f>'F.P y DL'!C145</f>
        <v>0</v>
      </c>
      <c r="T70" s="1066">
        <f>'F.P y DL'!D145</f>
        <v>0</v>
      </c>
      <c r="U70" s="1066">
        <f>'F.P y DL'!E145</f>
        <v>0</v>
      </c>
      <c r="V70" s="1066">
        <f>'F.P y DL'!F145</f>
        <v>0</v>
      </c>
      <c r="W70" s="1067">
        <f t="shared" si="199"/>
        <v>0</v>
      </c>
      <c r="X70" s="1066">
        <v>0</v>
      </c>
      <c r="Y70" s="1066">
        <v>0</v>
      </c>
      <c r="Z70" s="1034">
        <f t="shared" si="200"/>
        <v>0</v>
      </c>
      <c r="AA70" s="1067">
        <f t="shared" si="18"/>
        <v>0</v>
      </c>
      <c r="AB70" s="1065">
        <f>'F.P y DL'!L145</f>
        <v>0</v>
      </c>
      <c r="AC70" s="1066">
        <f>'F.P y DL'!M145</f>
        <v>0</v>
      </c>
      <c r="AD70" s="1066">
        <f>'F.P y DL'!N145</f>
        <v>0</v>
      </c>
      <c r="AE70" s="1066">
        <f>'F.P y DL'!O145</f>
        <v>0</v>
      </c>
      <c r="AF70" s="1067">
        <f t="shared" si="201"/>
        <v>0</v>
      </c>
      <c r="AG70" s="1066">
        <f>'F.P y DL'!AJ474</f>
        <v>0</v>
      </c>
      <c r="AH70" s="1066">
        <f>'F.P y DL'!AK474</f>
        <v>0</v>
      </c>
      <c r="AI70" s="1034">
        <f t="shared" si="202"/>
        <v>0</v>
      </c>
      <c r="AJ70" s="1067">
        <f t="shared" si="188"/>
        <v>0</v>
      </c>
      <c r="AK70" s="1065">
        <f t="shared" si="203"/>
        <v>0</v>
      </c>
      <c r="AL70" s="1066">
        <f t="shared" si="204"/>
        <v>0</v>
      </c>
      <c r="AM70" s="1066">
        <f t="shared" si="205"/>
        <v>0</v>
      </c>
      <c r="AN70" s="1066">
        <f t="shared" si="206"/>
        <v>0</v>
      </c>
      <c r="AO70" s="1067">
        <f t="shared" si="207"/>
        <v>0</v>
      </c>
      <c r="AP70" s="1073"/>
      <c r="AQ70" s="1083">
        <v>0</v>
      </c>
      <c r="AR70" s="1082">
        <v>0</v>
      </c>
      <c r="AS70" s="1082">
        <f>'AG3'!J20</f>
        <v>49199.999999999993</v>
      </c>
      <c r="AT70" s="1082">
        <v>0</v>
      </c>
      <c r="AU70" s="1082">
        <v>0</v>
      </c>
      <c r="AV70" s="1067">
        <f t="shared" si="187"/>
        <v>49199.999999999993</v>
      </c>
      <c r="AW70" s="1055">
        <f t="shared" si="10"/>
        <v>49199.999999999993</v>
      </c>
      <c r="AX70" s="1071">
        <v>0</v>
      </c>
      <c r="AY70" s="1071">
        <v>0</v>
      </c>
      <c r="AZ70" s="1071">
        <v>0</v>
      </c>
      <c r="BA70" s="1076">
        <f t="shared" si="208"/>
        <v>0</v>
      </c>
      <c r="BB70" s="1066">
        <v>0</v>
      </c>
      <c r="BC70" s="1066">
        <v>0</v>
      </c>
      <c r="BD70" s="1066">
        <v>0</v>
      </c>
      <c r="BE70" s="1076">
        <f t="shared" si="22"/>
        <v>0</v>
      </c>
      <c r="BF70" s="1077">
        <v>0</v>
      </c>
      <c r="BG70" s="1071">
        <v>0</v>
      </c>
      <c r="BH70" s="1076">
        <v>0</v>
      </c>
      <c r="BI70" s="1077">
        <v>0</v>
      </c>
      <c r="BJ70" s="1071">
        <v>0</v>
      </c>
      <c r="BK70" s="1041">
        <v>0</v>
      </c>
      <c r="BL70" s="1077">
        <v>0</v>
      </c>
      <c r="BM70" s="1071">
        <v>0</v>
      </c>
      <c r="BN70" s="1041">
        <v>0</v>
      </c>
      <c r="BO70" s="1077">
        <v>0</v>
      </c>
      <c r="BP70" s="1062">
        <v>0</v>
      </c>
      <c r="BQ70" s="1078">
        <f t="shared" si="15"/>
        <v>0</v>
      </c>
      <c r="BR70" s="1062"/>
      <c r="BS70" s="1079">
        <f t="shared" si="16"/>
        <v>54199.999999999993</v>
      </c>
      <c r="BT70" s="284" t="s">
        <v>419</v>
      </c>
    </row>
    <row r="71" spans="1:72" ht="18" customHeight="1" x14ac:dyDescent="0.2">
      <c r="A71" s="1014">
        <v>543</v>
      </c>
      <c r="B71" s="1080" t="s">
        <v>54</v>
      </c>
      <c r="C71" s="1016">
        <f>SUM(C72:C86)</f>
        <v>58250</v>
      </c>
      <c r="D71" s="1000">
        <f t="shared" ref="D71:J71" si="209">SUM(D72:D86)</f>
        <v>260</v>
      </c>
      <c r="E71" s="1000">
        <f t="shared" si="209"/>
        <v>200</v>
      </c>
      <c r="F71" s="1000">
        <f>SUM(F72:F86)</f>
        <v>21925</v>
      </c>
      <c r="G71" s="1059">
        <f>SUM(G72:G86)</f>
        <v>80635</v>
      </c>
      <c r="H71" s="1060">
        <f t="shared" si="209"/>
        <v>0</v>
      </c>
      <c r="I71" s="1019">
        <f t="shared" si="209"/>
        <v>0</v>
      </c>
      <c r="J71" s="1019">
        <f t="shared" si="209"/>
        <v>0</v>
      </c>
      <c r="K71" s="1019">
        <f>SUM(K72:K86)</f>
        <v>0</v>
      </c>
      <c r="L71" s="1021">
        <f>SUM(H71:K71)</f>
        <v>0</v>
      </c>
      <c r="M71" s="1028">
        <f>SUM(M72:M86)</f>
        <v>0</v>
      </c>
      <c r="N71" s="1022">
        <f>SUM(N72:N86)</f>
        <v>0</v>
      </c>
      <c r="O71" s="1022">
        <v>0</v>
      </c>
      <c r="P71" s="1022">
        <v>0</v>
      </c>
      <c r="Q71" s="1022">
        <v>0</v>
      </c>
      <c r="R71" s="1023">
        <f t="shared" si="3"/>
        <v>0</v>
      </c>
      <c r="S71" s="1016">
        <f>SUM(S72:S86)</f>
        <v>0</v>
      </c>
      <c r="T71" s="1000">
        <f t="shared" ref="T71:U71" si="210">SUM(T72:T86)</f>
        <v>0</v>
      </c>
      <c r="U71" s="1000">
        <f t="shared" si="210"/>
        <v>0</v>
      </c>
      <c r="V71" s="1000">
        <f>SUM(V72:V86)</f>
        <v>0</v>
      </c>
      <c r="W71" s="1059">
        <f>SUM(W72:W86)</f>
        <v>0</v>
      </c>
      <c r="X71" s="1000">
        <f t="shared" ref="X71:Y71" si="211">SUM(X72:X86)</f>
        <v>0</v>
      </c>
      <c r="Y71" s="1000">
        <f t="shared" si="211"/>
        <v>0</v>
      </c>
      <c r="Z71" s="1059">
        <f>SUM(Z72:Z86)</f>
        <v>0</v>
      </c>
      <c r="AA71" s="1059">
        <f t="shared" si="18"/>
        <v>0</v>
      </c>
      <c r="AB71" s="1016">
        <f>SUM(AB72:AB86)</f>
        <v>0</v>
      </c>
      <c r="AC71" s="1000">
        <f t="shared" ref="AC71:AD71" si="212">SUM(AC72:AC86)</f>
        <v>0</v>
      </c>
      <c r="AD71" s="1000">
        <f t="shared" si="212"/>
        <v>0</v>
      </c>
      <c r="AE71" s="1000">
        <f>SUM(AE72:AE86)</f>
        <v>0</v>
      </c>
      <c r="AF71" s="1059">
        <f>SUM(AF72:AF86)</f>
        <v>0</v>
      </c>
      <c r="AG71" s="1000">
        <f t="shared" ref="AG71:AH71" si="213">SUM(AG72:AG86)</f>
        <v>0</v>
      </c>
      <c r="AH71" s="1000">
        <f t="shared" si="213"/>
        <v>0</v>
      </c>
      <c r="AI71" s="1059">
        <f>SUM(AI72:AI86)</f>
        <v>0</v>
      </c>
      <c r="AJ71" s="1059">
        <f t="shared" si="188"/>
        <v>0</v>
      </c>
      <c r="AK71" s="1016">
        <f>SUM(AK72:AK86)</f>
        <v>0</v>
      </c>
      <c r="AL71" s="1000">
        <f t="shared" ref="AL71:AM71" si="214">SUM(AL72:AL86)</f>
        <v>0</v>
      </c>
      <c r="AM71" s="1000">
        <f t="shared" si="214"/>
        <v>0</v>
      </c>
      <c r="AN71" s="1000">
        <f>SUM(AN72:AN86)</f>
        <v>0</v>
      </c>
      <c r="AO71" s="1059">
        <f>SUM(AO72:AO86)</f>
        <v>0</v>
      </c>
      <c r="AP71" s="1061"/>
      <c r="AQ71" s="1024">
        <f t="shared" ref="AQ71:AU71" si="215">SUM(AQ72:AQ86)</f>
        <v>0</v>
      </c>
      <c r="AR71" s="1017">
        <f t="shared" si="215"/>
        <v>13155</v>
      </c>
      <c r="AS71" s="1017">
        <f t="shared" si="215"/>
        <v>0</v>
      </c>
      <c r="AT71" s="1017">
        <f t="shared" si="215"/>
        <v>700</v>
      </c>
      <c r="AU71" s="1017">
        <f t="shared" si="215"/>
        <v>16800</v>
      </c>
      <c r="AV71" s="1090">
        <f>SUM(AV72:AV86)</f>
        <v>30655</v>
      </c>
      <c r="AW71" s="1059">
        <f t="shared" si="10"/>
        <v>30655</v>
      </c>
      <c r="AX71" s="1022">
        <v>0</v>
      </c>
      <c r="AY71" s="1022">
        <v>0</v>
      </c>
      <c r="AZ71" s="1022">
        <v>0</v>
      </c>
      <c r="BA71" s="1027">
        <f>M71+N71+O71+AX71+AZ71</f>
        <v>0</v>
      </c>
      <c r="BB71" s="1000">
        <f>SUM(BB72:BB86)</f>
        <v>0</v>
      </c>
      <c r="BC71" s="1000">
        <f>SUM(BC72:BC86)</f>
        <v>0</v>
      </c>
      <c r="BD71" s="1000">
        <f>SUM(BD72:BD86)</f>
        <v>0</v>
      </c>
      <c r="BE71" s="1027">
        <f>SUM(BB71:BD71)</f>
        <v>0</v>
      </c>
      <c r="BF71" s="1026">
        <v>0</v>
      </c>
      <c r="BG71" s="1022">
        <v>0</v>
      </c>
      <c r="BH71" s="1027">
        <v>0</v>
      </c>
      <c r="BI71" s="1026">
        <v>0</v>
      </c>
      <c r="BJ71" s="1022">
        <v>0</v>
      </c>
      <c r="BK71" s="1023">
        <v>0</v>
      </c>
      <c r="BL71" s="1026">
        <v>0</v>
      </c>
      <c r="BM71" s="1022">
        <v>0</v>
      </c>
      <c r="BN71" s="1023">
        <v>0</v>
      </c>
      <c r="BO71" s="1026">
        <v>0</v>
      </c>
      <c r="BP71" s="1028">
        <v>0</v>
      </c>
      <c r="BQ71" s="1008">
        <f t="shared" si="15"/>
        <v>0</v>
      </c>
      <c r="BR71" s="1062"/>
      <c r="BS71" s="1013">
        <f t="shared" si="16"/>
        <v>111290</v>
      </c>
      <c r="BT71" s="284" t="s">
        <v>419</v>
      </c>
    </row>
    <row r="72" spans="1:72" ht="18" customHeight="1" x14ac:dyDescent="0.2">
      <c r="A72" s="1050">
        <v>54301</v>
      </c>
      <c r="B72" s="1051" t="s">
        <v>55</v>
      </c>
      <c r="C72" s="1065">
        <f>'F.P y DL'!C476</f>
        <v>200</v>
      </c>
      <c r="D72" s="1066">
        <f>'F.P y DL'!D476</f>
        <v>210</v>
      </c>
      <c r="E72" s="1066">
        <f>'F.P y DL'!E476</f>
        <v>200</v>
      </c>
      <c r="F72" s="1066">
        <f>'F.P y DL'!F476</f>
        <v>75</v>
      </c>
      <c r="G72" s="1067">
        <f t="shared" si="198"/>
        <v>685</v>
      </c>
      <c r="H72" s="1068">
        <f>'F.P y DL'!C39</f>
        <v>0</v>
      </c>
      <c r="I72" s="1069">
        <f>'F.P y DL'!D39</f>
        <v>0</v>
      </c>
      <c r="J72" s="1069">
        <f>'F.P y DL'!E39</f>
        <v>0</v>
      </c>
      <c r="K72" s="1069">
        <f>'F.P y DL'!F39</f>
        <v>0</v>
      </c>
      <c r="L72" s="1070">
        <f t="shared" ref="L72:L86" si="216">SUM(H72:K72)</f>
        <v>0</v>
      </c>
      <c r="M72" s="1062">
        <v>0</v>
      </c>
      <c r="N72" s="1071">
        <v>0</v>
      </c>
      <c r="O72" s="1071">
        <v>0</v>
      </c>
      <c r="P72" s="1071">
        <v>0</v>
      </c>
      <c r="Q72" s="1071">
        <v>0</v>
      </c>
      <c r="R72" s="1072">
        <f t="shared" si="3"/>
        <v>0</v>
      </c>
      <c r="S72" s="1065">
        <f>'F.P y DL'!C147</f>
        <v>0</v>
      </c>
      <c r="T72" s="1066">
        <f>'F.P y DL'!D147</f>
        <v>0</v>
      </c>
      <c r="U72" s="1066">
        <f>'F.P y DL'!E147</f>
        <v>0</v>
      </c>
      <c r="V72" s="1066">
        <f>'F.P y DL'!F147</f>
        <v>0</v>
      </c>
      <c r="W72" s="1067">
        <f t="shared" si="199"/>
        <v>0</v>
      </c>
      <c r="X72" s="1066">
        <f>'F.P y DL'!AA476</f>
        <v>0</v>
      </c>
      <c r="Y72" s="1066">
        <f>'F.P y DL'!AB476</f>
        <v>0</v>
      </c>
      <c r="Z72" s="1034">
        <f t="shared" si="200"/>
        <v>0</v>
      </c>
      <c r="AA72" s="1067">
        <f t="shared" si="18"/>
        <v>0</v>
      </c>
      <c r="AB72" s="1065">
        <f>'F.P y DL'!L147</f>
        <v>0</v>
      </c>
      <c r="AC72" s="1066">
        <f>'F.P y DL'!M147</f>
        <v>0</v>
      </c>
      <c r="AD72" s="1066">
        <f>'F.P y DL'!N147</f>
        <v>0</v>
      </c>
      <c r="AE72" s="1066">
        <f>'F.P y DL'!O147</f>
        <v>0</v>
      </c>
      <c r="AF72" s="1067">
        <f t="shared" ref="AF72:AF86" si="217">SUM(AB72:AE72)</f>
        <v>0</v>
      </c>
      <c r="AG72" s="1066">
        <f>'F.P y DL'!AJ476</f>
        <v>0</v>
      </c>
      <c r="AH72" s="1066">
        <f>'F.P y DL'!AK476</f>
        <v>0</v>
      </c>
      <c r="AI72" s="1034">
        <f t="shared" ref="AI72:AI86" si="218">SUM(AG72:AH72)</f>
        <v>0</v>
      </c>
      <c r="AJ72" s="1067">
        <f t="shared" si="188"/>
        <v>0</v>
      </c>
      <c r="AK72" s="1065">
        <f t="shared" ref="AK72:AK86" si="219">S72+AB72</f>
        <v>0</v>
      </c>
      <c r="AL72" s="1066">
        <f t="shared" ref="AL72:AL86" si="220">T72+AC72</f>
        <v>0</v>
      </c>
      <c r="AM72" s="1066">
        <f t="shared" ref="AM72:AM86" si="221">U72+AD72</f>
        <v>0</v>
      </c>
      <c r="AN72" s="1066">
        <f t="shared" ref="AN72:AN86" si="222">V72+AE72</f>
        <v>0</v>
      </c>
      <c r="AO72" s="1067">
        <f t="shared" ref="AO72:AO86" si="223">SUM(AK72:AN72)</f>
        <v>0</v>
      </c>
      <c r="AP72" s="1073"/>
      <c r="AQ72" s="1083">
        <v>0</v>
      </c>
      <c r="AR72" s="1082">
        <f>'AG3'!I25</f>
        <v>13155</v>
      </c>
      <c r="AS72" s="1082">
        <v>0</v>
      </c>
      <c r="AT72" s="1082">
        <v>0</v>
      </c>
      <c r="AU72" s="1082">
        <v>0</v>
      </c>
      <c r="AV72" s="1067">
        <f t="shared" si="187"/>
        <v>13155</v>
      </c>
      <c r="AW72" s="1055">
        <f t="shared" si="10"/>
        <v>13155</v>
      </c>
      <c r="AX72" s="1071">
        <v>0</v>
      </c>
      <c r="AY72" s="1071">
        <v>0</v>
      </c>
      <c r="AZ72" s="1071">
        <v>0</v>
      </c>
      <c r="BA72" s="1076">
        <f t="shared" ref="BA72:BA86" si="224">SUM(AX72:AZ72)</f>
        <v>0</v>
      </c>
      <c r="BB72" s="1066">
        <v>0</v>
      </c>
      <c r="BC72" s="1066">
        <v>0</v>
      </c>
      <c r="BD72" s="1066">
        <v>0</v>
      </c>
      <c r="BE72" s="1076">
        <f t="shared" si="22"/>
        <v>0</v>
      </c>
      <c r="BF72" s="1077">
        <v>0</v>
      </c>
      <c r="BG72" s="1071">
        <v>0</v>
      </c>
      <c r="BH72" s="1076">
        <v>0</v>
      </c>
      <c r="BI72" s="1077">
        <v>0</v>
      </c>
      <c r="BJ72" s="1071">
        <v>0</v>
      </c>
      <c r="BK72" s="1041">
        <v>0</v>
      </c>
      <c r="BL72" s="1077">
        <v>0</v>
      </c>
      <c r="BM72" s="1071">
        <v>0</v>
      </c>
      <c r="BN72" s="1041">
        <v>0</v>
      </c>
      <c r="BO72" s="1077">
        <v>0</v>
      </c>
      <c r="BP72" s="1062">
        <v>0</v>
      </c>
      <c r="BQ72" s="1078">
        <f t="shared" si="15"/>
        <v>0</v>
      </c>
      <c r="BR72" s="1062"/>
      <c r="BS72" s="1079">
        <f t="shared" si="16"/>
        <v>13840</v>
      </c>
      <c r="BT72" s="284" t="s">
        <v>419</v>
      </c>
    </row>
    <row r="73" spans="1:72" ht="18" customHeight="1" x14ac:dyDescent="0.2">
      <c r="A73" s="1050">
        <v>54302</v>
      </c>
      <c r="B73" s="1051" t="s">
        <v>56</v>
      </c>
      <c r="C73" s="1065">
        <f>'F.P y DL'!C477</f>
        <v>550</v>
      </c>
      <c r="D73" s="1066">
        <f>'F.P y DL'!D477</f>
        <v>0</v>
      </c>
      <c r="E73" s="1093">
        <f>'F.P y DL'!E477</f>
        <v>0</v>
      </c>
      <c r="F73" s="1066">
        <f>'F.P y DL'!F477</f>
        <v>2050</v>
      </c>
      <c r="G73" s="1094">
        <f t="shared" si="198"/>
        <v>2600</v>
      </c>
      <c r="H73" s="1068">
        <f>'F.P y DL'!C40</f>
        <v>0</v>
      </c>
      <c r="I73" s="1069">
        <f>'F.P y DL'!D40</f>
        <v>0</v>
      </c>
      <c r="J73" s="1069">
        <f>'F.P y DL'!E40</f>
        <v>0</v>
      </c>
      <c r="K73" s="1069">
        <f>'F.P y DL'!F40</f>
        <v>0</v>
      </c>
      <c r="L73" s="1070">
        <f t="shared" si="216"/>
        <v>0</v>
      </c>
      <c r="M73" s="1062">
        <v>0</v>
      </c>
      <c r="N73" s="1071">
        <v>0</v>
      </c>
      <c r="O73" s="1071">
        <v>0</v>
      </c>
      <c r="P73" s="1071">
        <v>0</v>
      </c>
      <c r="Q73" s="1071">
        <v>0</v>
      </c>
      <c r="R73" s="1072">
        <f t="shared" si="3"/>
        <v>0</v>
      </c>
      <c r="S73" s="1065">
        <f>'F.P y DL'!W477</f>
        <v>0</v>
      </c>
      <c r="T73" s="1066">
        <f>'F.P y DL'!X477</f>
        <v>0</v>
      </c>
      <c r="U73" s="1093">
        <f>'F.P y DL'!Y477</f>
        <v>0</v>
      </c>
      <c r="V73" s="1066">
        <f>'F.P y DL'!Z477</f>
        <v>0</v>
      </c>
      <c r="W73" s="1094">
        <f t="shared" si="199"/>
        <v>0</v>
      </c>
      <c r="X73" s="1093">
        <f>'F.P y DL'!AA477</f>
        <v>0</v>
      </c>
      <c r="Y73" s="1093">
        <f>'F.P y DL'!AB477</f>
        <v>0</v>
      </c>
      <c r="Z73" s="1034">
        <f t="shared" si="200"/>
        <v>0</v>
      </c>
      <c r="AA73" s="1094">
        <f t="shared" si="18"/>
        <v>0</v>
      </c>
      <c r="AB73" s="1065">
        <f>'F.P y DL'!AF477</f>
        <v>0</v>
      </c>
      <c r="AC73" s="1066">
        <f>'F.P y DL'!AG477</f>
        <v>0</v>
      </c>
      <c r="AD73" s="1093">
        <f>'F.P y DL'!AH477</f>
        <v>0</v>
      </c>
      <c r="AE73" s="1066">
        <f>'F.P y DL'!AI477</f>
        <v>0</v>
      </c>
      <c r="AF73" s="1094">
        <f t="shared" si="217"/>
        <v>0</v>
      </c>
      <c r="AG73" s="1093">
        <f>'F.P y DL'!AJ477</f>
        <v>0</v>
      </c>
      <c r="AH73" s="1093">
        <f>'F.P y DL'!AK477</f>
        <v>0</v>
      </c>
      <c r="AI73" s="1034">
        <f t="shared" si="218"/>
        <v>0</v>
      </c>
      <c r="AJ73" s="1094">
        <f t="shared" si="188"/>
        <v>0</v>
      </c>
      <c r="AK73" s="1065">
        <f t="shared" si="219"/>
        <v>0</v>
      </c>
      <c r="AL73" s="1066">
        <f t="shared" si="220"/>
        <v>0</v>
      </c>
      <c r="AM73" s="1093">
        <f t="shared" si="221"/>
        <v>0</v>
      </c>
      <c r="AN73" s="1066">
        <f t="shared" si="222"/>
        <v>0</v>
      </c>
      <c r="AO73" s="1094">
        <f t="shared" si="223"/>
        <v>0</v>
      </c>
      <c r="AP73" s="1093"/>
      <c r="AQ73" s="1083">
        <v>0</v>
      </c>
      <c r="AR73" s="1082">
        <v>0</v>
      </c>
      <c r="AS73" s="1082">
        <v>0</v>
      </c>
      <c r="AT73" s="1082">
        <f>'AG3'!K16</f>
        <v>700</v>
      </c>
      <c r="AU73" s="1082">
        <v>0</v>
      </c>
      <c r="AV73" s="1067">
        <f t="shared" si="187"/>
        <v>700</v>
      </c>
      <c r="AW73" s="1055">
        <f t="shared" si="10"/>
        <v>700</v>
      </c>
      <c r="AX73" s="1071">
        <v>0</v>
      </c>
      <c r="AY73" s="1071">
        <v>0</v>
      </c>
      <c r="AZ73" s="1071">
        <v>0</v>
      </c>
      <c r="BA73" s="1076">
        <f t="shared" si="224"/>
        <v>0</v>
      </c>
      <c r="BB73" s="1066">
        <v>0</v>
      </c>
      <c r="BC73" s="1066">
        <v>0</v>
      </c>
      <c r="BD73" s="1082">
        <v>0</v>
      </c>
      <c r="BE73" s="1076">
        <f t="shared" si="22"/>
        <v>0</v>
      </c>
      <c r="BF73" s="1077">
        <v>0</v>
      </c>
      <c r="BG73" s="1071">
        <v>0</v>
      </c>
      <c r="BH73" s="1076">
        <v>0</v>
      </c>
      <c r="BI73" s="1077">
        <v>0</v>
      </c>
      <c r="BJ73" s="1071">
        <v>0</v>
      </c>
      <c r="BK73" s="1041">
        <v>0</v>
      </c>
      <c r="BL73" s="1077">
        <v>0</v>
      </c>
      <c r="BM73" s="1071">
        <v>0</v>
      </c>
      <c r="BN73" s="1041">
        <v>0</v>
      </c>
      <c r="BO73" s="1077">
        <v>0</v>
      </c>
      <c r="BP73" s="1062">
        <v>0</v>
      </c>
      <c r="BQ73" s="1078">
        <f t="shared" si="15"/>
        <v>0</v>
      </c>
      <c r="BR73" s="1062"/>
      <c r="BS73" s="1079">
        <f t="shared" si="16"/>
        <v>3300</v>
      </c>
      <c r="BT73" s="284" t="s">
        <v>419</v>
      </c>
    </row>
    <row r="74" spans="1:72" ht="18" customHeight="1" x14ac:dyDescent="0.2">
      <c r="A74" s="1050">
        <v>54303</v>
      </c>
      <c r="B74" s="1051" t="s">
        <v>57</v>
      </c>
      <c r="C74" s="1065">
        <f>'F.P y DL'!C478</f>
        <v>100</v>
      </c>
      <c r="D74" s="1066">
        <f>'F.P y DL'!D478</f>
        <v>0</v>
      </c>
      <c r="E74" s="1066">
        <f>'F.P y DL'!E478</f>
        <v>0</v>
      </c>
      <c r="F74" s="1066">
        <f>'F.P y DL'!F478</f>
        <v>0</v>
      </c>
      <c r="G74" s="1067">
        <f t="shared" si="198"/>
        <v>100</v>
      </c>
      <c r="H74" s="1068">
        <f>'F.P y DL'!C41</f>
        <v>0</v>
      </c>
      <c r="I74" s="1069">
        <f>'F.P y DL'!D41</f>
        <v>0</v>
      </c>
      <c r="J74" s="1069">
        <f>'F.P y DL'!E41</f>
        <v>0</v>
      </c>
      <c r="K74" s="1069">
        <f>'F.P y DL'!F41</f>
        <v>0</v>
      </c>
      <c r="L74" s="1070">
        <f t="shared" si="216"/>
        <v>0</v>
      </c>
      <c r="M74" s="1062">
        <v>0</v>
      </c>
      <c r="N74" s="1071">
        <v>0</v>
      </c>
      <c r="O74" s="1071">
        <v>0</v>
      </c>
      <c r="P74" s="1071">
        <v>0</v>
      </c>
      <c r="Q74" s="1071">
        <v>0</v>
      </c>
      <c r="R74" s="1072">
        <f t="shared" si="3"/>
        <v>0</v>
      </c>
      <c r="S74" s="1065">
        <f>'F.P y DL'!W478</f>
        <v>0</v>
      </c>
      <c r="T74" s="1066">
        <f>'F.P y DL'!X478</f>
        <v>0</v>
      </c>
      <c r="U74" s="1066">
        <f>'F.P y DL'!Y478</f>
        <v>0</v>
      </c>
      <c r="V74" s="1066">
        <f>'F.P y DL'!Z478</f>
        <v>0</v>
      </c>
      <c r="W74" s="1067">
        <f t="shared" si="199"/>
        <v>0</v>
      </c>
      <c r="X74" s="1066">
        <f>'F.P y DL'!AA478</f>
        <v>0</v>
      </c>
      <c r="Y74" s="1066">
        <f>'F.P y DL'!AB478</f>
        <v>0</v>
      </c>
      <c r="Z74" s="1034">
        <f t="shared" si="200"/>
        <v>0</v>
      </c>
      <c r="AA74" s="1067">
        <f t="shared" si="18"/>
        <v>0</v>
      </c>
      <c r="AB74" s="1065">
        <f>'F.P y DL'!AF478</f>
        <v>0</v>
      </c>
      <c r="AC74" s="1066">
        <f>'F.P y DL'!AG478</f>
        <v>0</v>
      </c>
      <c r="AD74" s="1066">
        <f>'F.P y DL'!AH478</f>
        <v>0</v>
      </c>
      <c r="AE74" s="1066">
        <f>'F.P y DL'!AI478</f>
        <v>0</v>
      </c>
      <c r="AF74" s="1067">
        <f t="shared" si="217"/>
        <v>0</v>
      </c>
      <c r="AG74" s="1066">
        <f>'F.P y DL'!AJ478</f>
        <v>0</v>
      </c>
      <c r="AH74" s="1066">
        <f>'F.P y DL'!AK478</f>
        <v>0</v>
      </c>
      <c r="AI74" s="1034">
        <f t="shared" si="218"/>
        <v>0</v>
      </c>
      <c r="AJ74" s="1067">
        <f t="shared" si="188"/>
        <v>0</v>
      </c>
      <c r="AK74" s="1065">
        <f t="shared" si="219"/>
        <v>0</v>
      </c>
      <c r="AL74" s="1066">
        <f t="shared" si="220"/>
        <v>0</v>
      </c>
      <c r="AM74" s="1066">
        <f t="shared" si="221"/>
        <v>0</v>
      </c>
      <c r="AN74" s="1066">
        <f t="shared" si="222"/>
        <v>0</v>
      </c>
      <c r="AO74" s="1067">
        <f t="shared" si="223"/>
        <v>0</v>
      </c>
      <c r="AP74" s="1073"/>
      <c r="AQ74" s="1083">
        <v>0</v>
      </c>
      <c r="AR74" s="1082">
        <v>0</v>
      </c>
      <c r="AS74" s="1082">
        <v>0</v>
      </c>
      <c r="AT74" s="1082">
        <v>0</v>
      </c>
      <c r="AU74" s="1082">
        <v>0</v>
      </c>
      <c r="AV74" s="1067">
        <f t="shared" si="187"/>
        <v>0</v>
      </c>
      <c r="AW74" s="1055">
        <f t="shared" si="10"/>
        <v>0</v>
      </c>
      <c r="AX74" s="1071">
        <v>0</v>
      </c>
      <c r="AY74" s="1071">
        <v>0</v>
      </c>
      <c r="AZ74" s="1071">
        <v>0</v>
      </c>
      <c r="BA74" s="1076">
        <f t="shared" si="224"/>
        <v>0</v>
      </c>
      <c r="BB74" s="1066">
        <v>0</v>
      </c>
      <c r="BC74" s="1066">
        <v>0</v>
      </c>
      <c r="BD74" s="1066">
        <v>0</v>
      </c>
      <c r="BE74" s="1076">
        <f t="shared" si="22"/>
        <v>0</v>
      </c>
      <c r="BF74" s="1077">
        <v>0</v>
      </c>
      <c r="BG74" s="1071">
        <v>0</v>
      </c>
      <c r="BH74" s="1076">
        <v>0</v>
      </c>
      <c r="BI74" s="1077">
        <v>0</v>
      </c>
      <c r="BJ74" s="1071">
        <v>0</v>
      </c>
      <c r="BK74" s="1041">
        <v>0</v>
      </c>
      <c r="BL74" s="1077">
        <v>0</v>
      </c>
      <c r="BM74" s="1071">
        <v>0</v>
      </c>
      <c r="BN74" s="1041">
        <v>0</v>
      </c>
      <c r="BO74" s="1077">
        <v>0</v>
      </c>
      <c r="BP74" s="1062">
        <v>0</v>
      </c>
      <c r="BQ74" s="1078">
        <f t="shared" si="15"/>
        <v>0</v>
      </c>
      <c r="BR74" s="1062"/>
      <c r="BS74" s="1079">
        <f t="shared" si="16"/>
        <v>100</v>
      </c>
      <c r="BT74" s="284" t="s">
        <v>419</v>
      </c>
    </row>
    <row r="75" spans="1:72" ht="18" customHeight="1" x14ac:dyDescent="0.2">
      <c r="A75" s="1050">
        <v>54304</v>
      </c>
      <c r="B75" s="1051" t="s">
        <v>58</v>
      </c>
      <c r="C75" s="1065">
        <f>'F.P y DL'!C479</f>
        <v>800</v>
      </c>
      <c r="D75" s="1066">
        <f>'F.P y DL'!D479</f>
        <v>0</v>
      </c>
      <c r="E75" s="1066">
        <f>'F.P y DL'!E479</f>
        <v>0</v>
      </c>
      <c r="F75" s="1066">
        <f>'F.P y DL'!F479</f>
        <v>0</v>
      </c>
      <c r="G75" s="1067">
        <f t="shared" si="198"/>
        <v>800</v>
      </c>
      <c r="H75" s="1068">
        <f>'F.P y DL'!C42</f>
        <v>0</v>
      </c>
      <c r="I75" s="1069">
        <f>'F.P y DL'!D42</f>
        <v>0</v>
      </c>
      <c r="J75" s="1069">
        <f>'F.P y DL'!E42</f>
        <v>0</v>
      </c>
      <c r="K75" s="1069">
        <f>'F.P y DL'!F42</f>
        <v>0</v>
      </c>
      <c r="L75" s="1070">
        <f t="shared" si="216"/>
        <v>0</v>
      </c>
      <c r="M75" s="1062">
        <v>0</v>
      </c>
      <c r="N75" s="1071">
        <v>0</v>
      </c>
      <c r="O75" s="1071">
        <v>0</v>
      </c>
      <c r="P75" s="1071">
        <v>0</v>
      </c>
      <c r="Q75" s="1071">
        <v>0</v>
      </c>
      <c r="R75" s="1072">
        <f t="shared" ref="R75:R143" si="225">+P75+Q75</f>
        <v>0</v>
      </c>
      <c r="S75" s="1065">
        <f>'F.P y DL'!W479</f>
        <v>0</v>
      </c>
      <c r="T75" s="1066">
        <f>'F.P y DL'!X479</f>
        <v>0</v>
      </c>
      <c r="U75" s="1066">
        <f>'F.P y DL'!Y479</f>
        <v>0</v>
      </c>
      <c r="V75" s="1066">
        <f>'F.P y DL'!Z479</f>
        <v>0</v>
      </c>
      <c r="W75" s="1067">
        <f t="shared" si="199"/>
        <v>0</v>
      </c>
      <c r="X75" s="1066">
        <f>'F.P y DL'!AA479</f>
        <v>0</v>
      </c>
      <c r="Y75" s="1066">
        <f>'F.P y DL'!AB479</f>
        <v>0</v>
      </c>
      <c r="Z75" s="1034">
        <f t="shared" si="200"/>
        <v>0</v>
      </c>
      <c r="AA75" s="1067">
        <f t="shared" ref="AA75:AA138" si="226">W75+Z75</f>
        <v>0</v>
      </c>
      <c r="AB75" s="1065">
        <f>'F.P y DL'!AF479</f>
        <v>0</v>
      </c>
      <c r="AC75" s="1066">
        <f>'F.P y DL'!AG479</f>
        <v>0</v>
      </c>
      <c r="AD75" s="1066">
        <f>'F.P y DL'!AH479</f>
        <v>0</v>
      </c>
      <c r="AE75" s="1066">
        <f>'F.P y DL'!AI479</f>
        <v>0</v>
      </c>
      <c r="AF75" s="1067">
        <f t="shared" si="217"/>
        <v>0</v>
      </c>
      <c r="AG75" s="1066">
        <f>'F.P y DL'!AJ479</f>
        <v>0</v>
      </c>
      <c r="AH75" s="1066">
        <f>'F.P y DL'!AK479</f>
        <v>0</v>
      </c>
      <c r="AI75" s="1034">
        <f t="shared" si="218"/>
        <v>0</v>
      </c>
      <c r="AJ75" s="1067">
        <f t="shared" si="188"/>
        <v>0</v>
      </c>
      <c r="AK75" s="1065">
        <f t="shared" si="219"/>
        <v>0</v>
      </c>
      <c r="AL75" s="1066">
        <f t="shared" si="220"/>
        <v>0</v>
      </c>
      <c r="AM75" s="1066">
        <f t="shared" si="221"/>
        <v>0</v>
      </c>
      <c r="AN75" s="1066">
        <f t="shared" si="222"/>
        <v>0</v>
      </c>
      <c r="AO75" s="1067">
        <f t="shared" si="223"/>
        <v>0</v>
      </c>
      <c r="AP75" s="1073"/>
      <c r="AQ75" s="1083">
        <v>0</v>
      </c>
      <c r="AR75" s="1082">
        <v>0</v>
      </c>
      <c r="AS75" s="1082">
        <v>0</v>
      </c>
      <c r="AT75" s="1082">
        <v>0</v>
      </c>
      <c r="AU75" s="1082">
        <f>'AG3'!L35+'AG3'!L46</f>
        <v>3800</v>
      </c>
      <c r="AV75" s="1067">
        <f t="shared" si="187"/>
        <v>3800</v>
      </c>
      <c r="AW75" s="1055">
        <f t="shared" ref="AW75:AW138" si="227">R75+AO75+AV75</f>
        <v>3800</v>
      </c>
      <c r="AX75" s="1071">
        <v>0</v>
      </c>
      <c r="AY75" s="1071">
        <v>0</v>
      </c>
      <c r="AZ75" s="1071">
        <v>0</v>
      </c>
      <c r="BA75" s="1076">
        <f t="shared" si="224"/>
        <v>0</v>
      </c>
      <c r="BB75" s="1066">
        <v>0</v>
      </c>
      <c r="BC75" s="1066">
        <v>0</v>
      </c>
      <c r="BD75" s="1066">
        <v>0</v>
      </c>
      <c r="BE75" s="1076">
        <f t="shared" ref="BE75:BE143" si="228">+BB75+BC75</f>
        <v>0</v>
      </c>
      <c r="BF75" s="1077">
        <v>0</v>
      </c>
      <c r="BG75" s="1071">
        <v>0</v>
      </c>
      <c r="BH75" s="1076">
        <v>0</v>
      </c>
      <c r="BI75" s="1077">
        <v>0</v>
      </c>
      <c r="BJ75" s="1071">
        <v>0</v>
      </c>
      <c r="BK75" s="1041">
        <v>0</v>
      </c>
      <c r="BL75" s="1077">
        <v>0</v>
      </c>
      <c r="BM75" s="1071">
        <v>0</v>
      </c>
      <c r="BN75" s="1041">
        <v>0</v>
      </c>
      <c r="BO75" s="1077">
        <v>0</v>
      </c>
      <c r="BP75" s="1062">
        <v>0</v>
      </c>
      <c r="BQ75" s="1078">
        <f t="shared" ref="BQ75:BQ146" si="229">+BO75+BP75</f>
        <v>0</v>
      </c>
      <c r="BR75" s="1062"/>
      <c r="BS75" s="1079">
        <f t="shared" ref="BS75:BS138" si="230">G75+AW75+BA75+BE75+BK75+BN75+BQ75</f>
        <v>4600</v>
      </c>
      <c r="BT75" s="284" t="s">
        <v>419</v>
      </c>
    </row>
    <row r="76" spans="1:72" ht="18" customHeight="1" x14ac:dyDescent="0.2">
      <c r="A76" s="1050">
        <v>54305</v>
      </c>
      <c r="B76" s="1051" t="s">
        <v>59</v>
      </c>
      <c r="C76" s="1065">
        <f>'F.P y DL'!C480</f>
        <v>500</v>
      </c>
      <c r="D76" s="1082">
        <v>0</v>
      </c>
      <c r="E76" s="1066">
        <v>0</v>
      </c>
      <c r="F76" s="1066">
        <v>0</v>
      </c>
      <c r="G76" s="1067">
        <f t="shared" si="198"/>
        <v>500</v>
      </c>
      <c r="H76" s="1068">
        <f>'F.P y DL'!C43</f>
        <v>0</v>
      </c>
      <c r="I76" s="1069">
        <f>'F.P y DL'!D43</f>
        <v>0</v>
      </c>
      <c r="J76" s="1069">
        <f>'F.P y DL'!E43</f>
        <v>0</v>
      </c>
      <c r="K76" s="1069">
        <f>'F.P y DL'!F43</f>
        <v>0</v>
      </c>
      <c r="L76" s="1070">
        <f t="shared" si="216"/>
        <v>0</v>
      </c>
      <c r="M76" s="1062">
        <v>0</v>
      </c>
      <c r="N76" s="1071">
        <v>0</v>
      </c>
      <c r="O76" s="1071">
        <v>0</v>
      </c>
      <c r="P76" s="1071">
        <v>0</v>
      </c>
      <c r="Q76" s="1071">
        <v>0</v>
      </c>
      <c r="R76" s="1072">
        <f t="shared" si="225"/>
        <v>0</v>
      </c>
      <c r="S76" s="1065">
        <v>0</v>
      </c>
      <c r="T76" s="1082">
        <v>0</v>
      </c>
      <c r="U76" s="1066">
        <v>0</v>
      </c>
      <c r="V76" s="1066">
        <v>0</v>
      </c>
      <c r="W76" s="1067">
        <f t="shared" si="199"/>
        <v>0</v>
      </c>
      <c r="X76" s="1066">
        <v>0</v>
      </c>
      <c r="Y76" s="1066">
        <v>0</v>
      </c>
      <c r="Z76" s="1034">
        <f t="shared" si="200"/>
        <v>0</v>
      </c>
      <c r="AA76" s="1067">
        <f t="shared" si="226"/>
        <v>0</v>
      </c>
      <c r="AB76" s="1065">
        <v>0</v>
      </c>
      <c r="AC76" s="1082">
        <v>0</v>
      </c>
      <c r="AD76" s="1066">
        <v>0</v>
      </c>
      <c r="AE76" s="1066">
        <v>0</v>
      </c>
      <c r="AF76" s="1067">
        <f t="shared" si="217"/>
        <v>0</v>
      </c>
      <c r="AG76" s="1066">
        <v>0</v>
      </c>
      <c r="AH76" s="1066">
        <v>0</v>
      </c>
      <c r="AI76" s="1034">
        <f t="shared" si="218"/>
        <v>0</v>
      </c>
      <c r="AJ76" s="1067">
        <f t="shared" si="188"/>
        <v>0</v>
      </c>
      <c r="AK76" s="1065">
        <f t="shared" si="219"/>
        <v>0</v>
      </c>
      <c r="AL76" s="1082">
        <f t="shared" si="220"/>
        <v>0</v>
      </c>
      <c r="AM76" s="1066">
        <f t="shared" si="221"/>
        <v>0</v>
      </c>
      <c r="AN76" s="1066">
        <f t="shared" si="222"/>
        <v>0</v>
      </c>
      <c r="AO76" s="1067">
        <f t="shared" si="223"/>
        <v>0</v>
      </c>
      <c r="AP76" s="1073"/>
      <c r="AQ76" s="1083">
        <v>0</v>
      </c>
      <c r="AR76" s="1082">
        <v>0</v>
      </c>
      <c r="AS76" s="1082">
        <v>0</v>
      </c>
      <c r="AT76" s="1082">
        <v>0</v>
      </c>
      <c r="AU76" s="1082">
        <v>0</v>
      </c>
      <c r="AV76" s="1067">
        <f t="shared" si="187"/>
        <v>0</v>
      </c>
      <c r="AW76" s="1055">
        <f t="shared" si="227"/>
        <v>0</v>
      </c>
      <c r="AX76" s="1071">
        <v>0</v>
      </c>
      <c r="AY76" s="1071">
        <v>0</v>
      </c>
      <c r="AZ76" s="1071">
        <v>0</v>
      </c>
      <c r="BA76" s="1076">
        <f t="shared" si="224"/>
        <v>0</v>
      </c>
      <c r="BB76" s="1066">
        <v>0</v>
      </c>
      <c r="BC76" s="1066">
        <v>0</v>
      </c>
      <c r="BD76" s="1066">
        <v>0</v>
      </c>
      <c r="BE76" s="1076">
        <f t="shared" si="228"/>
        <v>0</v>
      </c>
      <c r="BF76" s="1077">
        <v>0</v>
      </c>
      <c r="BG76" s="1071">
        <v>0</v>
      </c>
      <c r="BH76" s="1076">
        <v>0</v>
      </c>
      <c r="BI76" s="1077">
        <v>0</v>
      </c>
      <c r="BJ76" s="1071">
        <v>0</v>
      </c>
      <c r="BK76" s="1041">
        <v>0</v>
      </c>
      <c r="BL76" s="1077">
        <v>0</v>
      </c>
      <c r="BM76" s="1071">
        <v>0</v>
      </c>
      <c r="BN76" s="1041">
        <v>0</v>
      </c>
      <c r="BO76" s="1077">
        <v>0</v>
      </c>
      <c r="BP76" s="1062">
        <v>0</v>
      </c>
      <c r="BQ76" s="1078">
        <f t="shared" si="229"/>
        <v>0</v>
      </c>
      <c r="BR76" s="1062"/>
      <c r="BS76" s="1079">
        <f t="shared" si="230"/>
        <v>500</v>
      </c>
      <c r="BT76" s="284" t="s">
        <v>419</v>
      </c>
    </row>
    <row r="77" spans="1:72" ht="18" customHeight="1" x14ac:dyDescent="0.2">
      <c r="A77" s="1050">
        <v>54306</v>
      </c>
      <c r="B77" s="1051" t="s">
        <v>60</v>
      </c>
      <c r="C77" s="1065">
        <v>0</v>
      </c>
      <c r="D77" s="1066">
        <v>0</v>
      </c>
      <c r="E77" s="1066">
        <v>0</v>
      </c>
      <c r="F77" s="1066">
        <v>0</v>
      </c>
      <c r="G77" s="1067">
        <f t="shared" si="198"/>
        <v>0</v>
      </c>
      <c r="H77" s="1068">
        <f>'F.P y DL'!C44</f>
        <v>0</v>
      </c>
      <c r="I77" s="1069">
        <f>'F.P y DL'!D44</f>
        <v>0</v>
      </c>
      <c r="J77" s="1069">
        <f>'F.P y DL'!E44</f>
        <v>0</v>
      </c>
      <c r="K77" s="1069">
        <f>'F.P y DL'!F44</f>
        <v>0</v>
      </c>
      <c r="L77" s="1070">
        <f t="shared" si="216"/>
        <v>0</v>
      </c>
      <c r="M77" s="1062">
        <v>0</v>
      </c>
      <c r="N77" s="1071">
        <v>0</v>
      </c>
      <c r="O77" s="1071">
        <v>0</v>
      </c>
      <c r="P77" s="1071">
        <v>0</v>
      </c>
      <c r="Q77" s="1071">
        <v>0</v>
      </c>
      <c r="R77" s="1072">
        <f t="shared" si="225"/>
        <v>0</v>
      </c>
      <c r="S77" s="1065">
        <v>0</v>
      </c>
      <c r="T77" s="1066">
        <v>0</v>
      </c>
      <c r="U77" s="1066">
        <v>0</v>
      </c>
      <c r="V77" s="1066">
        <v>0</v>
      </c>
      <c r="W77" s="1067">
        <f t="shared" si="199"/>
        <v>0</v>
      </c>
      <c r="X77" s="1066">
        <v>0</v>
      </c>
      <c r="Y77" s="1066">
        <v>0</v>
      </c>
      <c r="Z77" s="1034">
        <f t="shared" si="200"/>
        <v>0</v>
      </c>
      <c r="AA77" s="1067">
        <f t="shared" si="226"/>
        <v>0</v>
      </c>
      <c r="AB77" s="1065">
        <v>0</v>
      </c>
      <c r="AC77" s="1066">
        <v>0</v>
      </c>
      <c r="AD77" s="1066">
        <v>0</v>
      </c>
      <c r="AE77" s="1066">
        <v>0</v>
      </c>
      <c r="AF77" s="1067">
        <f t="shared" si="217"/>
        <v>0</v>
      </c>
      <c r="AG77" s="1066">
        <v>0</v>
      </c>
      <c r="AH77" s="1066">
        <v>0</v>
      </c>
      <c r="AI77" s="1034">
        <f t="shared" si="218"/>
        <v>0</v>
      </c>
      <c r="AJ77" s="1067">
        <f t="shared" si="188"/>
        <v>0</v>
      </c>
      <c r="AK77" s="1065">
        <f t="shared" si="219"/>
        <v>0</v>
      </c>
      <c r="AL77" s="1066">
        <f t="shared" si="220"/>
        <v>0</v>
      </c>
      <c r="AM77" s="1066">
        <f t="shared" si="221"/>
        <v>0</v>
      </c>
      <c r="AN77" s="1066">
        <f t="shared" si="222"/>
        <v>0</v>
      </c>
      <c r="AO77" s="1067">
        <f t="shared" si="223"/>
        <v>0</v>
      </c>
      <c r="AP77" s="1073"/>
      <c r="AQ77" s="1083">
        <v>0</v>
      </c>
      <c r="AR77" s="1082">
        <v>0</v>
      </c>
      <c r="AS77" s="1082">
        <v>0</v>
      </c>
      <c r="AT77" s="1082">
        <v>0</v>
      </c>
      <c r="AU77" s="1082">
        <v>0</v>
      </c>
      <c r="AV77" s="1067">
        <f t="shared" si="187"/>
        <v>0</v>
      </c>
      <c r="AW77" s="1055">
        <f t="shared" si="227"/>
        <v>0</v>
      </c>
      <c r="AX77" s="1071">
        <v>0</v>
      </c>
      <c r="AY77" s="1071">
        <v>0</v>
      </c>
      <c r="AZ77" s="1071">
        <v>0</v>
      </c>
      <c r="BA77" s="1076">
        <f t="shared" si="224"/>
        <v>0</v>
      </c>
      <c r="BB77" s="1066">
        <v>0</v>
      </c>
      <c r="BC77" s="1066">
        <v>0</v>
      </c>
      <c r="BD77" s="1066">
        <v>0</v>
      </c>
      <c r="BE77" s="1076">
        <f t="shared" si="228"/>
        <v>0</v>
      </c>
      <c r="BF77" s="1077">
        <v>0</v>
      </c>
      <c r="BG77" s="1071">
        <v>0</v>
      </c>
      <c r="BH77" s="1076">
        <v>0</v>
      </c>
      <c r="BI77" s="1077">
        <v>0</v>
      </c>
      <c r="BJ77" s="1071">
        <v>0</v>
      </c>
      <c r="BK77" s="1041">
        <v>0</v>
      </c>
      <c r="BL77" s="1077">
        <v>0</v>
      </c>
      <c r="BM77" s="1071">
        <v>0</v>
      </c>
      <c r="BN77" s="1041">
        <v>0</v>
      </c>
      <c r="BO77" s="1077">
        <v>0</v>
      </c>
      <c r="BP77" s="1062">
        <v>0</v>
      </c>
      <c r="BQ77" s="1078">
        <f t="shared" si="229"/>
        <v>0</v>
      </c>
      <c r="BR77" s="1062"/>
      <c r="BS77" s="1079">
        <f t="shared" si="230"/>
        <v>0</v>
      </c>
      <c r="BT77" s="284" t="s">
        <v>419</v>
      </c>
    </row>
    <row r="78" spans="1:72" ht="18" customHeight="1" x14ac:dyDescent="0.2">
      <c r="A78" s="1050">
        <v>54307</v>
      </c>
      <c r="B78" s="1051" t="s">
        <v>61</v>
      </c>
      <c r="C78" s="1065">
        <f>'F.P y DL'!C482</f>
        <v>500</v>
      </c>
      <c r="D78" s="1066">
        <f>'F.P y DL'!D482</f>
        <v>0</v>
      </c>
      <c r="E78" s="1066">
        <f>'F.P y DL'!E482</f>
        <v>0</v>
      </c>
      <c r="F78" s="1066">
        <f>'F.P y DL'!F482</f>
        <v>0</v>
      </c>
      <c r="G78" s="1067">
        <f t="shared" si="198"/>
        <v>500</v>
      </c>
      <c r="H78" s="1068">
        <f>'F.P y DL'!C45</f>
        <v>0</v>
      </c>
      <c r="I78" s="1069">
        <f>'F.P y DL'!D45</f>
        <v>0</v>
      </c>
      <c r="J78" s="1069">
        <f>'F.P y DL'!E45</f>
        <v>0</v>
      </c>
      <c r="K78" s="1069">
        <f>'F.P y DL'!F45</f>
        <v>0</v>
      </c>
      <c r="L78" s="1070">
        <f t="shared" si="216"/>
        <v>0</v>
      </c>
      <c r="M78" s="1062">
        <v>0</v>
      </c>
      <c r="N78" s="1071">
        <v>0</v>
      </c>
      <c r="O78" s="1071">
        <v>0</v>
      </c>
      <c r="P78" s="1071">
        <v>0</v>
      </c>
      <c r="Q78" s="1071">
        <v>0</v>
      </c>
      <c r="R78" s="1072">
        <f t="shared" si="225"/>
        <v>0</v>
      </c>
      <c r="S78" s="1065">
        <f>'F.P y DL'!W482</f>
        <v>0</v>
      </c>
      <c r="T78" s="1066">
        <f>'F.P y DL'!X482</f>
        <v>0</v>
      </c>
      <c r="U78" s="1066">
        <f>'F.P y DL'!Y482</f>
        <v>0</v>
      </c>
      <c r="V78" s="1066">
        <f>'F.P y DL'!Z482</f>
        <v>0</v>
      </c>
      <c r="W78" s="1067">
        <f t="shared" si="199"/>
        <v>0</v>
      </c>
      <c r="X78" s="1066">
        <f>'F.P y DL'!AA482</f>
        <v>0</v>
      </c>
      <c r="Y78" s="1066">
        <f>'F.P y DL'!AB482</f>
        <v>0</v>
      </c>
      <c r="Z78" s="1034">
        <f t="shared" si="200"/>
        <v>0</v>
      </c>
      <c r="AA78" s="1067">
        <f t="shared" si="226"/>
        <v>0</v>
      </c>
      <c r="AB78" s="1065">
        <f>'F.P y DL'!AF482</f>
        <v>0</v>
      </c>
      <c r="AC78" s="1066">
        <f>'F.P y DL'!AG482</f>
        <v>0</v>
      </c>
      <c r="AD78" s="1066">
        <f>'F.P y DL'!AH482</f>
        <v>0</v>
      </c>
      <c r="AE78" s="1066">
        <f>'F.P y DL'!AI482</f>
        <v>0</v>
      </c>
      <c r="AF78" s="1067">
        <f t="shared" si="217"/>
        <v>0</v>
      </c>
      <c r="AG78" s="1066">
        <f>'F.P y DL'!AJ482</f>
        <v>0</v>
      </c>
      <c r="AH78" s="1066">
        <f>'F.P y DL'!AK482</f>
        <v>0</v>
      </c>
      <c r="AI78" s="1034">
        <f t="shared" si="218"/>
        <v>0</v>
      </c>
      <c r="AJ78" s="1067">
        <f t="shared" si="188"/>
        <v>0</v>
      </c>
      <c r="AK78" s="1065">
        <f t="shared" si="219"/>
        <v>0</v>
      </c>
      <c r="AL78" s="1066">
        <f t="shared" si="220"/>
        <v>0</v>
      </c>
      <c r="AM78" s="1066">
        <f t="shared" si="221"/>
        <v>0</v>
      </c>
      <c r="AN78" s="1066">
        <f t="shared" si="222"/>
        <v>0</v>
      </c>
      <c r="AO78" s="1067">
        <f t="shared" si="223"/>
        <v>0</v>
      </c>
      <c r="AP78" s="1073"/>
      <c r="AQ78" s="1083">
        <v>0</v>
      </c>
      <c r="AR78" s="1082">
        <v>0</v>
      </c>
      <c r="AS78" s="1082">
        <v>0</v>
      </c>
      <c r="AT78" s="1082">
        <v>0</v>
      </c>
      <c r="AU78" s="1082">
        <v>0</v>
      </c>
      <c r="AV78" s="1067">
        <f t="shared" si="187"/>
        <v>0</v>
      </c>
      <c r="AW78" s="1055">
        <f t="shared" si="227"/>
        <v>0</v>
      </c>
      <c r="AX78" s="1071">
        <v>0</v>
      </c>
      <c r="AY78" s="1071">
        <v>0</v>
      </c>
      <c r="AZ78" s="1071">
        <v>0</v>
      </c>
      <c r="BA78" s="1076">
        <f t="shared" si="224"/>
        <v>0</v>
      </c>
      <c r="BB78" s="1066">
        <v>0</v>
      </c>
      <c r="BC78" s="1066">
        <v>0</v>
      </c>
      <c r="BD78" s="1066">
        <v>0</v>
      </c>
      <c r="BE78" s="1076">
        <f t="shared" si="228"/>
        <v>0</v>
      </c>
      <c r="BF78" s="1077">
        <v>0</v>
      </c>
      <c r="BG78" s="1071">
        <v>0</v>
      </c>
      <c r="BH78" s="1076">
        <v>0</v>
      </c>
      <c r="BI78" s="1077">
        <v>0</v>
      </c>
      <c r="BJ78" s="1071">
        <v>0</v>
      </c>
      <c r="BK78" s="1041">
        <v>0</v>
      </c>
      <c r="BL78" s="1077">
        <v>0</v>
      </c>
      <c r="BM78" s="1071">
        <v>0</v>
      </c>
      <c r="BN78" s="1041">
        <v>0</v>
      </c>
      <c r="BO78" s="1077">
        <v>0</v>
      </c>
      <c r="BP78" s="1062">
        <v>0</v>
      </c>
      <c r="BQ78" s="1078">
        <f t="shared" si="229"/>
        <v>0</v>
      </c>
      <c r="BR78" s="1062"/>
      <c r="BS78" s="1079">
        <f t="shared" si="230"/>
        <v>500</v>
      </c>
      <c r="BT78" s="284" t="s">
        <v>419</v>
      </c>
    </row>
    <row r="79" spans="1:72" ht="18" customHeight="1" x14ac:dyDescent="0.2">
      <c r="A79" s="1050">
        <v>54309</v>
      </c>
      <c r="B79" s="1051" t="s">
        <v>62</v>
      </c>
      <c r="C79" s="1065">
        <v>0</v>
      </c>
      <c r="D79" s="1066">
        <v>0</v>
      </c>
      <c r="E79" s="1066">
        <v>0</v>
      </c>
      <c r="F79" s="1066">
        <v>0</v>
      </c>
      <c r="G79" s="1067">
        <f t="shared" si="198"/>
        <v>0</v>
      </c>
      <c r="H79" s="1068">
        <f>'F.P y DL'!C46</f>
        <v>0</v>
      </c>
      <c r="I79" s="1069">
        <f>'F.P y DL'!D46</f>
        <v>0</v>
      </c>
      <c r="J79" s="1069">
        <f>'F.P y DL'!E46</f>
        <v>0</v>
      </c>
      <c r="K79" s="1069">
        <f>'F.P y DL'!F46</f>
        <v>0</v>
      </c>
      <c r="L79" s="1070">
        <f t="shared" si="216"/>
        <v>0</v>
      </c>
      <c r="M79" s="1062">
        <v>0</v>
      </c>
      <c r="N79" s="1071">
        <v>0</v>
      </c>
      <c r="O79" s="1071">
        <v>0</v>
      </c>
      <c r="P79" s="1071">
        <v>0</v>
      </c>
      <c r="Q79" s="1071">
        <v>0</v>
      </c>
      <c r="R79" s="1072">
        <f t="shared" si="225"/>
        <v>0</v>
      </c>
      <c r="S79" s="1065">
        <v>0</v>
      </c>
      <c r="T79" s="1066">
        <v>0</v>
      </c>
      <c r="U79" s="1066">
        <v>0</v>
      </c>
      <c r="V79" s="1066">
        <v>0</v>
      </c>
      <c r="W79" s="1067">
        <f t="shared" si="199"/>
        <v>0</v>
      </c>
      <c r="X79" s="1066">
        <v>0</v>
      </c>
      <c r="Y79" s="1066">
        <v>0</v>
      </c>
      <c r="Z79" s="1034">
        <f t="shared" si="200"/>
        <v>0</v>
      </c>
      <c r="AA79" s="1067">
        <f t="shared" si="226"/>
        <v>0</v>
      </c>
      <c r="AB79" s="1065">
        <v>0</v>
      </c>
      <c r="AC79" s="1066">
        <v>0</v>
      </c>
      <c r="AD79" s="1066">
        <v>0</v>
      </c>
      <c r="AE79" s="1066">
        <v>0</v>
      </c>
      <c r="AF79" s="1067">
        <f t="shared" si="217"/>
        <v>0</v>
      </c>
      <c r="AG79" s="1066">
        <v>0</v>
      </c>
      <c r="AH79" s="1066">
        <v>0</v>
      </c>
      <c r="AI79" s="1034">
        <f t="shared" si="218"/>
        <v>0</v>
      </c>
      <c r="AJ79" s="1067">
        <f t="shared" si="188"/>
        <v>0</v>
      </c>
      <c r="AK79" s="1065">
        <f t="shared" si="219"/>
        <v>0</v>
      </c>
      <c r="AL79" s="1066">
        <f t="shared" si="220"/>
        <v>0</v>
      </c>
      <c r="AM79" s="1066">
        <f t="shared" si="221"/>
        <v>0</v>
      </c>
      <c r="AN79" s="1066">
        <f t="shared" si="222"/>
        <v>0</v>
      </c>
      <c r="AO79" s="1067">
        <f t="shared" si="223"/>
        <v>0</v>
      </c>
      <c r="AP79" s="1073"/>
      <c r="AQ79" s="1083">
        <v>0</v>
      </c>
      <c r="AR79" s="1082">
        <v>0</v>
      </c>
      <c r="AS79" s="1082">
        <v>0</v>
      </c>
      <c r="AT79" s="1082">
        <v>0</v>
      </c>
      <c r="AU79" s="1082">
        <v>0</v>
      </c>
      <c r="AV79" s="1067">
        <f t="shared" si="187"/>
        <v>0</v>
      </c>
      <c r="AW79" s="1055">
        <f t="shared" si="227"/>
        <v>0</v>
      </c>
      <c r="AX79" s="1071">
        <v>0</v>
      </c>
      <c r="AY79" s="1071">
        <v>0</v>
      </c>
      <c r="AZ79" s="1071">
        <v>0</v>
      </c>
      <c r="BA79" s="1076">
        <f t="shared" si="224"/>
        <v>0</v>
      </c>
      <c r="BB79" s="1066">
        <v>0</v>
      </c>
      <c r="BC79" s="1066">
        <v>0</v>
      </c>
      <c r="BD79" s="1066">
        <v>0</v>
      </c>
      <c r="BE79" s="1076">
        <f t="shared" si="228"/>
        <v>0</v>
      </c>
      <c r="BF79" s="1077">
        <v>0</v>
      </c>
      <c r="BG79" s="1071">
        <v>0</v>
      </c>
      <c r="BH79" s="1076">
        <v>0</v>
      </c>
      <c r="BI79" s="1077">
        <v>0</v>
      </c>
      <c r="BJ79" s="1071">
        <v>0</v>
      </c>
      <c r="BK79" s="1041">
        <v>0</v>
      </c>
      <c r="BL79" s="1077">
        <v>0</v>
      </c>
      <c r="BM79" s="1071">
        <v>0</v>
      </c>
      <c r="BN79" s="1041">
        <v>0</v>
      </c>
      <c r="BO79" s="1077">
        <v>0</v>
      </c>
      <c r="BP79" s="1062">
        <v>0</v>
      </c>
      <c r="BQ79" s="1078">
        <f t="shared" si="229"/>
        <v>0</v>
      </c>
      <c r="BR79" s="1062"/>
      <c r="BS79" s="1079">
        <f t="shared" si="230"/>
        <v>0</v>
      </c>
      <c r="BT79" s="284" t="s">
        <v>419</v>
      </c>
    </row>
    <row r="80" spans="1:72" ht="18" customHeight="1" x14ac:dyDescent="0.2">
      <c r="A80" s="1050">
        <v>54310</v>
      </c>
      <c r="B80" s="1051" t="s">
        <v>63</v>
      </c>
      <c r="C80" s="1065">
        <v>0</v>
      </c>
      <c r="D80" s="1066">
        <v>0</v>
      </c>
      <c r="E80" s="1066">
        <v>0</v>
      </c>
      <c r="F80" s="1066">
        <v>0</v>
      </c>
      <c r="G80" s="1067">
        <f t="shared" si="198"/>
        <v>0</v>
      </c>
      <c r="H80" s="1068">
        <f>'F.P y DL'!C47</f>
        <v>0</v>
      </c>
      <c r="I80" s="1069">
        <f>'F.P y DL'!D47</f>
        <v>0</v>
      </c>
      <c r="J80" s="1069">
        <f>'F.P y DL'!E47</f>
        <v>0</v>
      </c>
      <c r="K80" s="1069">
        <f>'F.P y DL'!F47</f>
        <v>0</v>
      </c>
      <c r="L80" s="1070">
        <f t="shared" si="216"/>
        <v>0</v>
      </c>
      <c r="M80" s="1062">
        <v>0</v>
      </c>
      <c r="N80" s="1071">
        <v>0</v>
      </c>
      <c r="O80" s="1071">
        <v>0</v>
      </c>
      <c r="P80" s="1071">
        <v>0</v>
      </c>
      <c r="Q80" s="1071">
        <v>0</v>
      </c>
      <c r="R80" s="1072">
        <f t="shared" si="225"/>
        <v>0</v>
      </c>
      <c r="S80" s="1065">
        <v>0</v>
      </c>
      <c r="T80" s="1066">
        <v>0</v>
      </c>
      <c r="U80" s="1066">
        <v>0</v>
      </c>
      <c r="V80" s="1066">
        <v>0</v>
      </c>
      <c r="W80" s="1067">
        <f t="shared" si="199"/>
        <v>0</v>
      </c>
      <c r="X80" s="1066">
        <v>0</v>
      </c>
      <c r="Y80" s="1066">
        <v>0</v>
      </c>
      <c r="Z80" s="1034">
        <f t="shared" si="200"/>
        <v>0</v>
      </c>
      <c r="AA80" s="1067">
        <f t="shared" si="226"/>
        <v>0</v>
      </c>
      <c r="AB80" s="1065">
        <v>0</v>
      </c>
      <c r="AC80" s="1066">
        <v>0</v>
      </c>
      <c r="AD80" s="1066">
        <v>0</v>
      </c>
      <c r="AE80" s="1066">
        <v>0</v>
      </c>
      <c r="AF80" s="1067">
        <f t="shared" si="217"/>
        <v>0</v>
      </c>
      <c r="AG80" s="1066">
        <v>0</v>
      </c>
      <c r="AH80" s="1066">
        <v>0</v>
      </c>
      <c r="AI80" s="1034">
        <f t="shared" si="218"/>
        <v>0</v>
      </c>
      <c r="AJ80" s="1067">
        <f t="shared" si="188"/>
        <v>0</v>
      </c>
      <c r="AK80" s="1065">
        <f t="shared" si="219"/>
        <v>0</v>
      </c>
      <c r="AL80" s="1066">
        <f t="shared" si="220"/>
        <v>0</v>
      </c>
      <c r="AM80" s="1066">
        <f t="shared" si="221"/>
        <v>0</v>
      </c>
      <c r="AN80" s="1066">
        <f t="shared" si="222"/>
        <v>0</v>
      </c>
      <c r="AO80" s="1067">
        <f t="shared" si="223"/>
        <v>0</v>
      </c>
      <c r="AP80" s="1073"/>
      <c r="AQ80" s="1083">
        <v>0</v>
      </c>
      <c r="AR80" s="1082">
        <v>0</v>
      </c>
      <c r="AS80" s="1082">
        <v>0</v>
      </c>
      <c r="AT80" s="1082">
        <v>0</v>
      </c>
      <c r="AU80" s="1082">
        <v>0</v>
      </c>
      <c r="AV80" s="1067">
        <f t="shared" si="187"/>
        <v>0</v>
      </c>
      <c r="AW80" s="1055">
        <f t="shared" si="227"/>
        <v>0</v>
      </c>
      <c r="AX80" s="1071">
        <v>0</v>
      </c>
      <c r="AY80" s="1071">
        <v>0</v>
      </c>
      <c r="AZ80" s="1071">
        <v>0</v>
      </c>
      <c r="BA80" s="1076">
        <f t="shared" si="224"/>
        <v>0</v>
      </c>
      <c r="BB80" s="1066">
        <v>0</v>
      </c>
      <c r="BC80" s="1066">
        <v>0</v>
      </c>
      <c r="BD80" s="1066">
        <v>0</v>
      </c>
      <c r="BE80" s="1076">
        <f t="shared" si="228"/>
        <v>0</v>
      </c>
      <c r="BF80" s="1077">
        <v>0</v>
      </c>
      <c r="BG80" s="1071">
        <v>0</v>
      </c>
      <c r="BH80" s="1076">
        <v>0</v>
      </c>
      <c r="BI80" s="1077">
        <v>0</v>
      </c>
      <c r="BJ80" s="1071">
        <v>0</v>
      </c>
      <c r="BK80" s="1041">
        <v>0</v>
      </c>
      <c r="BL80" s="1077">
        <v>0</v>
      </c>
      <c r="BM80" s="1071">
        <v>0</v>
      </c>
      <c r="BN80" s="1041">
        <v>0</v>
      </c>
      <c r="BO80" s="1077">
        <v>0</v>
      </c>
      <c r="BP80" s="1062">
        <v>0</v>
      </c>
      <c r="BQ80" s="1078">
        <f t="shared" si="229"/>
        <v>0</v>
      </c>
      <c r="BR80" s="1062"/>
      <c r="BS80" s="1079">
        <f t="shared" si="230"/>
        <v>0</v>
      </c>
      <c r="BT80" s="284" t="s">
        <v>419</v>
      </c>
    </row>
    <row r="81" spans="1:72" ht="18" customHeight="1" x14ac:dyDescent="0.2">
      <c r="A81" s="1050">
        <v>54311</v>
      </c>
      <c r="B81" s="1051" t="s">
        <v>64</v>
      </c>
      <c r="C81" s="1065">
        <v>0</v>
      </c>
      <c r="D81" s="1066">
        <v>0</v>
      </c>
      <c r="E81" s="1066">
        <v>0</v>
      </c>
      <c r="F81" s="1066">
        <v>0</v>
      </c>
      <c r="G81" s="1067">
        <f t="shared" si="198"/>
        <v>0</v>
      </c>
      <c r="H81" s="1068">
        <f>'F.P y DL'!C48</f>
        <v>0</v>
      </c>
      <c r="I81" s="1069">
        <f>'F.P y DL'!D48</f>
        <v>0</v>
      </c>
      <c r="J81" s="1069">
        <f>'F.P y DL'!E48</f>
        <v>0</v>
      </c>
      <c r="K81" s="1069">
        <f>'F.P y DL'!F48</f>
        <v>0</v>
      </c>
      <c r="L81" s="1070">
        <f t="shared" si="216"/>
        <v>0</v>
      </c>
      <c r="M81" s="1062">
        <v>0</v>
      </c>
      <c r="N81" s="1071">
        <v>0</v>
      </c>
      <c r="O81" s="1071">
        <v>0</v>
      </c>
      <c r="P81" s="1071">
        <v>0</v>
      </c>
      <c r="Q81" s="1071">
        <v>0</v>
      </c>
      <c r="R81" s="1072">
        <f t="shared" si="225"/>
        <v>0</v>
      </c>
      <c r="S81" s="1065">
        <v>0</v>
      </c>
      <c r="T81" s="1066">
        <v>0</v>
      </c>
      <c r="U81" s="1066">
        <v>0</v>
      </c>
      <c r="V81" s="1066">
        <v>0</v>
      </c>
      <c r="W81" s="1067">
        <f t="shared" si="199"/>
        <v>0</v>
      </c>
      <c r="X81" s="1066">
        <v>0</v>
      </c>
      <c r="Y81" s="1066">
        <v>0</v>
      </c>
      <c r="Z81" s="1034">
        <f t="shared" si="200"/>
        <v>0</v>
      </c>
      <c r="AA81" s="1067">
        <f t="shared" si="226"/>
        <v>0</v>
      </c>
      <c r="AB81" s="1065">
        <v>0</v>
      </c>
      <c r="AC81" s="1066">
        <v>0</v>
      </c>
      <c r="AD81" s="1066">
        <v>0</v>
      </c>
      <c r="AE81" s="1066">
        <v>0</v>
      </c>
      <c r="AF81" s="1067">
        <f t="shared" si="217"/>
        <v>0</v>
      </c>
      <c r="AG81" s="1066">
        <v>0</v>
      </c>
      <c r="AH81" s="1066">
        <v>0</v>
      </c>
      <c r="AI81" s="1034">
        <f t="shared" si="218"/>
        <v>0</v>
      </c>
      <c r="AJ81" s="1067">
        <f t="shared" si="188"/>
        <v>0</v>
      </c>
      <c r="AK81" s="1065">
        <f t="shared" si="219"/>
        <v>0</v>
      </c>
      <c r="AL81" s="1066">
        <f t="shared" si="220"/>
        <v>0</v>
      </c>
      <c r="AM81" s="1066">
        <f t="shared" si="221"/>
        <v>0</v>
      </c>
      <c r="AN81" s="1066">
        <f t="shared" si="222"/>
        <v>0</v>
      </c>
      <c r="AO81" s="1067">
        <f t="shared" si="223"/>
        <v>0</v>
      </c>
      <c r="AP81" s="1073"/>
      <c r="AQ81" s="1083">
        <v>0</v>
      </c>
      <c r="AR81" s="1082">
        <v>0</v>
      </c>
      <c r="AS81" s="1082">
        <v>0</v>
      </c>
      <c r="AT81" s="1082">
        <v>0</v>
      </c>
      <c r="AU81" s="1082">
        <v>0</v>
      </c>
      <c r="AV81" s="1067">
        <f t="shared" si="187"/>
        <v>0</v>
      </c>
      <c r="AW81" s="1055">
        <f t="shared" si="227"/>
        <v>0</v>
      </c>
      <c r="AX81" s="1071">
        <v>0</v>
      </c>
      <c r="AY81" s="1071">
        <v>0</v>
      </c>
      <c r="AZ81" s="1071">
        <v>0</v>
      </c>
      <c r="BA81" s="1076">
        <f t="shared" si="224"/>
        <v>0</v>
      </c>
      <c r="BB81" s="1066">
        <v>0</v>
      </c>
      <c r="BC81" s="1066">
        <v>0</v>
      </c>
      <c r="BD81" s="1066">
        <v>0</v>
      </c>
      <c r="BE81" s="1076">
        <f t="shared" si="228"/>
        <v>0</v>
      </c>
      <c r="BF81" s="1077">
        <v>0</v>
      </c>
      <c r="BG81" s="1071">
        <v>0</v>
      </c>
      <c r="BH81" s="1076">
        <v>0</v>
      </c>
      <c r="BI81" s="1077">
        <v>0</v>
      </c>
      <c r="BJ81" s="1071">
        <v>0</v>
      </c>
      <c r="BK81" s="1041">
        <v>0</v>
      </c>
      <c r="BL81" s="1077">
        <v>0</v>
      </c>
      <c r="BM81" s="1071">
        <v>0</v>
      </c>
      <c r="BN81" s="1041">
        <v>0</v>
      </c>
      <c r="BO81" s="1077">
        <v>0</v>
      </c>
      <c r="BP81" s="1062">
        <v>0</v>
      </c>
      <c r="BQ81" s="1078">
        <f t="shared" si="229"/>
        <v>0</v>
      </c>
      <c r="BR81" s="1062"/>
      <c r="BS81" s="1079">
        <f t="shared" si="230"/>
        <v>0</v>
      </c>
      <c r="BT81" s="284" t="s">
        <v>419</v>
      </c>
    </row>
    <row r="82" spans="1:72" ht="18" customHeight="1" x14ac:dyDescent="0.2">
      <c r="A82" s="1050">
        <v>54313</v>
      </c>
      <c r="B82" s="1051" t="s">
        <v>65</v>
      </c>
      <c r="C82" s="1065">
        <f>'F.P y DL'!C486</f>
        <v>100</v>
      </c>
      <c r="D82" s="1066">
        <f>'F.P y DL'!D486</f>
        <v>50</v>
      </c>
      <c r="E82" s="1066">
        <f>'F.P y DL'!E486</f>
        <v>0</v>
      </c>
      <c r="F82" s="1066">
        <f>'F.P y DL'!F486</f>
        <v>0</v>
      </c>
      <c r="G82" s="1067">
        <f t="shared" si="198"/>
        <v>150</v>
      </c>
      <c r="H82" s="1068">
        <f>'F.P y DL'!C49</f>
        <v>0</v>
      </c>
      <c r="I82" s="1069">
        <f>'F.P y DL'!D49</f>
        <v>0</v>
      </c>
      <c r="J82" s="1069">
        <f>'F.P y DL'!E49</f>
        <v>0</v>
      </c>
      <c r="K82" s="1069">
        <f>'F.P y DL'!F49</f>
        <v>0</v>
      </c>
      <c r="L82" s="1070">
        <f t="shared" si="216"/>
        <v>0</v>
      </c>
      <c r="M82" s="1062">
        <v>0</v>
      </c>
      <c r="N82" s="1071">
        <v>0</v>
      </c>
      <c r="O82" s="1071">
        <v>0</v>
      </c>
      <c r="P82" s="1071">
        <v>0</v>
      </c>
      <c r="Q82" s="1071">
        <v>0</v>
      </c>
      <c r="R82" s="1072">
        <f t="shared" si="225"/>
        <v>0</v>
      </c>
      <c r="S82" s="1065">
        <f>'F.P y DL'!W486</f>
        <v>0</v>
      </c>
      <c r="T82" s="1066">
        <f>'F.P y DL'!X486</f>
        <v>0</v>
      </c>
      <c r="U82" s="1066">
        <f>'F.P y DL'!Y486</f>
        <v>0</v>
      </c>
      <c r="V82" s="1066">
        <f>'F.P y DL'!Z486</f>
        <v>0</v>
      </c>
      <c r="W82" s="1067">
        <f t="shared" si="199"/>
        <v>0</v>
      </c>
      <c r="X82" s="1066">
        <f>'F.P y DL'!AA486</f>
        <v>0</v>
      </c>
      <c r="Y82" s="1066">
        <f>'F.P y DL'!AB486</f>
        <v>0</v>
      </c>
      <c r="Z82" s="1034">
        <f t="shared" si="200"/>
        <v>0</v>
      </c>
      <c r="AA82" s="1067">
        <f t="shared" si="226"/>
        <v>0</v>
      </c>
      <c r="AB82" s="1065">
        <f>'F.P y DL'!AF486</f>
        <v>0</v>
      </c>
      <c r="AC82" s="1066">
        <f>'F.P y DL'!AG486</f>
        <v>0</v>
      </c>
      <c r="AD82" s="1066">
        <f>'F.P y DL'!AH486</f>
        <v>0</v>
      </c>
      <c r="AE82" s="1066">
        <f>'F.P y DL'!AI486</f>
        <v>0</v>
      </c>
      <c r="AF82" s="1067">
        <f t="shared" si="217"/>
        <v>0</v>
      </c>
      <c r="AG82" s="1066">
        <f>'F.P y DL'!AJ486</f>
        <v>0</v>
      </c>
      <c r="AH82" s="1066">
        <f>'F.P y DL'!AK486</f>
        <v>0</v>
      </c>
      <c r="AI82" s="1034">
        <f t="shared" si="218"/>
        <v>0</v>
      </c>
      <c r="AJ82" s="1067">
        <f t="shared" si="188"/>
        <v>0</v>
      </c>
      <c r="AK82" s="1065">
        <f t="shared" si="219"/>
        <v>0</v>
      </c>
      <c r="AL82" s="1066">
        <f t="shared" si="220"/>
        <v>0</v>
      </c>
      <c r="AM82" s="1066">
        <f t="shared" si="221"/>
        <v>0</v>
      </c>
      <c r="AN82" s="1066">
        <f t="shared" si="222"/>
        <v>0</v>
      </c>
      <c r="AO82" s="1067">
        <f t="shared" si="223"/>
        <v>0</v>
      </c>
      <c r="AP82" s="1073"/>
      <c r="AQ82" s="1083">
        <v>0</v>
      </c>
      <c r="AR82" s="1082">
        <v>0</v>
      </c>
      <c r="AS82" s="1082">
        <v>0</v>
      </c>
      <c r="AT82" s="1082">
        <v>0</v>
      </c>
      <c r="AU82" s="1082">
        <v>0</v>
      </c>
      <c r="AV82" s="1067">
        <f t="shared" si="187"/>
        <v>0</v>
      </c>
      <c r="AW82" s="1055">
        <f t="shared" si="227"/>
        <v>0</v>
      </c>
      <c r="AX82" s="1071">
        <v>0</v>
      </c>
      <c r="AY82" s="1071">
        <v>0</v>
      </c>
      <c r="AZ82" s="1071">
        <v>0</v>
      </c>
      <c r="BA82" s="1076">
        <f t="shared" si="224"/>
        <v>0</v>
      </c>
      <c r="BB82" s="1066">
        <v>0</v>
      </c>
      <c r="BC82" s="1066">
        <v>0</v>
      </c>
      <c r="BD82" s="1066">
        <v>0</v>
      </c>
      <c r="BE82" s="1076">
        <f t="shared" si="228"/>
        <v>0</v>
      </c>
      <c r="BF82" s="1077">
        <v>0</v>
      </c>
      <c r="BG82" s="1071">
        <v>0</v>
      </c>
      <c r="BH82" s="1076">
        <v>0</v>
      </c>
      <c r="BI82" s="1077">
        <v>0</v>
      </c>
      <c r="BJ82" s="1071">
        <v>0</v>
      </c>
      <c r="BK82" s="1041">
        <v>0</v>
      </c>
      <c r="BL82" s="1077">
        <v>0</v>
      </c>
      <c r="BM82" s="1071">
        <v>0</v>
      </c>
      <c r="BN82" s="1041">
        <v>0</v>
      </c>
      <c r="BO82" s="1077">
        <v>0</v>
      </c>
      <c r="BP82" s="1062">
        <v>0</v>
      </c>
      <c r="BQ82" s="1078">
        <f t="shared" si="229"/>
        <v>0</v>
      </c>
      <c r="BR82" s="1062"/>
      <c r="BS82" s="1079">
        <f t="shared" si="230"/>
        <v>150</v>
      </c>
      <c r="BT82" s="284" t="s">
        <v>419</v>
      </c>
    </row>
    <row r="83" spans="1:72" ht="18" customHeight="1" x14ac:dyDescent="0.2">
      <c r="A83" s="1050">
        <v>54314</v>
      </c>
      <c r="B83" s="1051" t="s">
        <v>66</v>
      </c>
      <c r="C83" s="1065">
        <f>'F.P y DL'!C487</f>
        <v>1000</v>
      </c>
      <c r="D83" s="1066">
        <f>'F.P y DL'!D487</f>
        <v>0</v>
      </c>
      <c r="E83" s="1066">
        <f>'F.P y DL'!E487</f>
        <v>0</v>
      </c>
      <c r="F83" s="1066">
        <f>'F.P y DL'!F487</f>
        <v>0</v>
      </c>
      <c r="G83" s="1067">
        <f t="shared" si="198"/>
        <v>1000</v>
      </c>
      <c r="H83" s="1068">
        <f>'F.P y DL'!C50</f>
        <v>0</v>
      </c>
      <c r="I83" s="1069">
        <f>'F.P y DL'!D50</f>
        <v>0</v>
      </c>
      <c r="J83" s="1069">
        <f>'F.P y DL'!E50</f>
        <v>0</v>
      </c>
      <c r="K83" s="1069">
        <f>'F.P y DL'!F50</f>
        <v>0</v>
      </c>
      <c r="L83" s="1070">
        <f t="shared" si="216"/>
        <v>0</v>
      </c>
      <c r="M83" s="1062">
        <v>0</v>
      </c>
      <c r="N83" s="1071">
        <v>0</v>
      </c>
      <c r="O83" s="1071">
        <v>0</v>
      </c>
      <c r="P83" s="1071">
        <v>0</v>
      </c>
      <c r="Q83" s="1071">
        <v>0</v>
      </c>
      <c r="R83" s="1072">
        <f t="shared" si="225"/>
        <v>0</v>
      </c>
      <c r="S83" s="1065">
        <f>'F.P y DL'!W487</f>
        <v>0</v>
      </c>
      <c r="T83" s="1066">
        <f>'F.P y DL'!X487</f>
        <v>0</v>
      </c>
      <c r="U83" s="1066">
        <f>'F.P y DL'!Y487</f>
        <v>0</v>
      </c>
      <c r="V83" s="1066">
        <f>'F.P y DL'!Z487</f>
        <v>0</v>
      </c>
      <c r="W83" s="1067">
        <f t="shared" si="199"/>
        <v>0</v>
      </c>
      <c r="X83" s="1066">
        <f>'F.P y DL'!AA487</f>
        <v>0</v>
      </c>
      <c r="Y83" s="1066">
        <f>'F.P y DL'!AB487</f>
        <v>0</v>
      </c>
      <c r="Z83" s="1034">
        <f t="shared" si="200"/>
        <v>0</v>
      </c>
      <c r="AA83" s="1067">
        <f t="shared" si="226"/>
        <v>0</v>
      </c>
      <c r="AB83" s="1065">
        <f>'F.P y DL'!AF487</f>
        <v>0</v>
      </c>
      <c r="AC83" s="1066">
        <f>'F.P y DL'!AG487</f>
        <v>0</v>
      </c>
      <c r="AD83" s="1066">
        <f>'F.P y DL'!AH487</f>
        <v>0</v>
      </c>
      <c r="AE83" s="1066">
        <f>'F.P y DL'!AI487</f>
        <v>0</v>
      </c>
      <c r="AF83" s="1067">
        <f t="shared" si="217"/>
        <v>0</v>
      </c>
      <c r="AG83" s="1066">
        <f>'F.P y DL'!AJ487</f>
        <v>0</v>
      </c>
      <c r="AH83" s="1066">
        <f>'F.P y DL'!AK487</f>
        <v>0</v>
      </c>
      <c r="AI83" s="1034">
        <f t="shared" si="218"/>
        <v>0</v>
      </c>
      <c r="AJ83" s="1067">
        <f t="shared" si="188"/>
        <v>0</v>
      </c>
      <c r="AK83" s="1065">
        <f t="shared" si="219"/>
        <v>0</v>
      </c>
      <c r="AL83" s="1066">
        <f t="shared" si="220"/>
        <v>0</v>
      </c>
      <c r="AM83" s="1066">
        <f t="shared" si="221"/>
        <v>0</v>
      </c>
      <c r="AN83" s="1066">
        <f t="shared" si="222"/>
        <v>0</v>
      </c>
      <c r="AO83" s="1067">
        <f t="shared" si="223"/>
        <v>0</v>
      </c>
      <c r="AP83" s="1073"/>
      <c r="AQ83" s="1083">
        <v>0</v>
      </c>
      <c r="AR83" s="1082">
        <v>0</v>
      </c>
      <c r="AS83" s="1082">
        <v>0</v>
      </c>
      <c r="AT83" s="1082">
        <v>0</v>
      </c>
      <c r="AU83" s="1082">
        <v>0</v>
      </c>
      <c r="AV83" s="1067">
        <f t="shared" si="187"/>
        <v>0</v>
      </c>
      <c r="AW83" s="1055">
        <f t="shared" si="227"/>
        <v>0</v>
      </c>
      <c r="AX83" s="1071">
        <v>0</v>
      </c>
      <c r="AY83" s="1071">
        <v>0</v>
      </c>
      <c r="AZ83" s="1071">
        <v>0</v>
      </c>
      <c r="BA83" s="1076">
        <f t="shared" si="224"/>
        <v>0</v>
      </c>
      <c r="BB83" s="1066">
        <v>0</v>
      </c>
      <c r="BC83" s="1066">
        <v>0</v>
      </c>
      <c r="BD83" s="1066">
        <v>0</v>
      </c>
      <c r="BE83" s="1076">
        <f t="shared" si="228"/>
        <v>0</v>
      </c>
      <c r="BF83" s="1077">
        <v>0</v>
      </c>
      <c r="BG83" s="1071">
        <v>0</v>
      </c>
      <c r="BH83" s="1076">
        <v>0</v>
      </c>
      <c r="BI83" s="1077">
        <v>0</v>
      </c>
      <c r="BJ83" s="1071">
        <v>0</v>
      </c>
      <c r="BK83" s="1041">
        <v>0</v>
      </c>
      <c r="BL83" s="1077">
        <v>0</v>
      </c>
      <c r="BM83" s="1071">
        <v>0</v>
      </c>
      <c r="BN83" s="1041">
        <v>0</v>
      </c>
      <c r="BO83" s="1077">
        <v>0</v>
      </c>
      <c r="BP83" s="1062">
        <v>0</v>
      </c>
      <c r="BQ83" s="1078">
        <f t="shared" si="229"/>
        <v>0</v>
      </c>
      <c r="BR83" s="1062"/>
      <c r="BS83" s="1079">
        <f t="shared" si="230"/>
        <v>1000</v>
      </c>
      <c r="BT83" s="284" t="s">
        <v>419</v>
      </c>
    </row>
    <row r="84" spans="1:72" ht="18" customHeight="1" x14ac:dyDescent="0.2">
      <c r="A84" s="1050">
        <v>54316</v>
      </c>
      <c r="B84" s="1051" t="s">
        <v>67</v>
      </c>
      <c r="C84" s="1065">
        <f>'F.P y DL'!C488</f>
        <v>500</v>
      </c>
      <c r="D84" s="1066">
        <f>'F.P y DL'!D488</f>
        <v>0</v>
      </c>
      <c r="E84" s="1066">
        <f>'F.P y DL'!E488</f>
        <v>0</v>
      </c>
      <c r="F84" s="1093">
        <f>'F.P y DL'!F488</f>
        <v>0</v>
      </c>
      <c r="G84" s="1094">
        <f t="shared" si="198"/>
        <v>500</v>
      </c>
      <c r="H84" s="1068">
        <f>'F.P y DL'!C51</f>
        <v>0</v>
      </c>
      <c r="I84" s="1069">
        <f>'F.P y DL'!D51</f>
        <v>0</v>
      </c>
      <c r="J84" s="1069">
        <f>'F.P y DL'!E51</f>
        <v>0</v>
      </c>
      <c r="K84" s="1069">
        <f>'F.P y DL'!F51</f>
        <v>0</v>
      </c>
      <c r="L84" s="1070">
        <f t="shared" si="216"/>
        <v>0</v>
      </c>
      <c r="M84" s="1062">
        <v>0</v>
      </c>
      <c r="N84" s="1071">
        <v>0</v>
      </c>
      <c r="O84" s="1071">
        <v>0</v>
      </c>
      <c r="P84" s="1071">
        <v>0</v>
      </c>
      <c r="Q84" s="1071">
        <v>0</v>
      </c>
      <c r="R84" s="1072">
        <f t="shared" si="225"/>
        <v>0</v>
      </c>
      <c r="S84" s="1065">
        <f>'F.P y DL'!W488</f>
        <v>0</v>
      </c>
      <c r="T84" s="1066">
        <f>'F.P y DL'!X488</f>
        <v>0</v>
      </c>
      <c r="U84" s="1066">
        <f>'F.P y DL'!Y488</f>
        <v>0</v>
      </c>
      <c r="V84" s="1093">
        <f>'F.P y DL'!Z488</f>
        <v>0</v>
      </c>
      <c r="W84" s="1094">
        <f t="shared" si="199"/>
        <v>0</v>
      </c>
      <c r="X84" s="1066">
        <f>'F.P y DL'!AA488</f>
        <v>0</v>
      </c>
      <c r="Y84" s="1066">
        <f>'F.P y DL'!AB488</f>
        <v>0</v>
      </c>
      <c r="Z84" s="1034">
        <f t="shared" si="200"/>
        <v>0</v>
      </c>
      <c r="AA84" s="1094">
        <f t="shared" si="226"/>
        <v>0</v>
      </c>
      <c r="AB84" s="1065">
        <f>'F.P y DL'!AF488</f>
        <v>0</v>
      </c>
      <c r="AC84" s="1066">
        <f>'F.P y DL'!AG488</f>
        <v>0</v>
      </c>
      <c r="AD84" s="1066">
        <f>'F.P y DL'!AH488</f>
        <v>0</v>
      </c>
      <c r="AE84" s="1093">
        <f>'F.P y DL'!AI488</f>
        <v>0</v>
      </c>
      <c r="AF84" s="1094">
        <f t="shared" si="217"/>
        <v>0</v>
      </c>
      <c r="AG84" s="1066">
        <f>'F.P y DL'!AJ488</f>
        <v>0</v>
      </c>
      <c r="AH84" s="1066">
        <f>'F.P y DL'!AK488</f>
        <v>0</v>
      </c>
      <c r="AI84" s="1034">
        <f t="shared" si="218"/>
        <v>0</v>
      </c>
      <c r="AJ84" s="1094">
        <f t="shared" si="188"/>
        <v>0</v>
      </c>
      <c r="AK84" s="1065">
        <f t="shared" si="219"/>
        <v>0</v>
      </c>
      <c r="AL84" s="1066">
        <f t="shared" si="220"/>
        <v>0</v>
      </c>
      <c r="AM84" s="1066">
        <f t="shared" si="221"/>
        <v>0</v>
      </c>
      <c r="AN84" s="1093">
        <f t="shared" si="222"/>
        <v>0</v>
      </c>
      <c r="AO84" s="1094">
        <f t="shared" si="223"/>
        <v>0</v>
      </c>
      <c r="AP84" s="1093"/>
      <c r="AQ84" s="1083">
        <v>0</v>
      </c>
      <c r="AR84" s="1082">
        <v>0</v>
      </c>
      <c r="AS84" s="1082">
        <v>0</v>
      </c>
      <c r="AT84" s="1082">
        <v>0</v>
      </c>
      <c r="AU84" s="1082">
        <v>0</v>
      </c>
      <c r="AV84" s="1067">
        <f t="shared" si="187"/>
        <v>0</v>
      </c>
      <c r="AW84" s="1055">
        <f t="shared" si="227"/>
        <v>0</v>
      </c>
      <c r="AX84" s="1071">
        <v>0</v>
      </c>
      <c r="AY84" s="1071">
        <v>0</v>
      </c>
      <c r="AZ84" s="1071">
        <v>0</v>
      </c>
      <c r="BA84" s="1076">
        <f t="shared" si="224"/>
        <v>0</v>
      </c>
      <c r="BB84" s="1066">
        <v>0</v>
      </c>
      <c r="BC84" s="1066">
        <v>0</v>
      </c>
      <c r="BD84" s="1082">
        <v>0</v>
      </c>
      <c r="BE84" s="1076">
        <f t="shared" si="228"/>
        <v>0</v>
      </c>
      <c r="BF84" s="1077">
        <v>0</v>
      </c>
      <c r="BG84" s="1071">
        <v>0</v>
      </c>
      <c r="BH84" s="1076">
        <v>0</v>
      </c>
      <c r="BI84" s="1077">
        <v>0</v>
      </c>
      <c r="BJ84" s="1071">
        <v>0</v>
      </c>
      <c r="BK84" s="1041">
        <v>0</v>
      </c>
      <c r="BL84" s="1077">
        <v>0</v>
      </c>
      <c r="BM84" s="1071">
        <v>0</v>
      </c>
      <c r="BN84" s="1041">
        <v>0</v>
      </c>
      <c r="BO84" s="1077">
        <v>0</v>
      </c>
      <c r="BP84" s="1062">
        <v>0</v>
      </c>
      <c r="BQ84" s="1078">
        <f t="shared" si="229"/>
        <v>0</v>
      </c>
      <c r="BR84" s="1062"/>
      <c r="BS84" s="1079">
        <f t="shared" si="230"/>
        <v>500</v>
      </c>
      <c r="BT84" s="284" t="s">
        <v>419</v>
      </c>
    </row>
    <row r="85" spans="1:72" ht="18" customHeight="1" x14ac:dyDescent="0.2">
      <c r="A85" s="1050">
        <v>54317</v>
      </c>
      <c r="B85" s="1051" t="s">
        <v>68</v>
      </c>
      <c r="C85" s="1065">
        <f>'F.P y DL'!C489</f>
        <v>0</v>
      </c>
      <c r="D85" s="1066">
        <f>'F.P y DL'!D489</f>
        <v>0</v>
      </c>
      <c r="E85" s="1066">
        <f>'F.P y DL'!E489</f>
        <v>0</v>
      </c>
      <c r="F85" s="1093">
        <f>'F.P y DL'!F489</f>
        <v>1800</v>
      </c>
      <c r="G85" s="1095">
        <f t="shared" si="198"/>
        <v>1800</v>
      </c>
      <c r="H85" s="1068">
        <f>'F.P y DL'!C52</f>
        <v>0</v>
      </c>
      <c r="I85" s="1069">
        <f>'F.P y DL'!D52</f>
        <v>0</v>
      </c>
      <c r="J85" s="1069">
        <f>'F.P y DL'!E52</f>
        <v>0</v>
      </c>
      <c r="K85" s="1069">
        <f>'F.P y DL'!F52</f>
        <v>0</v>
      </c>
      <c r="L85" s="1070">
        <f t="shared" si="216"/>
        <v>0</v>
      </c>
      <c r="M85" s="1062">
        <v>0</v>
      </c>
      <c r="N85" s="1071">
        <v>0</v>
      </c>
      <c r="O85" s="1071">
        <v>0</v>
      </c>
      <c r="P85" s="1071">
        <v>0</v>
      </c>
      <c r="Q85" s="1071">
        <v>0</v>
      </c>
      <c r="R85" s="1072">
        <f t="shared" si="225"/>
        <v>0</v>
      </c>
      <c r="S85" s="1065">
        <f>'F.P y DL'!W489</f>
        <v>0</v>
      </c>
      <c r="T85" s="1066">
        <f>'F.P y DL'!X489</f>
        <v>0</v>
      </c>
      <c r="U85" s="1066">
        <f>'F.P y DL'!Y489</f>
        <v>0</v>
      </c>
      <c r="V85" s="1093">
        <f>'F.P y DL'!Z489</f>
        <v>0</v>
      </c>
      <c r="W85" s="1095">
        <f t="shared" si="199"/>
        <v>0</v>
      </c>
      <c r="X85" s="1066">
        <f>'F.P y DL'!AA489</f>
        <v>0</v>
      </c>
      <c r="Y85" s="1066">
        <f>'F.P y DL'!AB489</f>
        <v>0</v>
      </c>
      <c r="Z85" s="1034">
        <f t="shared" si="200"/>
        <v>0</v>
      </c>
      <c r="AA85" s="1095">
        <f t="shared" si="226"/>
        <v>0</v>
      </c>
      <c r="AB85" s="1065">
        <f>'F.P y DL'!AF489</f>
        <v>0</v>
      </c>
      <c r="AC85" s="1066">
        <f>'F.P y DL'!AG489</f>
        <v>0</v>
      </c>
      <c r="AD85" s="1066">
        <f>'F.P y DL'!AH489</f>
        <v>0</v>
      </c>
      <c r="AE85" s="1093">
        <f>'F.P y DL'!AI489</f>
        <v>0</v>
      </c>
      <c r="AF85" s="1095">
        <f t="shared" si="217"/>
        <v>0</v>
      </c>
      <c r="AG85" s="1066">
        <f>'F.P y DL'!AJ489</f>
        <v>0</v>
      </c>
      <c r="AH85" s="1066">
        <f>'F.P y DL'!AK489</f>
        <v>0</v>
      </c>
      <c r="AI85" s="1034">
        <f t="shared" si="218"/>
        <v>0</v>
      </c>
      <c r="AJ85" s="1095">
        <f t="shared" si="188"/>
        <v>0</v>
      </c>
      <c r="AK85" s="1065">
        <f t="shared" si="219"/>
        <v>0</v>
      </c>
      <c r="AL85" s="1066">
        <f t="shared" si="220"/>
        <v>0</v>
      </c>
      <c r="AM85" s="1066">
        <f t="shared" si="221"/>
        <v>0</v>
      </c>
      <c r="AN85" s="1093">
        <f t="shared" si="222"/>
        <v>0</v>
      </c>
      <c r="AO85" s="1095">
        <f t="shared" si="223"/>
        <v>0</v>
      </c>
      <c r="AP85" s="1093"/>
      <c r="AQ85" s="1083">
        <v>0</v>
      </c>
      <c r="AR85" s="1082">
        <v>0</v>
      </c>
      <c r="AS85" s="1082">
        <v>0</v>
      </c>
      <c r="AT85" s="1082">
        <v>0</v>
      </c>
      <c r="AU85" s="1082">
        <v>0</v>
      </c>
      <c r="AV85" s="1067">
        <f t="shared" si="187"/>
        <v>0</v>
      </c>
      <c r="AW85" s="1055">
        <f t="shared" si="227"/>
        <v>0</v>
      </c>
      <c r="AX85" s="1071">
        <v>0</v>
      </c>
      <c r="AY85" s="1071">
        <v>0</v>
      </c>
      <c r="AZ85" s="1071">
        <v>0</v>
      </c>
      <c r="BA85" s="1076">
        <f t="shared" si="224"/>
        <v>0</v>
      </c>
      <c r="BB85" s="1066">
        <v>0</v>
      </c>
      <c r="BC85" s="1066">
        <v>0</v>
      </c>
      <c r="BD85" s="1066">
        <v>0</v>
      </c>
      <c r="BE85" s="1076">
        <f t="shared" si="228"/>
        <v>0</v>
      </c>
      <c r="BF85" s="1077">
        <v>0</v>
      </c>
      <c r="BG85" s="1071">
        <v>0</v>
      </c>
      <c r="BH85" s="1076">
        <v>0</v>
      </c>
      <c r="BI85" s="1077">
        <v>0</v>
      </c>
      <c r="BJ85" s="1071">
        <v>0</v>
      </c>
      <c r="BK85" s="1041">
        <v>0</v>
      </c>
      <c r="BL85" s="1077">
        <v>0</v>
      </c>
      <c r="BM85" s="1071">
        <v>0</v>
      </c>
      <c r="BN85" s="1041">
        <v>0</v>
      </c>
      <c r="BO85" s="1077">
        <v>0</v>
      </c>
      <c r="BP85" s="1062">
        <v>0</v>
      </c>
      <c r="BQ85" s="1078">
        <f t="shared" si="229"/>
        <v>0</v>
      </c>
      <c r="BR85" s="1062"/>
      <c r="BS85" s="1079">
        <f t="shared" si="230"/>
        <v>1800</v>
      </c>
      <c r="BT85" s="284" t="s">
        <v>419</v>
      </c>
    </row>
    <row r="86" spans="1:72" ht="18" customHeight="1" x14ac:dyDescent="0.2">
      <c r="A86" s="1050">
        <v>54399</v>
      </c>
      <c r="B86" s="1051" t="s">
        <v>69</v>
      </c>
      <c r="C86" s="1065">
        <f>'F.P y DL'!C490</f>
        <v>54000</v>
      </c>
      <c r="D86" s="1066">
        <f>'F.P y DL'!D490</f>
        <v>0</v>
      </c>
      <c r="E86" s="1066">
        <f>'F.P y DL'!E490</f>
        <v>0</v>
      </c>
      <c r="F86" s="1093">
        <f>'F.P y DL'!F490</f>
        <v>18000</v>
      </c>
      <c r="G86" s="1095">
        <f t="shared" si="198"/>
        <v>72000</v>
      </c>
      <c r="H86" s="1068">
        <f>'F.P y DL'!C53</f>
        <v>0</v>
      </c>
      <c r="I86" s="1069">
        <f>'F.P y DL'!D53</f>
        <v>0</v>
      </c>
      <c r="J86" s="1069">
        <f>'F.P y DL'!E53</f>
        <v>0</v>
      </c>
      <c r="K86" s="1069">
        <f>'F.P y DL'!F53</f>
        <v>0</v>
      </c>
      <c r="L86" s="1070">
        <f t="shared" si="216"/>
        <v>0</v>
      </c>
      <c r="M86" s="1062">
        <v>0</v>
      </c>
      <c r="N86" s="1071">
        <v>0</v>
      </c>
      <c r="O86" s="1071">
        <v>0</v>
      </c>
      <c r="P86" s="1071">
        <v>0</v>
      </c>
      <c r="Q86" s="1071">
        <v>0</v>
      </c>
      <c r="R86" s="1072">
        <f t="shared" si="225"/>
        <v>0</v>
      </c>
      <c r="S86" s="1065">
        <f>'F.P y DL'!W490</f>
        <v>0</v>
      </c>
      <c r="T86" s="1065">
        <f>'F.P y DL'!X490</f>
        <v>0</v>
      </c>
      <c r="U86" s="1065">
        <f>'F.P y DL'!Y490</f>
        <v>0</v>
      </c>
      <c r="V86" s="1093">
        <f>'F.P y DL'!Z490</f>
        <v>0</v>
      </c>
      <c r="W86" s="1095">
        <f t="shared" si="199"/>
        <v>0</v>
      </c>
      <c r="X86" s="1065">
        <f>'F.P y DL'!AA490</f>
        <v>0</v>
      </c>
      <c r="Y86" s="1065">
        <f>'F.P y DL'!AB490</f>
        <v>0</v>
      </c>
      <c r="Z86" s="1034">
        <f t="shared" si="200"/>
        <v>0</v>
      </c>
      <c r="AA86" s="1095">
        <f t="shared" si="226"/>
        <v>0</v>
      </c>
      <c r="AB86" s="1065">
        <f>'F.P y DL'!AF490</f>
        <v>0</v>
      </c>
      <c r="AC86" s="1065">
        <f>'F.P y DL'!AG490</f>
        <v>0</v>
      </c>
      <c r="AD86" s="1065">
        <f>'F.P y DL'!AH490</f>
        <v>0</v>
      </c>
      <c r="AE86" s="1093">
        <f>'F.P y DL'!AI490</f>
        <v>0</v>
      </c>
      <c r="AF86" s="1095">
        <f t="shared" si="217"/>
        <v>0</v>
      </c>
      <c r="AG86" s="1065">
        <f>'F.P y DL'!AJ490</f>
        <v>0</v>
      </c>
      <c r="AH86" s="1065">
        <f>'F.P y DL'!AK490</f>
        <v>0</v>
      </c>
      <c r="AI86" s="1034">
        <f t="shared" si="218"/>
        <v>0</v>
      </c>
      <c r="AJ86" s="1095">
        <f t="shared" si="188"/>
        <v>0</v>
      </c>
      <c r="AK86" s="1065">
        <f t="shared" si="219"/>
        <v>0</v>
      </c>
      <c r="AL86" s="1065">
        <f t="shared" si="220"/>
        <v>0</v>
      </c>
      <c r="AM86" s="1065">
        <f t="shared" si="221"/>
        <v>0</v>
      </c>
      <c r="AN86" s="1093">
        <f t="shared" si="222"/>
        <v>0</v>
      </c>
      <c r="AO86" s="1095">
        <f t="shared" si="223"/>
        <v>0</v>
      </c>
      <c r="AP86" s="1073"/>
      <c r="AQ86" s="1083">
        <v>0</v>
      </c>
      <c r="AR86" s="1082">
        <v>0</v>
      </c>
      <c r="AS86" s="1082">
        <v>0</v>
      </c>
      <c r="AT86" s="1082">
        <v>0</v>
      </c>
      <c r="AU86" s="1082">
        <f>'AG3'!L47</f>
        <v>13000</v>
      </c>
      <c r="AV86" s="1067">
        <f t="shared" si="187"/>
        <v>13000</v>
      </c>
      <c r="AW86" s="1055">
        <f t="shared" si="227"/>
        <v>13000</v>
      </c>
      <c r="AX86" s="1071">
        <v>0</v>
      </c>
      <c r="AY86" s="1071">
        <v>0</v>
      </c>
      <c r="AZ86" s="1071">
        <v>0</v>
      </c>
      <c r="BA86" s="1076">
        <f t="shared" si="224"/>
        <v>0</v>
      </c>
      <c r="BB86" s="1074">
        <v>0</v>
      </c>
      <c r="BC86" s="1066">
        <v>0</v>
      </c>
      <c r="BD86" s="1066">
        <v>0</v>
      </c>
      <c r="BE86" s="1076">
        <f t="shared" si="228"/>
        <v>0</v>
      </c>
      <c r="BF86" s="1077">
        <v>0</v>
      </c>
      <c r="BG86" s="1071">
        <v>0</v>
      </c>
      <c r="BH86" s="1076">
        <v>0</v>
      </c>
      <c r="BI86" s="1077">
        <v>0</v>
      </c>
      <c r="BJ86" s="1071">
        <v>0</v>
      </c>
      <c r="BK86" s="1041">
        <v>0</v>
      </c>
      <c r="BL86" s="1077">
        <v>0</v>
      </c>
      <c r="BM86" s="1071">
        <v>0</v>
      </c>
      <c r="BN86" s="1041">
        <v>0</v>
      </c>
      <c r="BO86" s="1077">
        <v>0</v>
      </c>
      <c r="BP86" s="1062">
        <v>0</v>
      </c>
      <c r="BQ86" s="1078">
        <f t="shared" si="229"/>
        <v>0</v>
      </c>
      <c r="BR86" s="1062"/>
      <c r="BS86" s="1079">
        <f t="shared" si="230"/>
        <v>85000</v>
      </c>
      <c r="BT86" s="284" t="s">
        <v>419</v>
      </c>
    </row>
    <row r="87" spans="1:72" s="140" customFormat="1" ht="18" customHeight="1" x14ac:dyDescent="0.2">
      <c r="A87" s="1014">
        <v>544</v>
      </c>
      <c r="B87" s="1080" t="s">
        <v>70</v>
      </c>
      <c r="C87" s="1016">
        <f>SUM(C88:C91)</f>
        <v>2850</v>
      </c>
      <c r="D87" s="1017">
        <f>SUM(D88:D91)</f>
        <v>100</v>
      </c>
      <c r="E87" s="1017">
        <f>SUM(E88:E91)</f>
        <v>100</v>
      </c>
      <c r="F87" s="1096">
        <f>SUM(F88:F91)</f>
        <v>200</v>
      </c>
      <c r="G87" s="1001">
        <f>SUM(C87:F87)</f>
        <v>3250</v>
      </c>
      <c r="H87" s="1060">
        <f>SUM(H88:H91)</f>
        <v>0</v>
      </c>
      <c r="I87" s="1019">
        <f>SUM(I88:I90)</f>
        <v>0</v>
      </c>
      <c r="J87" s="1019">
        <f>SUM(J88:J90)</f>
        <v>0</v>
      </c>
      <c r="K87" s="1019">
        <f>SUM(K88:K90)</f>
        <v>0</v>
      </c>
      <c r="L87" s="1021">
        <f>SUM(H87:K87)</f>
        <v>0</v>
      </c>
      <c r="M87" s="1028">
        <v>0</v>
      </c>
      <c r="N87" s="1022">
        <v>0</v>
      </c>
      <c r="O87" s="1022">
        <v>0</v>
      </c>
      <c r="P87" s="1022">
        <v>0</v>
      </c>
      <c r="Q87" s="1022">
        <v>0</v>
      </c>
      <c r="R87" s="1023">
        <f t="shared" si="225"/>
        <v>0</v>
      </c>
      <c r="S87" s="1016">
        <f>SUM(S88:S91)</f>
        <v>0</v>
      </c>
      <c r="T87" s="1017">
        <f>SUM(T88:T91)</f>
        <v>0</v>
      </c>
      <c r="U87" s="1017">
        <f>SUM(U88:U91)</f>
        <v>0</v>
      </c>
      <c r="V87" s="1096">
        <f>SUM(V88:V91)</f>
        <v>0</v>
      </c>
      <c r="W87" s="1001">
        <f>SUM(S87:V87)</f>
        <v>0</v>
      </c>
      <c r="X87" s="1017">
        <f>SUM(X88:X91)</f>
        <v>0</v>
      </c>
      <c r="Y87" s="1017">
        <f>SUM(Y88:Y91)</f>
        <v>0</v>
      </c>
      <c r="Z87" s="1001">
        <f>SUM(R87:U87)</f>
        <v>0</v>
      </c>
      <c r="AA87" s="1001">
        <f t="shared" si="226"/>
        <v>0</v>
      </c>
      <c r="AB87" s="1016">
        <f>SUM(AB88:AB91)</f>
        <v>0</v>
      </c>
      <c r="AC87" s="1017">
        <f>SUM(AC88:AC91)</f>
        <v>0</v>
      </c>
      <c r="AD87" s="1017">
        <f>SUM(AD88:AD91)</f>
        <v>0</v>
      </c>
      <c r="AE87" s="1096">
        <f>SUM(AE88:AE91)</f>
        <v>0</v>
      </c>
      <c r="AF87" s="1001">
        <f>SUM(AB87:AE87)</f>
        <v>0</v>
      </c>
      <c r="AG87" s="1017">
        <f>SUM(AG88:AG91)</f>
        <v>0</v>
      </c>
      <c r="AH87" s="1017">
        <f>SUM(AH88:AH91)</f>
        <v>0</v>
      </c>
      <c r="AI87" s="1001">
        <f>SUM(AA87:AD87)</f>
        <v>0</v>
      </c>
      <c r="AJ87" s="1001">
        <f t="shared" si="188"/>
        <v>0</v>
      </c>
      <c r="AK87" s="1016">
        <f>SUM(AK88:AK91)</f>
        <v>0</v>
      </c>
      <c r="AL87" s="1017">
        <f>SUM(AL88:AL91)</f>
        <v>0</v>
      </c>
      <c r="AM87" s="1017">
        <f>SUM(AM88:AM91)</f>
        <v>0</v>
      </c>
      <c r="AN87" s="1096">
        <f>SUM(AN88:AN91)</f>
        <v>0</v>
      </c>
      <c r="AO87" s="1001">
        <f>SUM(AK87:AN87)</f>
        <v>0</v>
      </c>
      <c r="AP87" s="1009"/>
      <c r="AQ87" s="1024">
        <f>SUM(AQ88:AQ91)</f>
        <v>0</v>
      </c>
      <c r="AR87" s="1017">
        <f t="shared" ref="AR87:AT87" si="231">SUM(AR88:AR91)</f>
        <v>0</v>
      </c>
      <c r="AS87" s="1017">
        <f t="shared" si="231"/>
        <v>0</v>
      </c>
      <c r="AT87" s="1017">
        <f t="shared" si="231"/>
        <v>0</v>
      </c>
      <c r="AU87" s="1017">
        <f>SUM(AU88:AU91)</f>
        <v>0</v>
      </c>
      <c r="AV87" s="1090">
        <f>SUM(AJ87:AM87)</f>
        <v>0</v>
      </c>
      <c r="AW87" s="1059">
        <f t="shared" si="227"/>
        <v>0</v>
      </c>
      <c r="AX87" s="1022">
        <v>0</v>
      </c>
      <c r="AY87" s="1022">
        <v>0</v>
      </c>
      <c r="AZ87" s="1022">
        <v>0</v>
      </c>
      <c r="BA87" s="1027">
        <f>M87+N87+O87+AX87+AZ87</f>
        <v>0</v>
      </c>
      <c r="BB87" s="1017">
        <f>SUM(BB88:BB91)</f>
        <v>0</v>
      </c>
      <c r="BC87" s="1017">
        <f>SUM(BC88:BC91)</f>
        <v>0</v>
      </c>
      <c r="BD87" s="1000">
        <f>SUM(AV87:BC87)</f>
        <v>0</v>
      </c>
      <c r="BE87" s="1027">
        <f>SUM(BB87:BD87)</f>
        <v>0</v>
      </c>
      <c r="BF87" s="1026">
        <v>0</v>
      </c>
      <c r="BG87" s="1022">
        <v>0</v>
      </c>
      <c r="BH87" s="1027">
        <v>0</v>
      </c>
      <c r="BI87" s="1026">
        <v>0</v>
      </c>
      <c r="BJ87" s="1022">
        <v>0</v>
      </c>
      <c r="BK87" s="1023">
        <v>0</v>
      </c>
      <c r="BL87" s="1026">
        <v>0</v>
      </c>
      <c r="BM87" s="1022">
        <v>0</v>
      </c>
      <c r="BN87" s="1023">
        <v>0</v>
      </c>
      <c r="BO87" s="1026">
        <v>0</v>
      </c>
      <c r="BP87" s="1028">
        <v>0</v>
      </c>
      <c r="BQ87" s="1008">
        <f t="shared" si="229"/>
        <v>0</v>
      </c>
      <c r="BR87" s="1028"/>
      <c r="BS87" s="1013">
        <f t="shared" si="230"/>
        <v>3250</v>
      </c>
      <c r="BT87" s="284" t="s">
        <v>419</v>
      </c>
    </row>
    <row r="88" spans="1:72" ht="18" customHeight="1" x14ac:dyDescent="0.2">
      <c r="A88" s="1050">
        <v>54401</v>
      </c>
      <c r="B88" s="1051" t="s">
        <v>71</v>
      </c>
      <c r="C88" s="1065">
        <f>'F.P y DL'!C492</f>
        <v>50</v>
      </c>
      <c r="D88" s="1066">
        <f>'F.P y DL'!D492</f>
        <v>50</v>
      </c>
      <c r="E88" s="1066">
        <f>'F.P y DL'!E492</f>
        <v>50</v>
      </c>
      <c r="F88" s="1066">
        <f>'F.P y DL'!F492</f>
        <v>50</v>
      </c>
      <c r="G88" s="1067">
        <f t="shared" si="198"/>
        <v>200</v>
      </c>
      <c r="H88" s="1068">
        <f>'F.P y DL'!C55</f>
        <v>0</v>
      </c>
      <c r="I88" s="1069">
        <f>'F.P y DL'!D55</f>
        <v>0</v>
      </c>
      <c r="J88" s="1069">
        <f>'F.P y DL'!E55</f>
        <v>0</v>
      </c>
      <c r="K88" s="1069">
        <f>'F.P y DL'!F55</f>
        <v>0</v>
      </c>
      <c r="L88" s="1070">
        <f>SUM(H88:K88)</f>
        <v>0</v>
      </c>
      <c r="M88" s="1062">
        <v>0</v>
      </c>
      <c r="N88" s="1071">
        <v>0</v>
      </c>
      <c r="O88" s="1071">
        <v>0</v>
      </c>
      <c r="P88" s="1071">
        <v>0</v>
      </c>
      <c r="Q88" s="1071">
        <v>0</v>
      </c>
      <c r="R88" s="1072">
        <f t="shared" si="225"/>
        <v>0</v>
      </c>
      <c r="S88" s="1065">
        <f>'F.P y DL'!W492</f>
        <v>0</v>
      </c>
      <c r="T88" s="1066">
        <f>'F.P y DL'!X492</f>
        <v>0</v>
      </c>
      <c r="U88" s="1066">
        <f>'F.P y DL'!Y492</f>
        <v>0</v>
      </c>
      <c r="V88" s="1066">
        <f>'F.P y DL'!Z492</f>
        <v>0</v>
      </c>
      <c r="W88" s="1067">
        <f t="shared" si="199"/>
        <v>0</v>
      </c>
      <c r="X88" s="1066">
        <f>'F.P y DL'!AA492</f>
        <v>0</v>
      </c>
      <c r="Y88" s="1066">
        <f>'F.P y DL'!AB492</f>
        <v>0</v>
      </c>
      <c r="Z88" s="1034">
        <f t="shared" si="200"/>
        <v>0</v>
      </c>
      <c r="AA88" s="1067">
        <f t="shared" si="226"/>
        <v>0</v>
      </c>
      <c r="AB88" s="1065">
        <f>'F.P y DL'!AF492</f>
        <v>0</v>
      </c>
      <c r="AC88" s="1066">
        <f>'F.P y DL'!AG492</f>
        <v>0</v>
      </c>
      <c r="AD88" s="1066">
        <f>'F.P y DL'!AH492</f>
        <v>0</v>
      </c>
      <c r="AE88" s="1066">
        <f>'F.P y DL'!AI492</f>
        <v>0</v>
      </c>
      <c r="AF88" s="1067">
        <f t="shared" ref="AF88:AF89" si="232">SUM(AB88:AE88)</f>
        <v>0</v>
      </c>
      <c r="AG88" s="1066">
        <f>'F.P y DL'!AJ492</f>
        <v>0</v>
      </c>
      <c r="AH88" s="1066">
        <f>'F.P y DL'!AK492</f>
        <v>0</v>
      </c>
      <c r="AI88" s="1034">
        <f t="shared" ref="AI88:AI91" si="233">SUM(AG88:AH88)</f>
        <v>0</v>
      </c>
      <c r="AJ88" s="1067">
        <f t="shared" si="188"/>
        <v>0</v>
      </c>
      <c r="AK88" s="1065">
        <f t="shared" ref="AK88:AK91" si="234">S88+AB88</f>
        <v>0</v>
      </c>
      <c r="AL88" s="1066">
        <f t="shared" ref="AL88:AL91" si="235">T88+AC88</f>
        <v>0</v>
      </c>
      <c r="AM88" s="1066">
        <f t="shared" ref="AM88:AM91" si="236">U88+AD88</f>
        <v>0</v>
      </c>
      <c r="AN88" s="1066">
        <f t="shared" ref="AN88:AN91" si="237">V88+AE88</f>
        <v>0</v>
      </c>
      <c r="AO88" s="1067">
        <f t="shared" ref="AO88:AO89" si="238">SUM(AK88:AN88)</f>
        <v>0</v>
      </c>
      <c r="AP88" s="1073"/>
      <c r="AQ88" s="1083">
        <v>0</v>
      </c>
      <c r="AR88" s="1082">
        <v>0</v>
      </c>
      <c r="AS88" s="1082">
        <v>0</v>
      </c>
      <c r="AT88" s="1082">
        <v>0</v>
      </c>
      <c r="AU88" s="1082">
        <v>0</v>
      </c>
      <c r="AV88" s="1094">
        <f t="shared" ref="AV88:AV91" si="239">SUM(AQ88:AU88)</f>
        <v>0</v>
      </c>
      <c r="AW88" s="1055">
        <f t="shared" si="227"/>
        <v>0</v>
      </c>
      <c r="AX88" s="1071">
        <v>0</v>
      </c>
      <c r="AY88" s="1071">
        <v>0</v>
      </c>
      <c r="AZ88" s="1071">
        <v>0</v>
      </c>
      <c r="BA88" s="1076">
        <f t="shared" ref="BA88:BA91" si="240">SUM(AX88:AZ88)</f>
        <v>0</v>
      </c>
      <c r="BB88" s="1066">
        <v>0</v>
      </c>
      <c r="BC88" s="1066">
        <v>0</v>
      </c>
      <c r="BD88" s="1066">
        <v>0</v>
      </c>
      <c r="BE88" s="1076">
        <f t="shared" si="228"/>
        <v>0</v>
      </c>
      <c r="BF88" s="1077">
        <v>0</v>
      </c>
      <c r="BG88" s="1071">
        <v>0</v>
      </c>
      <c r="BH88" s="1076">
        <v>0</v>
      </c>
      <c r="BI88" s="1077">
        <v>0</v>
      </c>
      <c r="BJ88" s="1071">
        <v>0</v>
      </c>
      <c r="BK88" s="1041">
        <v>0</v>
      </c>
      <c r="BL88" s="1077">
        <v>0</v>
      </c>
      <c r="BM88" s="1071">
        <v>0</v>
      </c>
      <c r="BN88" s="1041">
        <v>0</v>
      </c>
      <c r="BO88" s="1077">
        <v>0</v>
      </c>
      <c r="BP88" s="1062">
        <v>0</v>
      </c>
      <c r="BQ88" s="1078">
        <f t="shared" si="229"/>
        <v>0</v>
      </c>
      <c r="BR88" s="1062"/>
      <c r="BS88" s="1079">
        <f t="shared" si="230"/>
        <v>200</v>
      </c>
      <c r="BT88" s="284" t="s">
        <v>419</v>
      </c>
    </row>
    <row r="89" spans="1:72" ht="18" customHeight="1" x14ac:dyDescent="0.2">
      <c r="A89" s="1050">
        <v>54402</v>
      </c>
      <c r="B89" s="1051" t="s">
        <v>72</v>
      </c>
      <c r="C89" s="1065">
        <f>'F.P y DL'!C493</f>
        <v>1100</v>
      </c>
      <c r="D89" s="1066">
        <v>0</v>
      </c>
      <c r="E89" s="1093">
        <v>0</v>
      </c>
      <c r="F89" s="1093">
        <v>0</v>
      </c>
      <c r="G89" s="1095">
        <f t="shared" si="198"/>
        <v>1100</v>
      </c>
      <c r="H89" s="1068">
        <f>'F.P y DL'!C56</f>
        <v>0</v>
      </c>
      <c r="I89" s="1069">
        <f>'F.P y DL'!D56</f>
        <v>0</v>
      </c>
      <c r="J89" s="1069">
        <f>'F.P y DL'!E56</f>
        <v>0</v>
      </c>
      <c r="K89" s="1069">
        <f>'F.P y DL'!F56</f>
        <v>0</v>
      </c>
      <c r="L89" s="1070">
        <f>SUM(H89:J89)</f>
        <v>0</v>
      </c>
      <c r="M89" s="1062">
        <v>0</v>
      </c>
      <c r="N89" s="1071">
        <v>0</v>
      </c>
      <c r="O89" s="1071">
        <v>0</v>
      </c>
      <c r="P89" s="1071">
        <v>0</v>
      </c>
      <c r="Q89" s="1071">
        <v>0</v>
      </c>
      <c r="R89" s="1072">
        <f t="shared" si="225"/>
        <v>0</v>
      </c>
      <c r="S89" s="1065">
        <v>0</v>
      </c>
      <c r="T89" s="1066">
        <v>0</v>
      </c>
      <c r="U89" s="1093">
        <v>0</v>
      </c>
      <c r="V89" s="1093">
        <v>0</v>
      </c>
      <c r="W89" s="1095">
        <f t="shared" si="199"/>
        <v>0</v>
      </c>
      <c r="X89" s="1093">
        <v>0</v>
      </c>
      <c r="Y89" s="1093">
        <v>0</v>
      </c>
      <c r="Z89" s="1034">
        <f t="shared" si="200"/>
        <v>0</v>
      </c>
      <c r="AA89" s="1095">
        <f t="shared" si="226"/>
        <v>0</v>
      </c>
      <c r="AB89" s="1065">
        <v>0</v>
      </c>
      <c r="AC89" s="1066">
        <v>0</v>
      </c>
      <c r="AD89" s="1093">
        <v>0</v>
      </c>
      <c r="AE89" s="1093">
        <v>0</v>
      </c>
      <c r="AF89" s="1095">
        <f t="shared" si="232"/>
        <v>0</v>
      </c>
      <c r="AG89" s="1093">
        <v>0</v>
      </c>
      <c r="AH89" s="1093">
        <v>0</v>
      </c>
      <c r="AI89" s="1034">
        <f t="shared" si="233"/>
        <v>0</v>
      </c>
      <c r="AJ89" s="1095">
        <f t="shared" si="188"/>
        <v>0</v>
      </c>
      <c r="AK89" s="1065">
        <f t="shared" si="234"/>
        <v>0</v>
      </c>
      <c r="AL89" s="1066">
        <f t="shared" si="235"/>
        <v>0</v>
      </c>
      <c r="AM89" s="1093">
        <f t="shared" si="236"/>
        <v>0</v>
      </c>
      <c r="AN89" s="1093">
        <f t="shared" si="237"/>
        <v>0</v>
      </c>
      <c r="AO89" s="1095">
        <f t="shared" si="238"/>
        <v>0</v>
      </c>
      <c r="AP89" s="1093"/>
      <c r="AQ89" s="1083">
        <v>0</v>
      </c>
      <c r="AR89" s="1082">
        <v>0</v>
      </c>
      <c r="AS89" s="1082">
        <v>0</v>
      </c>
      <c r="AT89" s="1082">
        <v>0</v>
      </c>
      <c r="AU89" s="1082">
        <v>0</v>
      </c>
      <c r="AV89" s="1094">
        <f t="shared" si="239"/>
        <v>0</v>
      </c>
      <c r="AW89" s="1055">
        <f t="shared" si="227"/>
        <v>0</v>
      </c>
      <c r="AX89" s="1071">
        <v>0</v>
      </c>
      <c r="AY89" s="1071">
        <v>0</v>
      </c>
      <c r="AZ89" s="1071">
        <v>0</v>
      </c>
      <c r="BA89" s="1076">
        <f t="shared" si="240"/>
        <v>0</v>
      </c>
      <c r="BB89" s="1066">
        <v>0</v>
      </c>
      <c r="BC89" s="1066">
        <v>0</v>
      </c>
      <c r="BD89" s="1066">
        <v>0</v>
      </c>
      <c r="BE89" s="1076">
        <f t="shared" si="228"/>
        <v>0</v>
      </c>
      <c r="BF89" s="1077">
        <v>0</v>
      </c>
      <c r="BG89" s="1071">
        <v>0</v>
      </c>
      <c r="BH89" s="1076">
        <v>0</v>
      </c>
      <c r="BI89" s="1077">
        <v>0</v>
      </c>
      <c r="BJ89" s="1071">
        <v>0</v>
      </c>
      <c r="BK89" s="1041">
        <v>0</v>
      </c>
      <c r="BL89" s="1077">
        <v>0</v>
      </c>
      <c r="BM89" s="1071">
        <v>0</v>
      </c>
      <c r="BN89" s="1041">
        <v>0</v>
      </c>
      <c r="BO89" s="1077">
        <v>0</v>
      </c>
      <c r="BP89" s="1062">
        <v>0</v>
      </c>
      <c r="BQ89" s="1078">
        <f t="shared" si="229"/>
        <v>0</v>
      </c>
      <c r="BR89" s="1062"/>
      <c r="BS89" s="1079">
        <f t="shared" si="230"/>
        <v>1100</v>
      </c>
      <c r="BT89" s="284" t="s">
        <v>419</v>
      </c>
    </row>
    <row r="90" spans="1:72" ht="18" customHeight="1" x14ac:dyDescent="0.2">
      <c r="A90" s="1050">
        <v>54403</v>
      </c>
      <c r="B90" s="1051" t="s">
        <v>73</v>
      </c>
      <c r="C90" s="1065">
        <f>'F.P y DL'!C494</f>
        <v>200</v>
      </c>
      <c r="D90" s="1066">
        <f>'F.P y DL'!D494</f>
        <v>50</v>
      </c>
      <c r="E90" s="1093">
        <f>'F.P y DL'!E494</f>
        <v>50</v>
      </c>
      <c r="F90" s="1093">
        <f>'F.P y DL'!F494</f>
        <v>150</v>
      </c>
      <c r="G90" s="1095">
        <f>SUM(C90:F90)</f>
        <v>450</v>
      </c>
      <c r="H90" s="1068">
        <f>'F.P y DL'!C57</f>
        <v>0</v>
      </c>
      <c r="I90" s="1069">
        <f>'F.P y DL'!D57</f>
        <v>0</v>
      </c>
      <c r="J90" s="1069">
        <f>'F.P y DL'!E57</f>
        <v>0</v>
      </c>
      <c r="K90" s="1069">
        <f>'F.P y DL'!F57</f>
        <v>0</v>
      </c>
      <c r="L90" s="1070">
        <f>SUM(H90:K90)</f>
        <v>0</v>
      </c>
      <c r="M90" s="1062">
        <v>0</v>
      </c>
      <c r="N90" s="1071">
        <v>0</v>
      </c>
      <c r="O90" s="1071">
        <v>0</v>
      </c>
      <c r="P90" s="1071">
        <v>0</v>
      </c>
      <c r="Q90" s="1071">
        <v>0</v>
      </c>
      <c r="R90" s="1072">
        <f t="shared" si="225"/>
        <v>0</v>
      </c>
      <c r="S90" s="1065">
        <f>'F.P y DL'!W494</f>
        <v>0</v>
      </c>
      <c r="T90" s="1066">
        <f>'F.P y DL'!X494</f>
        <v>0</v>
      </c>
      <c r="U90" s="1093">
        <f>'F.P y DL'!Y494</f>
        <v>0</v>
      </c>
      <c r="V90" s="1093">
        <f>'F.P y DL'!Z494</f>
        <v>0</v>
      </c>
      <c r="W90" s="1095">
        <f>SUM(S90:V90)</f>
        <v>0</v>
      </c>
      <c r="X90" s="1093">
        <f>'F.P y DL'!AA494</f>
        <v>0</v>
      </c>
      <c r="Y90" s="1093">
        <f>'F.P y DL'!AB494</f>
        <v>0</v>
      </c>
      <c r="Z90" s="1034">
        <f t="shared" si="200"/>
        <v>0</v>
      </c>
      <c r="AA90" s="1095">
        <f t="shared" si="226"/>
        <v>0</v>
      </c>
      <c r="AB90" s="1065">
        <f>'F.P y DL'!AF494</f>
        <v>0</v>
      </c>
      <c r="AC90" s="1066">
        <f>'F.P y DL'!AG494</f>
        <v>0</v>
      </c>
      <c r="AD90" s="1093">
        <f>'F.P y DL'!AH494</f>
        <v>0</v>
      </c>
      <c r="AE90" s="1093">
        <f>'F.P y DL'!AI494</f>
        <v>0</v>
      </c>
      <c r="AF90" s="1095">
        <f>SUM(AB90:AE90)</f>
        <v>0</v>
      </c>
      <c r="AG90" s="1093">
        <f>'F.P y DL'!AJ494</f>
        <v>0</v>
      </c>
      <c r="AH90" s="1093">
        <f>'F.P y DL'!AK494</f>
        <v>0</v>
      </c>
      <c r="AI90" s="1034">
        <f t="shared" si="233"/>
        <v>0</v>
      </c>
      <c r="AJ90" s="1095">
        <f t="shared" si="188"/>
        <v>0</v>
      </c>
      <c r="AK90" s="1065">
        <f t="shared" si="234"/>
        <v>0</v>
      </c>
      <c r="AL90" s="1066">
        <f t="shared" si="235"/>
        <v>0</v>
      </c>
      <c r="AM90" s="1093">
        <f t="shared" si="236"/>
        <v>0</v>
      </c>
      <c r="AN90" s="1093">
        <f t="shared" si="237"/>
        <v>0</v>
      </c>
      <c r="AO90" s="1095">
        <f>SUM(AK90:AN90)</f>
        <v>0</v>
      </c>
      <c r="AP90" s="1093"/>
      <c r="AQ90" s="1083">
        <v>0</v>
      </c>
      <c r="AR90" s="1082">
        <v>0</v>
      </c>
      <c r="AS90" s="1082">
        <v>0</v>
      </c>
      <c r="AT90" s="1082">
        <v>0</v>
      </c>
      <c r="AU90" s="1082">
        <v>0</v>
      </c>
      <c r="AV90" s="1094">
        <f t="shared" si="239"/>
        <v>0</v>
      </c>
      <c r="AW90" s="1055">
        <f t="shared" si="227"/>
        <v>0</v>
      </c>
      <c r="AX90" s="1071">
        <v>0</v>
      </c>
      <c r="AY90" s="1071">
        <v>0</v>
      </c>
      <c r="AZ90" s="1071">
        <v>0</v>
      </c>
      <c r="BA90" s="1076">
        <f t="shared" si="240"/>
        <v>0</v>
      </c>
      <c r="BB90" s="1066">
        <v>0</v>
      </c>
      <c r="BC90" s="1066">
        <v>0</v>
      </c>
      <c r="BD90" s="1066">
        <v>0</v>
      </c>
      <c r="BE90" s="1076">
        <f t="shared" si="228"/>
        <v>0</v>
      </c>
      <c r="BF90" s="1077">
        <v>0</v>
      </c>
      <c r="BG90" s="1071">
        <v>0</v>
      </c>
      <c r="BH90" s="1076">
        <v>0</v>
      </c>
      <c r="BI90" s="1077">
        <v>0</v>
      </c>
      <c r="BJ90" s="1071">
        <v>0</v>
      </c>
      <c r="BK90" s="1041">
        <v>0</v>
      </c>
      <c r="BL90" s="1077">
        <v>0</v>
      </c>
      <c r="BM90" s="1071">
        <v>0</v>
      </c>
      <c r="BN90" s="1041">
        <v>0</v>
      </c>
      <c r="BO90" s="1077">
        <v>0</v>
      </c>
      <c r="BP90" s="1062">
        <v>0</v>
      </c>
      <c r="BQ90" s="1078">
        <f t="shared" si="229"/>
        <v>0</v>
      </c>
      <c r="BR90" s="1062"/>
      <c r="BS90" s="1079">
        <f t="shared" si="230"/>
        <v>450</v>
      </c>
      <c r="BT90" s="284" t="s">
        <v>419</v>
      </c>
    </row>
    <row r="91" spans="1:72" ht="18" customHeight="1" x14ac:dyDescent="0.2">
      <c r="A91" s="1050">
        <v>54404</v>
      </c>
      <c r="B91" s="1051" t="s">
        <v>74</v>
      </c>
      <c r="C91" s="1065">
        <f>'F.P y DL'!C495</f>
        <v>1500</v>
      </c>
      <c r="D91" s="1066">
        <v>0</v>
      </c>
      <c r="E91" s="1093">
        <v>0</v>
      </c>
      <c r="F91" s="1093">
        <v>0</v>
      </c>
      <c r="G91" s="1095">
        <f t="shared" si="198"/>
        <v>1500</v>
      </c>
      <c r="H91" s="1068">
        <f>'F.P y DL'!C58</f>
        <v>0</v>
      </c>
      <c r="I91" s="1069">
        <f>'F.P y DL'!D42</f>
        <v>0</v>
      </c>
      <c r="J91" s="1069">
        <f>'F.P y DL'!E42</f>
        <v>0</v>
      </c>
      <c r="K91" s="1069">
        <f>'F.P y DL'!F42</f>
        <v>0</v>
      </c>
      <c r="L91" s="1070">
        <f t="shared" ref="L91:L104" si="241">SUM(H91:J91)</f>
        <v>0</v>
      </c>
      <c r="M91" s="1062">
        <v>0</v>
      </c>
      <c r="N91" s="1071">
        <v>0</v>
      </c>
      <c r="O91" s="1071">
        <v>0</v>
      </c>
      <c r="P91" s="1071">
        <v>0</v>
      </c>
      <c r="Q91" s="1071">
        <v>0</v>
      </c>
      <c r="R91" s="1072">
        <f t="shared" si="225"/>
        <v>0</v>
      </c>
      <c r="S91" s="1065">
        <v>0</v>
      </c>
      <c r="T91" s="1066">
        <v>0</v>
      </c>
      <c r="U91" s="1093">
        <v>0</v>
      </c>
      <c r="V91" s="1093">
        <v>0</v>
      </c>
      <c r="W91" s="1095">
        <f t="shared" si="199"/>
        <v>0</v>
      </c>
      <c r="X91" s="1093">
        <v>0</v>
      </c>
      <c r="Y91" s="1093">
        <v>0</v>
      </c>
      <c r="Z91" s="1034">
        <f t="shared" si="200"/>
        <v>0</v>
      </c>
      <c r="AA91" s="1095">
        <f t="shared" si="226"/>
        <v>0</v>
      </c>
      <c r="AB91" s="1065">
        <v>0</v>
      </c>
      <c r="AC91" s="1066">
        <v>0</v>
      </c>
      <c r="AD91" s="1093">
        <v>0</v>
      </c>
      <c r="AE91" s="1093">
        <v>0</v>
      </c>
      <c r="AF91" s="1095">
        <f t="shared" ref="AF91" si="242">SUM(AB91:AE91)</f>
        <v>0</v>
      </c>
      <c r="AG91" s="1093">
        <v>0</v>
      </c>
      <c r="AH91" s="1093">
        <v>0</v>
      </c>
      <c r="AI91" s="1034">
        <f t="shared" si="233"/>
        <v>0</v>
      </c>
      <c r="AJ91" s="1095">
        <f t="shared" si="188"/>
        <v>0</v>
      </c>
      <c r="AK91" s="1065">
        <f t="shared" si="234"/>
        <v>0</v>
      </c>
      <c r="AL91" s="1066">
        <f t="shared" si="235"/>
        <v>0</v>
      </c>
      <c r="AM91" s="1093">
        <f t="shared" si="236"/>
        <v>0</v>
      </c>
      <c r="AN91" s="1093">
        <f t="shared" si="237"/>
        <v>0</v>
      </c>
      <c r="AO91" s="1095">
        <f t="shared" ref="AO91" si="243">SUM(AK91:AN91)</f>
        <v>0</v>
      </c>
      <c r="AP91" s="1093"/>
      <c r="AQ91" s="1083">
        <v>0</v>
      </c>
      <c r="AR91" s="1082">
        <v>0</v>
      </c>
      <c r="AS91" s="1082">
        <v>0</v>
      </c>
      <c r="AT91" s="1082">
        <v>0</v>
      </c>
      <c r="AU91" s="1082">
        <v>0</v>
      </c>
      <c r="AV91" s="1094">
        <f t="shared" si="239"/>
        <v>0</v>
      </c>
      <c r="AW91" s="1055">
        <f t="shared" si="227"/>
        <v>0</v>
      </c>
      <c r="AX91" s="1071">
        <v>0</v>
      </c>
      <c r="AY91" s="1071">
        <v>0</v>
      </c>
      <c r="AZ91" s="1071">
        <v>0</v>
      </c>
      <c r="BA91" s="1076">
        <f t="shared" si="240"/>
        <v>0</v>
      </c>
      <c r="BB91" s="1066">
        <v>0</v>
      </c>
      <c r="BC91" s="1066">
        <v>0</v>
      </c>
      <c r="BD91" s="1066">
        <v>0</v>
      </c>
      <c r="BE91" s="1076">
        <f t="shared" si="228"/>
        <v>0</v>
      </c>
      <c r="BF91" s="1077">
        <v>0</v>
      </c>
      <c r="BG91" s="1071">
        <v>0</v>
      </c>
      <c r="BH91" s="1076">
        <v>0</v>
      </c>
      <c r="BI91" s="1077">
        <v>0</v>
      </c>
      <c r="BJ91" s="1071">
        <v>0</v>
      </c>
      <c r="BK91" s="1041">
        <v>0</v>
      </c>
      <c r="BL91" s="1077">
        <v>0</v>
      </c>
      <c r="BM91" s="1071">
        <v>0</v>
      </c>
      <c r="BN91" s="1041">
        <v>0</v>
      </c>
      <c r="BO91" s="1077">
        <v>0</v>
      </c>
      <c r="BP91" s="1062">
        <v>0</v>
      </c>
      <c r="BQ91" s="1078">
        <f t="shared" si="229"/>
        <v>0</v>
      </c>
      <c r="BR91" s="1062"/>
      <c r="BS91" s="1079">
        <f t="shared" si="230"/>
        <v>1500</v>
      </c>
      <c r="BT91" s="284" t="s">
        <v>419</v>
      </c>
    </row>
    <row r="92" spans="1:72" s="140" customFormat="1" ht="18" customHeight="1" x14ac:dyDescent="0.2">
      <c r="A92" s="1014">
        <v>545</v>
      </c>
      <c r="B92" s="1080" t="s">
        <v>75</v>
      </c>
      <c r="C92" s="1016">
        <f>SUM(C94:C97)</f>
        <v>100</v>
      </c>
      <c r="D92" s="1000">
        <f t="shared" ref="D92:F92" si="244">SUM(D94:D97)</f>
        <v>400</v>
      </c>
      <c r="E92" s="1009">
        <f t="shared" si="244"/>
        <v>0</v>
      </c>
      <c r="F92" s="1009">
        <f t="shared" si="244"/>
        <v>0</v>
      </c>
      <c r="G92" s="1001">
        <f>SUM(C92:F92)</f>
        <v>500</v>
      </c>
      <c r="H92" s="1060">
        <f>SUM(H94)</f>
        <v>0</v>
      </c>
      <c r="I92" s="1019">
        <v>0</v>
      </c>
      <c r="J92" s="1019">
        <v>0</v>
      </c>
      <c r="K92" s="1019">
        <v>0</v>
      </c>
      <c r="L92" s="1021">
        <f>SUM(L94)</f>
        <v>0</v>
      </c>
      <c r="M92" s="1028">
        <v>0</v>
      </c>
      <c r="N92" s="1022">
        <v>0</v>
      </c>
      <c r="O92" s="1022">
        <v>0</v>
      </c>
      <c r="P92" s="1022">
        <v>0</v>
      </c>
      <c r="Q92" s="1022">
        <v>0</v>
      </c>
      <c r="R92" s="1023">
        <f t="shared" si="225"/>
        <v>0</v>
      </c>
      <c r="S92" s="1016">
        <f>SUM(S94)</f>
        <v>0</v>
      </c>
      <c r="T92" s="1000">
        <v>0</v>
      </c>
      <c r="U92" s="1009">
        <v>0</v>
      </c>
      <c r="V92" s="1009">
        <v>0</v>
      </c>
      <c r="W92" s="1001">
        <f>SUM(S92:V92)</f>
        <v>0</v>
      </c>
      <c r="X92" s="1009">
        <v>0</v>
      </c>
      <c r="Y92" s="1009">
        <f>SUM(Y93:Y97)</f>
        <v>0</v>
      </c>
      <c r="Z92" s="1001">
        <f>SUM(Z93:Z97)</f>
        <v>0</v>
      </c>
      <c r="AA92" s="1001">
        <f t="shared" si="226"/>
        <v>0</v>
      </c>
      <c r="AB92" s="1016">
        <f>SUM(AB94)</f>
        <v>0</v>
      </c>
      <c r="AC92" s="1000">
        <v>0</v>
      </c>
      <c r="AD92" s="1009">
        <v>0</v>
      </c>
      <c r="AE92" s="1009">
        <v>0</v>
      </c>
      <c r="AF92" s="1001">
        <f>SUM(AB92:AE92)</f>
        <v>0</v>
      </c>
      <c r="AG92" s="1009">
        <v>0</v>
      </c>
      <c r="AH92" s="1009">
        <f>SUM(AH93:AH97)</f>
        <v>0</v>
      </c>
      <c r="AI92" s="1001">
        <f>SUM(AI93:AI97)</f>
        <v>0</v>
      </c>
      <c r="AJ92" s="1001">
        <f t="shared" si="188"/>
        <v>0</v>
      </c>
      <c r="AK92" s="1016">
        <f>SUM(AK94)</f>
        <v>0</v>
      </c>
      <c r="AL92" s="1000">
        <v>0</v>
      </c>
      <c r="AM92" s="1009">
        <v>0</v>
      </c>
      <c r="AN92" s="1009">
        <v>0</v>
      </c>
      <c r="AO92" s="1001">
        <f>SUM(AK92:AN92)</f>
        <v>0</v>
      </c>
      <c r="AP92" s="1009"/>
      <c r="AQ92" s="1024">
        <v>0</v>
      </c>
      <c r="AR92" s="1017">
        <v>0</v>
      </c>
      <c r="AS92" s="1017">
        <v>0</v>
      </c>
      <c r="AT92" s="1017">
        <v>0</v>
      </c>
      <c r="AU92" s="1017">
        <f>SUM(AU93:AU97)</f>
        <v>0</v>
      </c>
      <c r="AV92" s="1090">
        <f>SUM(AV93:AV97)</f>
        <v>0</v>
      </c>
      <c r="AW92" s="1059">
        <f t="shared" si="227"/>
        <v>0</v>
      </c>
      <c r="AX92" s="1022">
        <v>0</v>
      </c>
      <c r="AY92" s="1022">
        <v>0</v>
      </c>
      <c r="AZ92" s="1022">
        <v>0</v>
      </c>
      <c r="BA92" s="1076">
        <f>M92+N92+O92+AX92+AZ92</f>
        <v>0</v>
      </c>
      <c r="BB92" s="1000">
        <f>SUM(BB93:BB97)</f>
        <v>0</v>
      </c>
      <c r="BC92" s="1000">
        <f t="shared" ref="BC92:BD92" si="245">SUM(BC93:BC97)</f>
        <v>0</v>
      </c>
      <c r="BD92" s="1000">
        <f t="shared" si="245"/>
        <v>0</v>
      </c>
      <c r="BE92" s="1027">
        <f>SUM(BB92:BD92)</f>
        <v>0</v>
      </c>
      <c r="BF92" s="1026">
        <v>0</v>
      </c>
      <c r="BG92" s="1022">
        <v>0</v>
      </c>
      <c r="BH92" s="1027">
        <v>0</v>
      </c>
      <c r="BI92" s="1026">
        <v>0</v>
      </c>
      <c r="BJ92" s="1022">
        <v>0</v>
      </c>
      <c r="BK92" s="1023">
        <v>0</v>
      </c>
      <c r="BL92" s="1026">
        <v>0</v>
      </c>
      <c r="BM92" s="1022">
        <v>0</v>
      </c>
      <c r="BN92" s="1023">
        <v>0</v>
      </c>
      <c r="BO92" s="1026">
        <v>0</v>
      </c>
      <c r="BP92" s="1028">
        <v>0</v>
      </c>
      <c r="BQ92" s="1008">
        <f t="shared" si="229"/>
        <v>0</v>
      </c>
      <c r="BR92" s="1028"/>
      <c r="BS92" s="1013">
        <f t="shared" si="230"/>
        <v>500</v>
      </c>
      <c r="BT92" s="284" t="s">
        <v>419</v>
      </c>
    </row>
    <row r="93" spans="1:72" ht="18" customHeight="1" x14ac:dyDescent="0.2">
      <c r="A93" s="1050">
        <v>54501</v>
      </c>
      <c r="B93" s="1051" t="s">
        <v>76</v>
      </c>
      <c r="C93" s="1065">
        <f>+'F.P y DL'!C497</f>
        <v>0</v>
      </c>
      <c r="D93" s="1066">
        <v>0</v>
      </c>
      <c r="E93" s="1093">
        <v>0</v>
      </c>
      <c r="F93" s="1093">
        <v>0</v>
      </c>
      <c r="G93" s="1095">
        <f>SUM(C93:F93)</f>
        <v>0</v>
      </c>
      <c r="H93" s="1068">
        <f>+'F.P y DL'!C60</f>
        <v>0</v>
      </c>
      <c r="I93" s="1069">
        <v>0</v>
      </c>
      <c r="J93" s="1069">
        <v>0</v>
      </c>
      <c r="K93" s="1069">
        <v>0</v>
      </c>
      <c r="L93" s="1070">
        <f>+'F.P y DL'!G60</f>
        <v>0</v>
      </c>
      <c r="M93" s="1062">
        <v>0</v>
      </c>
      <c r="N93" s="1071">
        <v>0</v>
      </c>
      <c r="O93" s="1071">
        <v>0</v>
      </c>
      <c r="P93" s="1071">
        <v>0</v>
      </c>
      <c r="Q93" s="1071">
        <v>0</v>
      </c>
      <c r="R93" s="1072">
        <f t="shared" ref="R93" si="246">+P93+Q93</f>
        <v>0</v>
      </c>
      <c r="S93" s="1065">
        <f>+'F.P y DL'!W497</f>
        <v>0</v>
      </c>
      <c r="T93" s="1066">
        <v>0</v>
      </c>
      <c r="U93" s="1093">
        <v>0</v>
      </c>
      <c r="V93" s="1093">
        <v>0</v>
      </c>
      <c r="W93" s="1095">
        <f>SUM(S93:V93)</f>
        <v>0</v>
      </c>
      <c r="X93" s="1093">
        <v>0</v>
      </c>
      <c r="Y93" s="1093">
        <v>0</v>
      </c>
      <c r="Z93" s="1034">
        <f t="shared" si="200"/>
        <v>0</v>
      </c>
      <c r="AA93" s="1095">
        <f t="shared" si="226"/>
        <v>0</v>
      </c>
      <c r="AB93" s="1065">
        <f>+'F.P y DL'!AF497</f>
        <v>0</v>
      </c>
      <c r="AC93" s="1066">
        <v>0</v>
      </c>
      <c r="AD93" s="1093">
        <v>0</v>
      </c>
      <c r="AE93" s="1093">
        <v>0</v>
      </c>
      <c r="AF93" s="1095">
        <f>SUM(AB93:AE93)</f>
        <v>0</v>
      </c>
      <c r="AG93" s="1093">
        <v>0</v>
      </c>
      <c r="AH93" s="1093">
        <v>0</v>
      </c>
      <c r="AI93" s="1034">
        <f t="shared" ref="AI93" si="247">SUM(AG93:AH93)</f>
        <v>0</v>
      </c>
      <c r="AJ93" s="1095">
        <f t="shared" si="188"/>
        <v>0</v>
      </c>
      <c r="AK93" s="1065">
        <f t="shared" ref="AK93:AK97" si="248">S93+AB93</f>
        <v>0</v>
      </c>
      <c r="AL93" s="1066">
        <f t="shared" ref="AL93:AL97" si="249">T93+AC93</f>
        <v>0</v>
      </c>
      <c r="AM93" s="1093">
        <f t="shared" ref="AM93:AM97" si="250">U93+AD93</f>
        <v>0</v>
      </c>
      <c r="AN93" s="1093">
        <f t="shared" ref="AN93:AN97" si="251">V93+AE93</f>
        <v>0</v>
      </c>
      <c r="AO93" s="1095">
        <f>SUM(AK93:AN93)</f>
        <v>0</v>
      </c>
      <c r="AP93" s="1093"/>
      <c r="AQ93" s="1083">
        <v>0</v>
      </c>
      <c r="AR93" s="1082">
        <v>0</v>
      </c>
      <c r="AS93" s="1082">
        <v>0</v>
      </c>
      <c r="AT93" s="1082">
        <v>0</v>
      </c>
      <c r="AU93" s="1082">
        <v>0</v>
      </c>
      <c r="AV93" s="1094">
        <v>0</v>
      </c>
      <c r="AW93" s="1055">
        <f t="shared" si="227"/>
        <v>0</v>
      </c>
      <c r="AX93" s="1071">
        <v>0</v>
      </c>
      <c r="AY93" s="1071">
        <v>0</v>
      </c>
      <c r="AZ93" s="1071">
        <v>0</v>
      </c>
      <c r="BA93" s="1076">
        <f t="shared" ref="BA93:BA97" si="252">SUM(AX93:AZ93)</f>
        <v>0</v>
      </c>
      <c r="BB93" s="1066">
        <v>0</v>
      </c>
      <c r="BC93" s="1066">
        <v>0</v>
      </c>
      <c r="BD93" s="1066">
        <v>0</v>
      </c>
      <c r="BE93" s="1076">
        <f t="shared" ref="BE93" si="253">+BB93+BC93</f>
        <v>0</v>
      </c>
      <c r="BF93" s="1077">
        <v>0</v>
      </c>
      <c r="BG93" s="1071">
        <v>0</v>
      </c>
      <c r="BH93" s="1076">
        <v>0</v>
      </c>
      <c r="BI93" s="1077">
        <v>0</v>
      </c>
      <c r="BJ93" s="1071">
        <v>0</v>
      </c>
      <c r="BK93" s="1041">
        <v>0</v>
      </c>
      <c r="BL93" s="1077">
        <v>0</v>
      </c>
      <c r="BM93" s="1071">
        <v>0</v>
      </c>
      <c r="BN93" s="1041">
        <v>0</v>
      </c>
      <c r="BO93" s="1077">
        <v>0</v>
      </c>
      <c r="BP93" s="1062">
        <v>0</v>
      </c>
      <c r="BQ93" s="1078">
        <f t="shared" ref="BQ93" si="254">+BO93+BP93</f>
        <v>0</v>
      </c>
      <c r="BR93" s="1062"/>
      <c r="BS93" s="1079">
        <f t="shared" si="230"/>
        <v>0</v>
      </c>
      <c r="BT93" s="284" t="s">
        <v>419</v>
      </c>
    </row>
    <row r="94" spans="1:72" ht="18" customHeight="1" x14ac:dyDescent="0.2">
      <c r="A94" s="1050">
        <v>54503</v>
      </c>
      <c r="B94" s="1051" t="s">
        <v>77</v>
      </c>
      <c r="C94" s="1065">
        <f>+'F.P y DL'!C498</f>
        <v>0</v>
      </c>
      <c r="D94" s="1066">
        <v>0</v>
      </c>
      <c r="E94" s="1093">
        <v>0</v>
      </c>
      <c r="F94" s="1093">
        <v>0</v>
      </c>
      <c r="G94" s="1095">
        <f>SUM(C94:F94)</f>
        <v>0</v>
      </c>
      <c r="H94" s="1068">
        <f>+'F.P y DL'!C61</f>
        <v>0</v>
      </c>
      <c r="I94" s="1069">
        <v>0</v>
      </c>
      <c r="J94" s="1069">
        <v>0</v>
      </c>
      <c r="K94" s="1069">
        <v>0</v>
      </c>
      <c r="L94" s="1070">
        <f>+'F.P y DL'!G61</f>
        <v>0</v>
      </c>
      <c r="M94" s="1062">
        <v>0</v>
      </c>
      <c r="N94" s="1071">
        <v>0</v>
      </c>
      <c r="O94" s="1071">
        <v>0</v>
      </c>
      <c r="P94" s="1071">
        <v>0</v>
      </c>
      <c r="Q94" s="1071">
        <v>0</v>
      </c>
      <c r="R94" s="1072">
        <f t="shared" si="225"/>
        <v>0</v>
      </c>
      <c r="S94" s="1065">
        <f>+'F.P y DL'!W498</f>
        <v>0</v>
      </c>
      <c r="T94" s="1066">
        <v>0</v>
      </c>
      <c r="U94" s="1093">
        <v>0</v>
      </c>
      <c r="V94" s="1093">
        <v>0</v>
      </c>
      <c r="W94" s="1095">
        <f>SUM(S94:V94)</f>
        <v>0</v>
      </c>
      <c r="X94" s="1093">
        <v>0</v>
      </c>
      <c r="Y94" s="1093">
        <v>0</v>
      </c>
      <c r="Z94" s="1034">
        <f>SUM(X94:Y94)</f>
        <v>0</v>
      </c>
      <c r="AA94" s="1095">
        <f t="shared" si="226"/>
        <v>0</v>
      </c>
      <c r="AB94" s="1065">
        <f>+'F.P y DL'!AF498</f>
        <v>0</v>
      </c>
      <c r="AC94" s="1066">
        <v>0</v>
      </c>
      <c r="AD94" s="1093">
        <v>0</v>
      </c>
      <c r="AE94" s="1093">
        <v>0</v>
      </c>
      <c r="AF94" s="1095">
        <f>SUM(AB94:AE94)</f>
        <v>0</v>
      </c>
      <c r="AG94" s="1093">
        <v>0</v>
      </c>
      <c r="AH94" s="1093">
        <v>0</v>
      </c>
      <c r="AI94" s="1034">
        <f>SUM(AG94:AH94)</f>
        <v>0</v>
      </c>
      <c r="AJ94" s="1095">
        <f t="shared" si="188"/>
        <v>0</v>
      </c>
      <c r="AK94" s="1065">
        <f t="shared" si="248"/>
        <v>0</v>
      </c>
      <c r="AL94" s="1066">
        <f t="shared" si="249"/>
        <v>0</v>
      </c>
      <c r="AM94" s="1093">
        <f t="shared" si="250"/>
        <v>0</v>
      </c>
      <c r="AN94" s="1093">
        <f t="shared" si="251"/>
        <v>0</v>
      </c>
      <c r="AO94" s="1095">
        <f>SUM(AK94:AN94)</f>
        <v>0</v>
      </c>
      <c r="AP94" s="1093"/>
      <c r="AQ94" s="1083">
        <v>0</v>
      </c>
      <c r="AR94" s="1082">
        <v>0</v>
      </c>
      <c r="AS94" s="1082">
        <v>0</v>
      </c>
      <c r="AT94" s="1082">
        <v>0</v>
      </c>
      <c r="AU94" s="1082">
        <v>0</v>
      </c>
      <c r="AV94" s="1094">
        <v>0</v>
      </c>
      <c r="AW94" s="1055">
        <f t="shared" si="227"/>
        <v>0</v>
      </c>
      <c r="AX94" s="1071">
        <v>0</v>
      </c>
      <c r="AY94" s="1071">
        <v>0</v>
      </c>
      <c r="AZ94" s="1071">
        <v>0</v>
      </c>
      <c r="BA94" s="1076">
        <f t="shared" si="252"/>
        <v>0</v>
      </c>
      <c r="BB94" s="1066">
        <v>0</v>
      </c>
      <c r="BC94" s="1066">
        <v>0</v>
      </c>
      <c r="BD94" s="1066">
        <v>0</v>
      </c>
      <c r="BE94" s="1076">
        <f t="shared" si="228"/>
        <v>0</v>
      </c>
      <c r="BF94" s="1077">
        <v>0</v>
      </c>
      <c r="BG94" s="1071">
        <v>0</v>
      </c>
      <c r="BH94" s="1076">
        <v>0</v>
      </c>
      <c r="BI94" s="1077">
        <v>0</v>
      </c>
      <c r="BJ94" s="1071">
        <v>0</v>
      </c>
      <c r="BK94" s="1041">
        <v>0</v>
      </c>
      <c r="BL94" s="1077">
        <v>0</v>
      </c>
      <c r="BM94" s="1071">
        <v>0</v>
      </c>
      <c r="BN94" s="1041">
        <v>0</v>
      </c>
      <c r="BO94" s="1077">
        <v>0</v>
      </c>
      <c r="BP94" s="1062">
        <v>0</v>
      </c>
      <c r="BQ94" s="1078">
        <f t="shared" si="229"/>
        <v>0</v>
      </c>
      <c r="BR94" s="1062"/>
      <c r="BS94" s="1079">
        <f t="shared" si="230"/>
        <v>0</v>
      </c>
      <c r="BT94" s="284" t="s">
        <v>419</v>
      </c>
    </row>
    <row r="95" spans="1:72" ht="18" customHeight="1" x14ac:dyDescent="0.2">
      <c r="A95" s="1050">
        <v>54505</v>
      </c>
      <c r="B95" s="1051" t="s">
        <v>79</v>
      </c>
      <c r="C95" s="1065">
        <f>'F.P y DL'!C500</f>
        <v>100</v>
      </c>
      <c r="D95" s="1066">
        <v>0</v>
      </c>
      <c r="E95" s="1093">
        <v>0</v>
      </c>
      <c r="F95" s="1093">
        <v>0</v>
      </c>
      <c r="G95" s="1095">
        <f t="shared" ref="G95:G96" si="255">SUM(C95:F95)</f>
        <v>100</v>
      </c>
      <c r="H95" s="1068">
        <f>+'F.P y DL'!C62</f>
        <v>0</v>
      </c>
      <c r="I95" s="1069">
        <v>0</v>
      </c>
      <c r="J95" s="1069">
        <v>0</v>
      </c>
      <c r="K95" s="1069">
        <v>0</v>
      </c>
      <c r="L95" s="1070">
        <f>+'F.P y DL'!G62</f>
        <v>0</v>
      </c>
      <c r="M95" s="1062">
        <v>0</v>
      </c>
      <c r="N95" s="1071">
        <v>0</v>
      </c>
      <c r="O95" s="1071">
        <v>0</v>
      </c>
      <c r="P95" s="1071">
        <v>0</v>
      </c>
      <c r="Q95" s="1071">
        <v>0</v>
      </c>
      <c r="R95" s="1072">
        <f t="shared" ref="R95:R96" si="256">+P95+Q95</f>
        <v>0</v>
      </c>
      <c r="S95" s="1065">
        <f>+'F.P y DL'!W499</f>
        <v>0</v>
      </c>
      <c r="T95" s="1066">
        <v>0</v>
      </c>
      <c r="U95" s="1093">
        <v>0</v>
      </c>
      <c r="V95" s="1093">
        <v>0</v>
      </c>
      <c r="W95" s="1095">
        <f t="shared" ref="W95:W96" si="257">SUM(S95:V95)</f>
        <v>0</v>
      </c>
      <c r="X95" s="1093">
        <v>0</v>
      </c>
      <c r="Y95" s="1093">
        <v>0</v>
      </c>
      <c r="Z95" s="1034">
        <f t="shared" ref="Z95:Z96" si="258">SUM(X95:Y95)</f>
        <v>0</v>
      </c>
      <c r="AA95" s="1095">
        <f t="shared" ref="AA95:AA96" si="259">W95+Z95</f>
        <v>0</v>
      </c>
      <c r="AB95" s="1065">
        <f>+'F.P y DL'!AF499</f>
        <v>0</v>
      </c>
      <c r="AC95" s="1066">
        <v>0</v>
      </c>
      <c r="AD95" s="1093">
        <v>0</v>
      </c>
      <c r="AE95" s="1093">
        <v>0</v>
      </c>
      <c r="AF95" s="1095">
        <f t="shared" ref="AF95:AF96" si="260">SUM(AB95:AE95)</f>
        <v>0</v>
      </c>
      <c r="AG95" s="1093">
        <v>0</v>
      </c>
      <c r="AH95" s="1093">
        <v>0</v>
      </c>
      <c r="AI95" s="1034">
        <f t="shared" ref="AI95:AI96" si="261">SUM(AG95:AH95)</f>
        <v>0</v>
      </c>
      <c r="AJ95" s="1095">
        <f t="shared" ref="AJ95:AJ96" si="262">AF95+AI95</f>
        <v>0</v>
      </c>
      <c r="AK95" s="1065">
        <f t="shared" ref="AK95:AK96" si="263">S95+AB95</f>
        <v>0</v>
      </c>
      <c r="AL95" s="1066">
        <f t="shared" ref="AL95:AL96" si="264">T95+AC95</f>
        <v>0</v>
      </c>
      <c r="AM95" s="1093">
        <f t="shared" ref="AM95:AM96" si="265">U95+AD95</f>
        <v>0</v>
      </c>
      <c r="AN95" s="1093">
        <f t="shared" ref="AN95:AN96" si="266">V95+AE95</f>
        <v>0</v>
      </c>
      <c r="AO95" s="1095">
        <f t="shared" ref="AO95:AO96" si="267">SUM(AK95:AN95)</f>
        <v>0</v>
      </c>
      <c r="AP95" s="1093"/>
      <c r="AQ95" s="1083">
        <v>0</v>
      </c>
      <c r="AR95" s="1082">
        <v>0</v>
      </c>
      <c r="AS95" s="1082">
        <v>0</v>
      </c>
      <c r="AT95" s="1082">
        <v>0</v>
      </c>
      <c r="AU95" s="1082">
        <v>0</v>
      </c>
      <c r="AV95" s="1094">
        <v>0</v>
      </c>
      <c r="AW95" s="1055">
        <f t="shared" si="227"/>
        <v>0</v>
      </c>
      <c r="AX95" s="1071">
        <v>0</v>
      </c>
      <c r="AY95" s="1071">
        <v>0</v>
      </c>
      <c r="AZ95" s="1071">
        <v>0</v>
      </c>
      <c r="BA95" s="1076">
        <f t="shared" ref="BA95:BA96" si="268">SUM(AX95:AZ95)</f>
        <v>0</v>
      </c>
      <c r="BB95" s="1066">
        <v>0</v>
      </c>
      <c r="BC95" s="1066">
        <v>0</v>
      </c>
      <c r="BD95" s="1066">
        <v>0</v>
      </c>
      <c r="BE95" s="1076">
        <f t="shared" ref="BE95:BE96" si="269">+BB95+BC95</f>
        <v>0</v>
      </c>
      <c r="BF95" s="1077">
        <v>0</v>
      </c>
      <c r="BG95" s="1071">
        <v>0</v>
      </c>
      <c r="BH95" s="1076">
        <v>0</v>
      </c>
      <c r="BI95" s="1077">
        <v>0</v>
      </c>
      <c r="BJ95" s="1071">
        <v>0</v>
      </c>
      <c r="BK95" s="1041">
        <v>0</v>
      </c>
      <c r="BL95" s="1077">
        <v>0</v>
      </c>
      <c r="BM95" s="1071">
        <v>0</v>
      </c>
      <c r="BN95" s="1041">
        <v>0</v>
      </c>
      <c r="BO95" s="1077">
        <v>0</v>
      </c>
      <c r="BP95" s="1062">
        <v>0</v>
      </c>
      <c r="BQ95" s="1078">
        <f t="shared" ref="BQ95:BQ96" si="270">+BO95+BP95</f>
        <v>0</v>
      </c>
      <c r="BR95" s="1062"/>
      <c r="BS95" s="1079">
        <f t="shared" si="230"/>
        <v>100</v>
      </c>
      <c r="BT95" s="284" t="s">
        <v>419</v>
      </c>
    </row>
    <row r="96" spans="1:72" ht="18" customHeight="1" x14ac:dyDescent="0.2">
      <c r="A96" s="1050">
        <v>54507</v>
      </c>
      <c r="B96" s="1051" t="s">
        <v>80</v>
      </c>
      <c r="C96" s="1065">
        <v>0</v>
      </c>
      <c r="D96" s="1066">
        <f>'F.P y DL'!D501</f>
        <v>400</v>
      </c>
      <c r="E96" s="1093">
        <v>0</v>
      </c>
      <c r="F96" s="1093">
        <v>0</v>
      </c>
      <c r="G96" s="1095">
        <f t="shared" si="255"/>
        <v>400</v>
      </c>
      <c r="H96" s="1068">
        <f>+'F.P y DL'!C63</f>
        <v>0</v>
      </c>
      <c r="I96" s="1069">
        <v>0</v>
      </c>
      <c r="J96" s="1069">
        <v>0</v>
      </c>
      <c r="K96" s="1069">
        <v>0</v>
      </c>
      <c r="L96" s="1070">
        <f>+'F.P y DL'!G63</f>
        <v>0</v>
      </c>
      <c r="M96" s="1062">
        <v>0</v>
      </c>
      <c r="N96" s="1071">
        <v>0</v>
      </c>
      <c r="O96" s="1071">
        <v>0</v>
      </c>
      <c r="P96" s="1071">
        <v>0</v>
      </c>
      <c r="Q96" s="1071">
        <v>0</v>
      </c>
      <c r="R96" s="1072">
        <f t="shared" si="256"/>
        <v>0</v>
      </c>
      <c r="S96" s="1065">
        <f>+'F.P y DL'!W500</f>
        <v>0</v>
      </c>
      <c r="T96" s="1066">
        <v>0</v>
      </c>
      <c r="U96" s="1093">
        <v>0</v>
      </c>
      <c r="V96" s="1093">
        <v>0</v>
      </c>
      <c r="W96" s="1095">
        <f t="shared" si="257"/>
        <v>0</v>
      </c>
      <c r="X96" s="1093">
        <v>0</v>
      </c>
      <c r="Y96" s="1093">
        <v>0</v>
      </c>
      <c r="Z96" s="1034">
        <f t="shared" si="258"/>
        <v>0</v>
      </c>
      <c r="AA96" s="1095">
        <f t="shared" si="259"/>
        <v>0</v>
      </c>
      <c r="AB96" s="1065">
        <f>+'F.P y DL'!AF500</f>
        <v>0</v>
      </c>
      <c r="AC96" s="1066">
        <v>0</v>
      </c>
      <c r="AD96" s="1093">
        <v>0</v>
      </c>
      <c r="AE96" s="1093">
        <v>0</v>
      </c>
      <c r="AF96" s="1095">
        <f t="shared" si="260"/>
        <v>0</v>
      </c>
      <c r="AG96" s="1093">
        <v>0</v>
      </c>
      <c r="AH96" s="1093">
        <v>0</v>
      </c>
      <c r="AI96" s="1034">
        <f t="shared" si="261"/>
        <v>0</v>
      </c>
      <c r="AJ96" s="1095">
        <f t="shared" si="262"/>
        <v>0</v>
      </c>
      <c r="AK96" s="1065">
        <f t="shared" si="263"/>
        <v>0</v>
      </c>
      <c r="AL96" s="1066">
        <f t="shared" si="264"/>
        <v>0</v>
      </c>
      <c r="AM96" s="1093">
        <f t="shared" si="265"/>
        <v>0</v>
      </c>
      <c r="AN96" s="1093">
        <f t="shared" si="266"/>
        <v>0</v>
      </c>
      <c r="AO96" s="1095">
        <f t="shared" si="267"/>
        <v>0</v>
      </c>
      <c r="AP96" s="1093"/>
      <c r="AQ96" s="1083">
        <v>0</v>
      </c>
      <c r="AR96" s="1082">
        <v>0</v>
      </c>
      <c r="AS96" s="1082">
        <v>0</v>
      </c>
      <c r="AT96" s="1082">
        <v>0</v>
      </c>
      <c r="AU96" s="1082">
        <v>0</v>
      </c>
      <c r="AV96" s="1094">
        <v>0</v>
      </c>
      <c r="AW96" s="1055">
        <f t="shared" si="227"/>
        <v>0</v>
      </c>
      <c r="AX96" s="1071">
        <v>0</v>
      </c>
      <c r="AY96" s="1071">
        <v>0</v>
      </c>
      <c r="AZ96" s="1071">
        <v>0</v>
      </c>
      <c r="BA96" s="1076">
        <f t="shared" si="268"/>
        <v>0</v>
      </c>
      <c r="BB96" s="1066">
        <v>0</v>
      </c>
      <c r="BC96" s="1066">
        <v>0</v>
      </c>
      <c r="BD96" s="1066">
        <v>0</v>
      </c>
      <c r="BE96" s="1076">
        <f t="shared" si="269"/>
        <v>0</v>
      </c>
      <c r="BF96" s="1077">
        <v>0</v>
      </c>
      <c r="BG96" s="1071">
        <v>0</v>
      </c>
      <c r="BH96" s="1076">
        <v>0</v>
      </c>
      <c r="BI96" s="1077">
        <v>0</v>
      </c>
      <c r="BJ96" s="1071">
        <v>0</v>
      </c>
      <c r="BK96" s="1041">
        <v>0</v>
      </c>
      <c r="BL96" s="1077">
        <v>0</v>
      </c>
      <c r="BM96" s="1071">
        <v>0</v>
      </c>
      <c r="BN96" s="1041">
        <v>0</v>
      </c>
      <c r="BO96" s="1077">
        <v>0</v>
      </c>
      <c r="BP96" s="1062">
        <v>0</v>
      </c>
      <c r="BQ96" s="1078">
        <f t="shared" si="270"/>
        <v>0</v>
      </c>
      <c r="BR96" s="1062"/>
      <c r="BS96" s="1079">
        <f t="shared" si="230"/>
        <v>400</v>
      </c>
      <c r="BT96" s="284" t="s">
        <v>419</v>
      </c>
    </row>
    <row r="97" spans="1:72" ht="18" hidden="1" customHeight="1" x14ac:dyDescent="0.2">
      <c r="A97" s="1050">
        <v>54599</v>
      </c>
      <c r="B97" s="1051" t="s">
        <v>444</v>
      </c>
      <c r="C97" s="1065">
        <v>0</v>
      </c>
      <c r="D97" s="1066">
        <v>0</v>
      </c>
      <c r="E97" s="1093">
        <v>0</v>
      </c>
      <c r="F97" s="1093">
        <v>0</v>
      </c>
      <c r="G97" s="1095">
        <v>0</v>
      </c>
      <c r="H97" s="1068">
        <v>0</v>
      </c>
      <c r="I97" s="1069">
        <v>0</v>
      </c>
      <c r="J97" s="1069">
        <v>0</v>
      </c>
      <c r="K97" s="1069">
        <v>0</v>
      </c>
      <c r="L97" s="1070">
        <v>0</v>
      </c>
      <c r="M97" s="1062">
        <v>0</v>
      </c>
      <c r="N97" s="1071">
        <v>0</v>
      </c>
      <c r="O97" s="1071">
        <v>0</v>
      </c>
      <c r="P97" s="1071">
        <v>0</v>
      </c>
      <c r="Q97" s="1071">
        <v>0</v>
      </c>
      <c r="R97" s="1072">
        <f t="shared" si="225"/>
        <v>0</v>
      </c>
      <c r="S97" s="1065">
        <v>0</v>
      </c>
      <c r="T97" s="1066">
        <v>0</v>
      </c>
      <c r="U97" s="1093">
        <v>0</v>
      </c>
      <c r="V97" s="1093">
        <v>0</v>
      </c>
      <c r="W97" s="1095">
        <v>0</v>
      </c>
      <c r="X97" s="1093">
        <v>0</v>
      </c>
      <c r="Y97" s="1093">
        <v>0</v>
      </c>
      <c r="Z97" s="1034">
        <f t="shared" si="200"/>
        <v>0</v>
      </c>
      <c r="AA97" s="1095">
        <f t="shared" si="226"/>
        <v>0</v>
      </c>
      <c r="AB97" s="1065">
        <v>0</v>
      </c>
      <c r="AC97" s="1066">
        <v>0</v>
      </c>
      <c r="AD97" s="1093">
        <v>0</v>
      </c>
      <c r="AE97" s="1093">
        <v>0</v>
      </c>
      <c r="AF97" s="1095">
        <v>0</v>
      </c>
      <c r="AG97" s="1093">
        <v>0</v>
      </c>
      <c r="AH97" s="1093">
        <v>0</v>
      </c>
      <c r="AI97" s="1034">
        <f t="shared" ref="AI97" si="271">SUM(AG97:AH97)</f>
        <v>0</v>
      </c>
      <c r="AJ97" s="1095">
        <f t="shared" si="188"/>
        <v>0</v>
      </c>
      <c r="AK97" s="1065">
        <f t="shared" si="248"/>
        <v>0</v>
      </c>
      <c r="AL97" s="1066">
        <f t="shared" si="249"/>
        <v>0</v>
      </c>
      <c r="AM97" s="1093">
        <f t="shared" si="250"/>
        <v>0</v>
      </c>
      <c r="AN97" s="1093">
        <f t="shared" si="251"/>
        <v>0</v>
      </c>
      <c r="AO97" s="1095">
        <v>0</v>
      </c>
      <c r="AP97" s="1093"/>
      <c r="AQ97" s="1083">
        <v>0</v>
      </c>
      <c r="AR97" s="1082">
        <v>0</v>
      </c>
      <c r="AS97" s="1082">
        <v>0</v>
      </c>
      <c r="AT97" s="1082">
        <v>0</v>
      </c>
      <c r="AU97" s="1082">
        <v>0</v>
      </c>
      <c r="AV97" s="1094">
        <v>0</v>
      </c>
      <c r="AW97" s="1055">
        <f t="shared" si="227"/>
        <v>0</v>
      </c>
      <c r="AX97" s="1071">
        <v>0</v>
      </c>
      <c r="AY97" s="1071">
        <v>0</v>
      </c>
      <c r="AZ97" s="1071">
        <v>0</v>
      </c>
      <c r="BA97" s="1076">
        <f t="shared" si="252"/>
        <v>0</v>
      </c>
      <c r="BB97" s="1066">
        <v>0</v>
      </c>
      <c r="BC97" s="1066">
        <v>0</v>
      </c>
      <c r="BD97" s="1066">
        <v>0</v>
      </c>
      <c r="BE97" s="1076">
        <f t="shared" si="228"/>
        <v>0</v>
      </c>
      <c r="BF97" s="1077">
        <v>0</v>
      </c>
      <c r="BG97" s="1071">
        <v>0</v>
      </c>
      <c r="BH97" s="1076">
        <v>0</v>
      </c>
      <c r="BI97" s="1077">
        <v>0</v>
      </c>
      <c r="BJ97" s="1071">
        <v>0</v>
      </c>
      <c r="BK97" s="1041">
        <v>0</v>
      </c>
      <c r="BL97" s="1077">
        <v>0</v>
      </c>
      <c r="BM97" s="1071">
        <v>0</v>
      </c>
      <c r="BN97" s="1041">
        <v>0</v>
      </c>
      <c r="BO97" s="1077">
        <v>0</v>
      </c>
      <c r="BP97" s="1062">
        <v>0</v>
      </c>
      <c r="BQ97" s="1078">
        <v>0</v>
      </c>
      <c r="BR97" s="1062"/>
      <c r="BS97" s="1079">
        <f t="shared" si="230"/>
        <v>0</v>
      </c>
      <c r="BT97" s="284" t="s">
        <v>419</v>
      </c>
    </row>
    <row r="98" spans="1:72" ht="18" customHeight="1" x14ac:dyDescent="0.2">
      <c r="A98" s="1050"/>
      <c r="B98" s="1051"/>
      <c r="C98" s="1065"/>
      <c r="D98" s="1066"/>
      <c r="E98" s="1093"/>
      <c r="F98" s="1093"/>
      <c r="G98" s="1001"/>
      <c r="H98" s="1068"/>
      <c r="I98" s="1097"/>
      <c r="J98" s="1069"/>
      <c r="K98" s="1069"/>
      <c r="L98" s="1021"/>
      <c r="M98" s="1062"/>
      <c r="N98" s="1071"/>
      <c r="O98" s="1071"/>
      <c r="P98" s="1071"/>
      <c r="Q98" s="1071"/>
      <c r="R98" s="1072"/>
      <c r="S98" s="1065"/>
      <c r="T98" s="1066"/>
      <c r="U98" s="1093"/>
      <c r="V98" s="1093"/>
      <c r="W98" s="1001"/>
      <c r="X98" s="1093"/>
      <c r="Y98" s="1093"/>
      <c r="Z98" s="1001"/>
      <c r="AA98" s="1001"/>
      <c r="AB98" s="1065"/>
      <c r="AC98" s="1066"/>
      <c r="AD98" s="1093"/>
      <c r="AE98" s="1093"/>
      <c r="AF98" s="1001"/>
      <c r="AG98" s="1093"/>
      <c r="AH98" s="1093"/>
      <c r="AI98" s="1001"/>
      <c r="AJ98" s="1001"/>
      <c r="AK98" s="1065"/>
      <c r="AL98" s="1066"/>
      <c r="AM98" s="1093"/>
      <c r="AN98" s="1093"/>
      <c r="AO98" s="1001"/>
      <c r="AP98" s="1009"/>
      <c r="AQ98" s="1083"/>
      <c r="AR98" s="1082"/>
      <c r="AS98" s="1082"/>
      <c r="AT98" s="1082"/>
      <c r="AU98" s="1082"/>
      <c r="AV98" s="1090"/>
      <c r="AW98" s="1059"/>
      <c r="AX98" s="1071"/>
      <c r="AY98" s="1071"/>
      <c r="AZ98" s="1071"/>
      <c r="BA98" s="1076"/>
      <c r="BB98" s="1066"/>
      <c r="BC98" s="1066"/>
      <c r="BD98" s="1000"/>
      <c r="BE98" s="1076"/>
      <c r="BF98" s="1077"/>
      <c r="BG98" s="1071"/>
      <c r="BH98" s="1076"/>
      <c r="BI98" s="1077"/>
      <c r="BJ98" s="1071"/>
      <c r="BK98" s="1072"/>
      <c r="BL98" s="1077"/>
      <c r="BM98" s="1071"/>
      <c r="BN98" s="1072"/>
      <c r="BO98" s="1077"/>
      <c r="BP98" s="1062"/>
      <c r="BQ98" s="1078"/>
      <c r="BR98" s="1062"/>
      <c r="BS98" s="1079"/>
      <c r="BT98" s="284" t="s">
        <v>419</v>
      </c>
    </row>
    <row r="99" spans="1:72" s="140" customFormat="1" ht="18" customHeight="1" x14ac:dyDescent="0.2">
      <c r="A99" s="1014">
        <v>55</v>
      </c>
      <c r="B99" s="1080" t="s">
        <v>83</v>
      </c>
      <c r="C99" s="1024">
        <f>+C100+C106+C108</f>
        <v>10653.44</v>
      </c>
      <c r="D99" s="1017">
        <f t="shared" ref="D99:F99" si="272">+D100+D106+D108</f>
        <v>700</v>
      </c>
      <c r="E99" s="1017">
        <f t="shared" si="272"/>
        <v>0</v>
      </c>
      <c r="F99" s="1017">
        <f t="shared" si="272"/>
        <v>0</v>
      </c>
      <c r="G99" s="1001">
        <f t="shared" ref="G99:G115" si="273">SUM(C99:F99)</f>
        <v>11353.44</v>
      </c>
      <c r="H99" s="1060">
        <f>H100+H106+H108</f>
        <v>0</v>
      </c>
      <c r="I99" s="1020">
        <f t="shared" ref="I99:J99" si="274">I100+I106+I108</f>
        <v>0</v>
      </c>
      <c r="J99" s="1019">
        <f t="shared" si="274"/>
        <v>0</v>
      </c>
      <c r="K99" s="1019">
        <f>K100+K106+K108</f>
        <v>0</v>
      </c>
      <c r="L99" s="1021">
        <f>SUM(H99:K99)</f>
        <v>0</v>
      </c>
      <c r="M99" s="1028">
        <v>0</v>
      </c>
      <c r="N99" s="1022">
        <v>0</v>
      </c>
      <c r="O99" s="1022">
        <v>0</v>
      </c>
      <c r="P99" s="1022">
        <v>0</v>
      </c>
      <c r="Q99" s="1022">
        <v>0</v>
      </c>
      <c r="R99" s="1023">
        <f t="shared" si="225"/>
        <v>0</v>
      </c>
      <c r="S99" s="1024">
        <f>+S100+S106+S108</f>
        <v>0</v>
      </c>
      <c r="T99" s="1017">
        <f t="shared" ref="T99:V99" si="275">+T100+T106+T108</f>
        <v>0</v>
      </c>
      <c r="U99" s="1017">
        <f t="shared" si="275"/>
        <v>0</v>
      </c>
      <c r="V99" s="1017">
        <f t="shared" si="275"/>
        <v>0</v>
      </c>
      <c r="W99" s="1001">
        <f t="shared" ref="W99:W115" si="276">SUM(S99:V99)</f>
        <v>0</v>
      </c>
      <c r="X99" s="1017">
        <f t="shared" ref="X99:Y99" si="277">+X100+X106+X108</f>
        <v>0</v>
      </c>
      <c r="Y99" s="1017">
        <f t="shared" si="277"/>
        <v>0</v>
      </c>
      <c r="Z99" s="1001">
        <f>SUM(X99:Y99)</f>
        <v>0</v>
      </c>
      <c r="AA99" s="1001">
        <f t="shared" si="226"/>
        <v>0</v>
      </c>
      <c r="AB99" s="1024">
        <f>+AB100+AB106+AB108</f>
        <v>0</v>
      </c>
      <c r="AC99" s="1017">
        <f t="shared" ref="AC99:AE99" si="278">+AC100+AC106+AC108</f>
        <v>0</v>
      </c>
      <c r="AD99" s="1017">
        <f t="shared" si="278"/>
        <v>0</v>
      </c>
      <c r="AE99" s="1017">
        <f t="shared" si="278"/>
        <v>0</v>
      </c>
      <c r="AF99" s="1001">
        <f t="shared" ref="AF99:AF115" si="279">SUM(AB99:AE99)</f>
        <v>0</v>
      </c>
      <c r="AG99" s="1017">
        <f t="shared" ref="AG99:AH99" si="280">+AG100+AG106+AG108</f>
        <v>0</v>
      </c>
      <c r="AH99" s="1017">
        <f t="shared" si="280"/>
        <v>0</v>
      </c>
      <c r="AI99" s="1001">
        <f>SUM(AG99:AH99)</f>
        <v>0</v>
      </c>
      <c r="AJ99" s="1001">
        <f t="shared" si="188"/>
        <v>0</v>
      </c>
      <c r="AK99" s="1024">
        <f>+AK100+AK106+AK108</f>
        <v>0</v>
      </c>
      <c r="AL99" s="1017">
        <f t="shared" ref="AL99:AN99" si="281">+AL100+AL106+AL108</f>
        <v>0</v>
      </c>
      <c r="AM99" s="1017">
        <f t="shared" si="281"/>
        <v>0</v>
      </c>
      <c r="AN99" s="1017">
        <f t="shared" si="281"/>
        <v>0</v>
      </c>
      <c r="AO99" s="1001">
        <f t="shared" ref="AO99:AO115" si="282">SUM(AK99:AN99)</f>
        <v>0</v>
      </c>
      <c r="AP99" s="1009"/>
      <c r="AQ99" s="1024">
        <f t="shared" ref="AQ99:AU99" si="283">+AQ100+AQ106+AQ108</f>
        <v>0</v>
      </c>
      <c r="AR99" s="1025">
        <f t="shared" si="283"/>
        <v>0</v>
      </c>
      <c r="AS99" s="1025">
        <f t="shared" si="283"/>
        <v>0</v>
      </c>
      <c r="AT99" s="1025">
        <f t="shared" si="283"/>
        <v>0</v>
      </c>
      <c r="AU99" s="1017">
        <f t="shared" si="283"/>
        <v>0</v>
      </c>
      <c r="AV99" s="1001">
        <f t="shared" ref="AV99:AV112" si="284">SUM(AJ99:AM99)</f>
        <v>0</v>
      </c>
      <c r="AW99" s="1001">
        <f t="shared" si="227"/>
        <v>0</v>
      </c>
      <c r="AX99" s="1022">
        <f>AX100+AX108</f>
        <v>0</v>
      </c>
      <c r="AY99" s="1022">
        <f>AY100+AY108</f>
        <v>120737.44000000002</v>
      </c>
      <c r="AZ99" s="1022">
        <f>AZ100+AZ108</f>
        <v>0</v>
      </c>
      <c r="BA99" s="1027">
        <f>BA100+BA108</f>
        <v>120737.44000000002</v>
      </c>
      <c r="BB99" s="1017">
        <f t="shared" ref="BB99" si="285">+BB100+BB106+BB108</f>
        <v>0</v>
      </c>
      <c r="BC99" s="1017">
        <f>+BC100+BC106+BC108</f>
        <v>0</v>
      </c>
      <c r="BD99" s="1017">
        <f>+BD100+BD106+BD108</f>
        <v>0</v>
      </c>
      <c r="BE99" s="1027">
        <f>SUM(BB99:BD99)</f>
        <v>0</v>
      </c>
      <c r="BF99" s="1026">
        <v>0</v>
      </c>
      <c r="BG99" s="1022">
        <v>0</v>
      </c>
      <c r="BH99" s="1027">
        <v>0</v>
      </c>
      <c r="BI99" s="1026">
        <v>0</v>
      </c>
      <c r="BJ99" s="1022">
        <v>0</v>
      </c>
      <c r="BK99" s="1023">
        <v>0</v>
      </c>
      <c r="BL99" s="1026">
        <v>0</v>
      </c>
      <c r="BM99" s="1022">
        <v>0</v>
      </c>
      <c r="BN99" s="1023">
        <v>0</v>
      </c>
      <c r="BO99" s="1026">
        <v>0</v>
      </c>
      <c r="BP99" s="1028">
        <v>0</v>
      </c>
      <c r="BQ99" s="1008">
        <f t="shared" si="229"/>
        <v>0</v>
      </c>
      <c r="BR99" s="1028"/>
      <c r="BS99" s="1013">
        <f t="shared" si="230"/>
        <v>132090.88</v>
      </c>
      <c r="BT99" s="993" t="s">
        <v>419</v>
      </c>
    </row>
    <row r="100" spans="1:72" ht="18" customHeight="1" x14ac:dyDescent="0.2">
      <c r="A100" s="1014">
        <v>553</v>
      </c>
      <c r="B100" s="1080" t="s">
        <v>84</v>
      </c>
      <c r="C100" s="1098">
        <f>C102+C103+C104</f>
        <v>0</v>
      </c>
      <c r="D100" s="1017">
        <f>D102+D103+D104</f>
        <v>0</v>
      </c>
      <c r="E100" s="1017">
        <f>E102+E103+E104</f>
        <v>0</v>
      </c>
      <c r="F100" s="1096">
        <f>F102+F103+F104</f>
        <v>0</v>
      </c>
      <c r="G100" s="1001">
        <f t="shared" si="273"/>
        <v>0</v>
      </c>
      <c r="H100" s="1060">
        <f>SUM(H102:H104)</f>
        <v>0</v>
      </c>
      <c r="I100" s="1019">
        <f>SUM(I102:I104)</f>
        <v>0</v>
      </c>
      <c r="J100" s="1019">
        <f>SUM(J102:J104)</f>
        <v>0</v>
      </c>
      <c r="K100" s="1019">
        <f>SUM(K102:K104)</f>
        <v>0</v>
      </c>
      <c r="L100" s="1021">
        <f t="shared" si="241"/>
        <v>0</v>
      </c>
      <c r="M100" s="1062">
        <v>0</v>
      </c>
      <c r="N100" s="1071">
        <v>0</v>
      </c>
      <c r="O100" s="1071">
        <v>0</v>
      </c>
      <c r="P100" s="1071">
        <v>0</v>
      </c>
      <c r="Q100" s="1071">
        <v>0</v>
      </c>
      <c r="R100" s="1072">
        <f t="shared" si="225"/>
        <v>0</v>
      </c>
      <c r="S100" s="1098">
        <f>S102+S103+S104</f>
        <v>0</v>
      </c>
      <c r="T100" s="1017">
        <f>T102+T103+T104</f>
        <v>0</v>
      </c>
      <c r="U100" s="1017">
        <f>U102+U103+U104</f>
        <v>0</v>
      </c>
      <c r="V100" s="1096">
        <f>V102+V103+V104</f>
        <v>0</v>
      </c>
      <c r="W100" s="1001">
        <f t="shared" si="276"/>
        <v>0</v>
      </c>
      <c r="X100" s="1017">
        <f>X102+X103+X104</f>
        <v>0</v>
      </c>
      <c r="Y100" s="1017">
        <f>Y102+Y103+Y104</f>
        <v>0</v>
      </c>
      <c r="Z100" s="1001">
        <f t="shared" ref="Z100" si="286">SUM(X100:Y100)</f>
        <v>0</v>
      </c>
      <c r="AA100" s="1001">
        <f t="shared" si="226"/>
        <v>0</v>
      </c>
      <c r="AB100" s="1098">
        <f>AB102+AB103+AB104</f>
        <v>0</v>
      </c>
      <c r="AC100" s="1017">
        <f>AC102+AC103+AC104</f>
        <v>0</v>
      </c>
      <c r="AD100" s="1017">
        <f>AD102+AD103+AD104</f>
        <v>0</v>
      </c>
      <c r="AE100" s="1096">
        <f>AE102+AE103+AE104</f>
        <v>0</v>
      </c>
      <c r="AF100" s="1001">
        <f t="shared" si="279"/>
        <v>0</v>
      </c>
      <c r="AG100" s="1017">
        <f>AG102+AG103+AG104</f>
        <v>0</v>
      </c>
      <c r="AH100" s="1017">
        <f>AH102+AH103+AH104</f>
        <v>0</v>
      </c>
      <c r="AI100" s="1001">
        <f t="shared" ref="AI100" si="287">SUM(AG100:AH100)</f>
        <v>0</v>
      </c>
      <c r="AJ100" s="1001">
        <f t="shared" si="188"/>
        <v>0</v>
      </c>
      <c r="AK100" s="1098">
        <f>AK102+AK103+AK104</f>
        <v>0</v>
      </c>
      <c r="AL100" s="1017">
        <f>AL102+AL103+AL104</f>
        <v>0</v>
      </c>
      <c r="AM100" s="1017">
        <f>AM102+AM103+AM104</f>
        <v>0</v>
      </c>
      <c r="AN100" s="1096">
        <f>AN102+AN103+AN104</f>
        <v>0</v>
      </c>
      <c r="AO100" s="1001">
        <f t="shared" si="282"/>
        <v>0</v>
      </c>
      <c r="AP100" s="1009"/>
      <c r="AQ100" s="1024">
        <f>AQ102+AQ103+AQ104</f>
        <v>0</v>
      </c>
      <c r="AR100" s="1025">
        <f t="shared" ref="AR100:AT100" si="288">AR102+AR103+AR104</f>
        <v>0</v>
      </c>
      <c r="AS100" s="1025">
        <f t="shared" si="288"/>
        <v>0</v>
      </c>
      <c r="AT100" s="1025">
        <f t="shared" si="288"/>
        <v>0</v>
      </c>
      <c r="AU100" s="1017">
        <f>AU102+AU103+AU104</f>
        <v>0</v>
      </c>
      <c r="AV100" s="1001">
        <f t="shared" si="284"/>
        <v>0</v>
      </c>
      <c r="AW100" s="1001">
        <f t="shared" si="227"/>
        <v>0</v>
      </c>
      <c r="AX100" s="1022">
        <f>SUM(AX101:AX107)</f>
        <v>0</v>
      </c>
      <c r="AY100" s="1022">
        <f>SUM(AY101:AY105)</f>
        <v>120737.44000000002</v>
      </c>
      <c r="AZ100" s="1022">
        <f>SUM(AZ101:AZ107)</f>
        <v>0</v>
      </c>
      <c r="BA100" s="1027">
        <f>SUM(BA101:BA107)</f>
        <v>120737.44000000002</v>
      </c>
      <c r="BB100" s="1017">
        <f>SUM(BB101:BB105)</f>
        <v>0</v>
      </c>
      <c r="BC100" s="1017">
        <f t="shared" ref="BC100" si="289">SUM(BC101:BC105)</f>
        <v>0</v>
      </c>
      <c r="BD100" s="1017">
        <f t="shared" ref="BD100" si="290">SUM(BD101:BD105)</f>
        <v>0</v>
      </c>
      <c r="BE100" s="1076">
        <f>SUM(BE101:BE105)</f>
        <v>0</v>
      </c>
      <c r="BF100" s="1077">
        <v>0</v>
      </c>
      <c r="BG100" s="1071">
        <v>0</v>
      </c>
      <c r="BH100" s="1076">
        <v>0</v>
      </c>
      <c r="BI100" s="1077">
        <v>0</v>
      </c>
      <c r="BJ100" s="1022">
        <v>0</v>
      </c>
      <c r="BK100" s="1023">
        <v>0</v>
      </c>
      <c r="BL100" s="1077">
        <v>0</v>
      </c>
      <c r="BM100" s="1022">
        <v>0</v>
      </c>
      <c r="BN100" s="1023">
        <v>0</v>
      </c>
      <c r="BO100" s="1026">
        <v>0</v>
      </c>
      <c r="BP100" s="1028">
        <v>0</v>
      </c>
      <c r="BQ100" s="1008">
        <f t="shared" si="229"/>
        <v>0</v>
      </c>
      <c r="BR100" s="1062"/>
      <c r="BS100" s="1013">
        <f t="shared" si="230"/>
        <v>120737.44000000002</v>
      </c>
      <c r="BT100" s="284" t="s">
        <v>419</v>
      </c>
    </row>
    <row r="101" spans="1:72" ht="18" customHeight="1" x14ac:dyDescent="0.2">
      <c r="A101" s="1050">
        <v>55302</v>
      </c>
      <c r="B101" s="1051" t="s">
        <v>452</v>
      </c>
      <c r="C101" s="1099">
        <v>0</v>
      </c>
      <c r="D101" s="1082">
        <v>0</v>
      </c>
      <c r="E101" s="1066">
        <v>0</v>
      </c>
      <c r="F101" s="1066">
        <v>0</v>
      </c>
      <c r="G101" s="1067">
        <f t="shared" si="273"/>
        <v>0</v>
      </c>
      <c r="H101" s="1068">
        <v>0</v>
      </c>
      <c r="I101" s="1069">
        <v>0</v>
      </c>
      <c r="J101" s="1069">
        <v>0</v>
      </c>
      <c r="K101" s="1069">
        <v>0</v>
      </c>
      <c r="L101" s="1070">
        <f t="shared" si="241"/>
        <v>0</v>
      </c>
      <c r="M101" s="1062">
        <v>0</v>
      </c>
      <c r="N101" s="1071">
        <v>0</v>
      </c>
      <c r="O101" s="1071">
        <v>0</v>
      </c>
      <c r="P101" s="1071">
        <v>0</v>
      </c>
      <c r="Q101" s="1071">
        <v>0</v>
      </c>
      <c r="R101" s="1072">
        <f t="shared" si="225"/>
        <v>0</v>
      </c>
      <c r="S101" s="1099">
        <v>0</v>
      </c>
      <c r="T101" s="1082">
        <v>0</v>
      </c>
      <c r="U101" s="1066">
        <v>0</v>
      </c>
      <c r="V101" s="1066">
        <v>0</v>
      </c>
      <c r="W101" s="1067">
        <f t="shared" si="276"/>
        <v>0</v>
      </c>
      <c r="X101" s="1066">
        <v>0</v>
      </c>
      <c r="Y101" s="1066">
        <v>0</v>
      </c>
      <c r="Z101" s="1034">
        <f>SUM(X101:Y101)</f>
        <v>0</v>
      </c>
      <c r="AA101" s="1067">
        <f t="shared" si="226"/>
        <v>0</v>
      </c>
      <c r="AB101" s="1099">
        <v>0</v>
      </c>
      <c r="AC101" s="1082">
        <v>0</v>
      </c>
      <c r="AD101" s="1066">
        <v>0</v>
      </c>
      <c r="AE101" s="1066">
        <v>0</v>
      </c>
      <c r="AF101" s="1067">
        <f t="shared" si="279"/>
        <v>0</v>
      </c>
      <c r="AG101" s="1066">
        <v>0</v>
      </c>
      <c r="AH101" s="1066">
        <v>0</v>
      </c>
      <c r="AI101" s="1034">
        <f>SUM(AG101:AH101)</f>
        <v>0</v>
      </c>
      <c r="AJ101" s="1067">
        <f t="shared" si="188"/>
        <v>0</v>
      </c>
      <c r="AK101" s="1099">
        <f t="shared" ref="AK101:AK105" si="291">S101+AB101</f>
        <v>0</v>
      </c>
      <c r="AL101" s="1082">
        <f t="shared" ref="AL101:AL105" si="292">T101+AC101</f>
        <v>0</v>
      </c>
      <c r="AM101" s="1066">
        <f t="shared" ref="AM101:AM105" si="293">U101+AD101</f>
        <v>0</v>
      </c>
      <c r="AN101" s="1066">
        <f t="shared" ref="AN101:AN105" si="294">V101+AE101</f>
        <v>0</v>
      </c>
      <c r="AO101" s="1067">
        <f t="shared" si="282"/>
        <v>0</v>
      </c>
      <c r="AP101" s="1073"/>
      <c r="AQ101" s="1074">
        <v>0</v>
      </c>
      <c r="AR101" s="1075">
        <v>0</v>
      </c>
      <c r="AS101" s="1075">
        <v>0</v>
      </c>
      <c r="AT101" s="1075">
        <v>0</v>
      </c>
      <c r="AU101" s="1066">
        <v>0</v>
      </c>
      <c r="AV101" s="1067">
        <f t="shared" ref="AV101:AV105" si="295">SUM(AQ101:AU101)</f>
        <v>0</v>
      </c>
      <c r="AW101" s="1034">
        <f t="shared" si="227"/>
        <v>0</v>
      </c>
      <c r="AX101" s="1071">
        <v>0</v>
      </c>
      <c r="AY101" s="1071">
        <v>0</v>
      </c>
      <c r="AZ101" s="1071">
        <v>0</v>
      </c>
      <c r="BA101" s="1076">
        <f t="shared" ref="BA101:BA111" si="296">SUM(AX101:AZ101)</f>
        <v>0</v>
      </c>
      <c r="BB101" s="1066">
        <v>0</v>
      </c>
      <c r="BC101" s="1066">
        <v>0</v>
      </c>
      <c r="BD101" s="1066">
        <v>0</v>
      </c>
      <c r="BE101" s="1076">
        <f t="shared" si="228"/>
        <v>0</v>
      </c>
      <c r="BF101" s="1077">
        <v>0</v>
      </c>
      <c r="BG101" s="1071">
        <v>0</v>
      </c>
      <c r="BH101" s="1076">
        <v>0</v>
      </c>
      <c r="BI101" s="1077">
        <v>0</v>
      </c>
      <c r="BJ101" s="1071">
        <v>0</v>
      </c>
      <c r="BK101" s="1041">
        <v>0</v>
      </c>
      <c r="BL101" s="1077">
        <v>0</v>
      </c>
      <c r="BM101" s="1071">
        <v>0</v>
      </c>
      <c r="BN101" s="1041">
        <v>0</v>
      </c>
      <c r="BO101" s="1077">
        <v>0</v>
      </c>
      <c r="BP101" s="1062"/>
      <c r="BQ101" s="1078"/>
      <c r="BR101" s="1062"/>
      <c r="BS101" s="1079">
        <f t="shared" si="230"/>
        <v>0</v>
      </c>
      <c r="BT101" s="284" t="s">
        <v>419</v>
      </c>
    </row>
    <row r="102" spans="1:72" ht="18" customHeight="1" x14ac:dyDescent="0.2">
      <c r="A102" s="1050">
        <v>55303</v>
      </c>
      <c r="B102" s="1051" t="s">
        <v>85</v>
      </c>
      <c r="C102" s="1099">
        <v>0</v>
      </c>
      <c r="D102" s="1082">
        <v>0</v>
      </c>
      <c r="E102" s="1066">
        <v>0</v>
      </c>
      <c r="F102" s="1066">
        <v>0</v>
      </c>
      <c r="G102" s="1067">
        <f t="shared" si="273"/>
        <v>0</v>
      </c>
      <c r="H102" s="1068">
        <v>0</v>
      </c>
      <c r="I102" s="1069">
        <v>0</v>
      </c>
      <c r="J102" s="1069">
        <v>0</v>
      </c>
      <c r="K102" s="1069">
        <v>0</v>
      </c>
      <c r="L102" s="1070">
        <f t="shared" si="241"/>
        <v>0</v>
      </c>
      <c r="M102" s="1062">
        <v>0</v>
      </c>
      <c r="N102" s="1071">
        <v>0</v>
      </c>
      <c r="O102" s="1071">
        <v>0</v>
      </c>
      <c r="P102" s="1071">
        <v>0</v>
      </c>
      <c r="Q102" s="1071">
        <v>0</v>
      </c>
      <c r="R102" s="1072">
        <f t="shared" si="225"/>
        <v>0</v>
      </c>
      <c r="S102" s="1099">
        <v>0</v>
      </c>
      <c r="T102" s="1082">
        <v>0</v>
      </c>
      <c r="U102" s="1066">
        <v>0</v>
      </c>
      <c r="V102" s="1066">
        <v>0</v>
      </c>
      <c r="W102" s="1067">
        <f t="shared" si="276"/>
        <v>0</v>
      </c>
      <c r="X102" s="1066">
        <v>0</v>
      </c>
      <c r="Y102" s="1066">
        <v>0</v>
      </c>
      <c r="Z102" s="1034">
        <f t="shared" ref="Z102:Z165" si="297">SUM(X102:Y102)</f>
        <v>0</v>
      </c>
      <c r="AA102" s="1067">
        <f t="shared" si="226"/>
        <v>0</v>
      </c>
      <c r="AB102" s="1099">
        <v>0</v>
      </c>
      <c r="AC102" s="1082">
        <v>0</v>
      </c>
      <c r="AD102" s="1066">
        <v>0</v>
      </c>
      <c r="AE102" s="1066">
        <v>0</v>
      </c>
      <c r="AF102" s="1067">
        <f t="shared" si="279"/>
        <v>0</v>
      </c>
      <c r="AG102" s="1066">
        <v>0</v>
      </c>
      <c r="AH102" s="1066">
        <v>0</v>
      </c>
      <c r="AI102" s="1034">
        <f t="shared" ref="AI102:AI115" si="298">SUM(AG102:AH102)</f>
        <v>0</v>
      </c>
      <c r="AJ102" s="1067">
        <f t="shared" si="188"/>
        <v>0</v>
      </c>
      <c r="AK102" s="1099">
        <f t="shared" si="291"/>
        <v>0</v>
      </c>
      <c r="AL102" s="1082">
        <f t="shared" si="292"/>
        <v>0</v>
      </c>
      <c r="AM102" s="1066">
        <f t="shared" si="293"/>
        <v>0</v>
      </c>
      <c r="AN102" s="1066">
        <f t="shared" si="294"/>
        <v>0</v>
      </c>
      <c r="AO102" s="1067">
        <f t="shared" si="282"/>
        <v>0</v>
      </c>
      <c r="AP102" s="1073"/>
      <c r="AQ102" s="1074">
        <v>0</v>
      </c>
      <c r="AR102" s="1075">
        <v>0</v>
      </c>
      <c r="AS102" s="1075">
        <v>0</v>
      </c>
      <c r="AT102" s="1075">
        <v>0</v>
      </c>
      <c r="AU102" s="1066">
        <v>0</v>
      </c>
      <c r="AV102" s="1067">
        <f t="shared" si="295"/>
        <v>0</v>
      </c>
      <c r="AW102" s="1034">
        <f t="shared" si="227"/>
        <v>0</v>
      </c>
      <c r="AX102" s="1071">
        <v>0</v>
      </c>
      <c r="AY102" s="1071">
        <v>0</v>
      </c>
      <c r="AZ102" s="1071">
        <v>0</v>
      </c>
      <c r="BA102" s="1076">
        <f t="shared" si="296"/>
        <v>0</v>
      </c>
      <c r="BB102" s="1066">
        <v>0</v>
      </c>
      <c r="BC102" s="1066">
        <v>0</v>
      </c>
      <c r="BD102" s="1066">
        <v>0</v>
      </c>
      <c r="BE102" s="1076">
        <f t="shared" si="228"/>
        <v>0</v>
      </c>
      <c r="BF102" s="1077">
        <v>0</v>
      </c>
      <c r="BG102" s="1071">
        <v>0</v>
      </c>
      <c r="BH102" s="1076">
        <v>0</v>
      </c>
      <c r="BI102" s="1077">
        <v>0</v>
      </c>
      <c r="BJ102" s="1071">
        <v>0</v>
      </c>
      <c r="BK102" s="1041">
        <v>0</v>
      </c>
      <c r="BL102" s="1077">
        <v>0</v>
      </c>
      <c r="BM102" s="1071">
        <v>0</v>
      </c>
      <c r="BN102" s="1041">
        <v>0</v>
      </c>
      <c r="BO102" s="1077"/>
      <c r="BP102" s="1062"/>
      <c r="BQ102" s="1078">
        <f t="shared" si="229"/>
        <v>0</v>
      </c>
      <c r="BR102" s="1062"/>
      <c r="BS102" s="1079">
        <f t="shared" si="230"/>
        <v>0</v>
      </c>
      <c r="BT102" s="284" t="s">
        <v>419</v>
      </c>
    </row>
    <row r="103" spans="1:72" ht="18" customHeight="1" x14ac:dyDescent="0.2">
      <c r="A103" s="1050">
        <v>55304</v>
      </c>
      <c r="B103" s="1051" t="s">
        <v>86</v>
      </c>
      <c r="C103" s="1099">
        <v>0</v>
      </c>
      <c r="D103" s="1082">
        <v>0</v>
      </c>
      <c r="E103" s="1066">
        <v>0</v>
      </c>
      <c r="F103" s="1066">
        <v>0</v>
      </c>
      <c r="G103" s="1067">
        <f t="shared" si="273"/>
        <v>0</v>
      </c>
      <c r="H103" s="1068">
        <v>0</v>
      </c>
      <c r="I103" s="1069">
        <v>0</v>
      </c>
      <c r="J103" s="1069">
        <v>0</v>
      </c>
      <c r="K103" s="1069">
        <v>0</v>
      </c>
      <c r="L103" s="1070">
        <f t="shared" si="241"/>
        <v>0</v>
      </c>
      <c r="M103" s="1062">
        <v>0</v>
      </c>
      <c r="N103" s="1071">
        <v>0</v>
      </c>
      <c r="O103" s="1071">
        <v>0</v>
      </c>
      <c r="P103" s="1071">
        <v>0</v>
      </c>
      <c r="Q103" s="1071">
        <v>0</v>
      </c>
      <c r="R103" s="1072">
        <f t="shared" si="225"/>
        <v>0</v>
      </c>
      <c r="S103" s="1099">
        <v>0</v>
      </c>
      <c r="T103" s="1082">
        <v>0</v>
      </c>
      <c r="U103" s="1066">
        <v>0</v>
      </c>
      <c r="V103" s="1066">
        <v>0</v>
      </c>
      <c r="W103" s="1067">
        <f t="shared" si="276"/>
        <v>0</v>
      </c>
      <c r="X103" s="1066">
        <v>0</v>
      </c>
      <c r="Y103" s="1066">
        <v>0</v>
      </c>
      <c r="Z103" s="1034">
        <f t="shared" si="297"/>
        <v>0</v>
      </c>
      <c r="AA103" s="1067">
        <f t="shared" si="226"/>
        <v>0</v>
      </c>
      <c r="AB103" s="1099">
        <v>0</v>
      </c>
      <c r="AC103" s="1082">
        <v>0</v>
      </c>
      <c r="AD103" s="1066">
        <v>0</v>
      </c>
      <c r="AE103" s="1066">
        <v>0</v>
      </c>
      <c r="AF103" s="1067">
        <f t="shared" si="279"/>
        <v>0</v>
      </c>
      <c r="AG103" s="1066">
        <v>0</v>
      </c>
      <c r="AH103" s="1066">
        <v>0</v>
      </c>
      <c r="AI103" s="1034">
        <f t="shared" si="298"/>
        <v>0</v>
      </c>
      <c r="AJ103" s="1067">
        <f t="shared" si="188"/>
        <v>0</v>
      </c>
      <c r="AK103" s="1099">
        <f t="shared" si="291"/>
        <v>0</v>
      </c>
      <c r="AL103" s="1082">
        <f t="shared" si="292"/>
        <v>0</v>
      </c>
      <c r="AM103" s="1066">
        <f t="shared" si="293"/>
        <v>0</v>
      </c>
      <c r="AN103" s="1066">
        <f t="shared" si="294"/>
        <v>0</v>
      </c>
      <c r="AO103" s="1067">
        <f t="shared" si="282"/>
        <v>0</v>
      </c>
      <c r="AP103" s="1073"/>
      <c r="AQ103" s="1074">
        <v>0</v>
      </c>
      <c r="AR103" s="1075">
        <v>0</v>
      </c>
      <c r="AS103" s="1075">
        <v>0</v>
      </c>
      <c r="AT103" s="1075">
        <v>0</v>
      </c>
      <c r="AU103" s="1066">
        <v>0</v>
      </c>
      <c r="AV103" s="1067">
        <f t="shared" si="295"/>
        <v>0</v>
      </c>
      <c r="AW103" s="1034">
        <f t="shared" si="227"/>
        <v>0</v>
      </c>
      <c r="AX103" s="1071">
        <v>0</v>
      </c>
      <c r="AY103" s="1071">
        <f>'AG5'!H20</f>
        <v>120737.44000000002</v>
      </c>
      <c r="AZ103" s="1071">
        <v>0</v>
      </c>
      <c r="BA103" s="1076">
        <f t="shared" si="296"/>
        <v>120737.44000000002</v>
      </c>
      <c r="BB103" s="1066">
        <v>0</v>
      </c>
      <c r="BC103" s="1066">
        <v>0</v>
      </c>
      <c r="BD103" s="1066">
        <v>0</v>
      </c>
      <c r="BE103" s="1076">
        <f t="shared" si="228"/>
        <v>0</v>
      </c>
      <c r="BF103" s="1077">
        <v>0</v>
      </c>
      <c r="BG103" s="1071">
        <v>0</v>
      </c>
      <c r="BH103" s="1076">
        <v>0</v>
      </c>
      <c r="BI103" s="1077">
        <v>0</v>
      </c>
      <c r="BJ103" s="1071">
        <v>0</v>
      </c>
      <c r="BK103" s="1041">
        <v>0</v>
      </c>
      <c r="BL103" s="1077">
        <v>0</v>
      </c>
      <c r="BM103" s="1071">
        <v>0</v>
      </c>
      <c r="BN103" s="1041">
        <v>0</v>
      </c>
      <c r="BO103" s="1077">
        <v>0</v>
      </c>
      <c r="BP103" s="1062">
        <v>0</v>
      </c>
      <c r="BQ103" s="1078">
        <v>0</v>
      </c>
      <c r="BR103" s="1062"/>
      <c r="BS103" s="1079">
        <f t="shared" si="230"/>
        <v>120737.44000000002</v>
      </c>
      <c r="BT103" s="284" t="s">
        <v>419</v>
      </c>
    </row>
    <row r="104" spans="1:72" ht="18" hidden="1" customHeight="1" x14ac:dyDescent="0.2">
      <c r="A104" s="1050">
        <v>55306</v>
      </c>
      <c r="B104" s="1051" t="s">
        <v>248</v>
      </c>
      <c r="C104" s="1099">
        <v>0</v>
      </c>
      <c r="D104" s="1082">
        <v>0</v>
      </c>
      <c r="E104" s="1066">
        <v>0</v>
      </c>
      <c r="F104" s="1066">
        <v>0</v>
      </c>
      <c r="G104" s="1067">
        <f t="shared" si="273"/>
        <v>0</v>
      </c>
      <c r="H104" s="1068">
        <v>0</v>
      </c>
      <c r="I104" s="1069">
        <v>0</v>
      </c>
      <c r="J104" s="1069">
        <v>0</v>
      </c>
      <c r="K104" s="1069">
        <v>0</v>
      </c>
      <c r="L104" s="1070">
        <f t="shared" si="241"/>
        <v>0</v>
      </c>
      <c r="M104" s="1062">
        <v>0</v>
      </c>
      <c r="N104" s="1071">
        <v>0</v>
      </c>
      <c r="O104" s="1071">
        <v>0</v>
      </c>
      <c r="P104" s="1071">
        <v>0</v>
      </c>
      <c r="Q104" s="1071">
        <v>0</v>
      </c>
      <c r="R104" s="1072">
        <f t="shared" si="225"/>
        <v>0</v>
      </c>
      <c r="S104" s="1099">
        <v>0</v>
      </c>
      <c r="T104" s="1082">
        <v>0</v>
      </c>
      <c r="U104" s="1066">
        <v>0</v>
      </c>
      <c r="V104" s="1066">
        <v>0</v>
      </c>
      <c r="W104" s="1067">
        <f t="shared" si="276"/>
        <v>0</v>
      </c>
      <c r="X104" s="1066">
        <v>0</v>
      </c>
      <c r="Y104" s="1066">
        <v>0</v>
      </c>
      <c r="Z104" s="1034">
        <f t="shared" si="297"/>
        <v>0</v>
      </c>
      <c r="AA104" s="1067">
        <f t="shared" si="226"/>
        <v>0</v>
      </c>
      <c r="AB104" s="1099">
        <v>0</v>
      </c>
      <c r="AC104" s="1082">
        <v>0</v>
      </c>
      <c r="AD104" s="1066">
        <v>0</v>
      </c>
      <c r="AE104" s="1066">
        <v>0</v>
      </c>
      <c r="AF104" s="1067">
        <f t="shared" si="279"/>
        <v>0</v>
      </c>
      <c r="AG104" s="1066">
        <v>0</v>
      </c>
      <c r="AH104" s="1066">
        <v>0</v>
      </c>
      <c r="AI104" s="1034">
        <f t="shared" si="298"/>
        <v>0</v>
      </c>
      <c r="AJ104" s="1067">
        <f t="shared" si="188"/>
        <v>0</v>
      </c>
      <c r="AK104" s="1099">
        <f t="shared" si="291"/>
        <v>0</v>
      </c>
      <c r="AL104" s="1082">
        <f t="shared" si="292"/>
        <v>0</v>
      </c>
      <c r="AM104" s="1066">
        <f t="shared" si="293"/>
        <v>0</v>
      </c>
      <c r="AN104" s="1066">
        <f t="shared" si="294"/>
        <v>0</v>
      </c>
      <c r="AO104" s="1067">
        <f t="shared" si="282"/>
        <v>0</v>
      </c>
      <c r="AP104" s="1073"/>
      <c r="AQ104" s="1074">
        <v>0</v>
      </c>
      <c r="AR104" s="1075">
        <v>0</v>
      </c>
      <c r="AS104" s="1075">
        <v>0</v>
      </c>
      <c r="AT104" s="1075">
        <v>0</v>
      </c>
      <c r="AU104" s="1066">
        <v>0</v>
      </c>
      <c r="AV104" s="1067">
        <f t="shared" si="295"/>
        <v>0</v>
      </c>
      <c r="AW104" s="1034">
        <f t="shared" si="227"/>
        <v>0</v>
      </c>
      <c r="AX104" s="1071">
        <v>0</v>
      </c>
      <c r="AY104" s="1071">
        <v>0</v>
      </c>
      <c r="AZ104" s="1071">
        <v>0</v>
      </c>
      <c r="BA104" s="1076">
        <f t="shared" si="296"/>
        <v>0</v>
      </c>
      <c r="BB104" s="1066">
        <v>0</v>
      </c>
      <c r="BC104" s="1066">
        <v>0</v>
      </c>
      <c r="BD104" s="1066">
        <v>0</v>
      </c>
      <c r="BE104" s="1076">
        <f t="shared" si="228"/>
        <v>0</v>
      </c>
      <c r="BF104" s="1077">
        <v>0</v>
      </c>
      <c r="BG104" s="1071">
        <v>0</v>
      </c>
      <c r="BH104" s="1076">
        <v>0</v>
      </c>
      <c r="BI104" s="1077">
        <v>0</v>
      </c>
      <c r="BJ104" s="1071">
        <v>0</v>
      </c>
      <c r="BK104" s="1041">
        <v>0</v>
      </c>
      <c r="BL104" s="1077">
        <v>0</v>
      </c>
      <c r="BM104" s="1071">
        <v>0</v>
      </c>
      <c r="BN104" s="1041">
        <v>0</v>
      </c>
      <c r="BO104" s="1077">
        <v>0</v>
      </c>
      <c r="BP104" s="1062">
        <v>0</v>
      </c>
      <c r="BQ104" s="1078">
        <v>0</v>
      </c>
      <c r="BR104" s="1062"/>
      <c r="BS104" s="1079">
        <f t="shared" si="230"/>
        <v>0</v>
      </c>
      <c r="BT104" s="284" t="s">
        <v>419</v>
      </c>
    </row>
    <row r="105" spans="1:72" ht="18" hidden="1" customHeight="1" x14ac:dyDescent="0.2">
      <c r="A105" s="1050">
        <v>55308</v>
      </c>
      <c r="B105" s="1051" t="s">
        <v>229</v>
      </c>
      <c r="C105" s="1099">
        <v>0</v>
      </c>
      <c r="D105" s="1082">
        <v>0</v>
      </c>
      <c r="E105" s="1066">
        <v>0</v>
      </c>
      <c r="F105" s="1066">
        <v>0</v>
      </c>
      <c r="G105" s="1067">
        <f t="shared" si="273"/>
        <v>0</v>
      </c>
      <c r="H105" s="1068">
        <v>0</v>
      </c>
      <c r="I105" s="1069">
        <v>0</v>
      </c>
      <c r="J105" s="1069">
        <v>0</v>
      </c>
      <c r="K105" s="1069">
        <v>0</v>
      </c>
      <c r="L105" s="1070"/>
      <c r="M105" s="1062">
        <v>0</v>
      </c>
      <c r="N105" s="1071">
        <v>0</v>
      </c>
      <c r="O105" s="1071">
        <v>0</v>
      </c>
      <c r="P105" s="1071">
        <v>0</v>
      </c>
      <c r="Q105" s="1071">
        <v>0</v>
      </c>
      <c r="R105" s="1072">
        <f t="shared" si="225"/>
        <v>0</v>
      </c>
      <c r="S105" s="1099">
        <v>0</v>
      </c>
      <c r="T105" s="1082">
        <v>0</v>
      </c>
      <c r="U105" s="1066">
        <v>0</v>
      </c>
      <c r="V105" s="1066">
        <v>0</v>
      </c>
      <c r="W105" s="1067">
        <f t="shared" si="276"/>
        <v>0</v>
      </c>
      <c r="X105" s="1066">
        <v>0</v>
      </c>
      <c r="Y105" s="1066">
        <v>0</v>
      </c>
      <c r="Z105" s="1034">
        <f t="shared" si="297"/>
        <v>0</v>
      </c>
      <c r="AA105" s="1067">
        <f t="shared" si="226"/>
        <v>0</v>
      </c>
      <c r="AB105" s="1099">
        <v>0</v>
      </c>
      <c r="AC105" s="1082">
        <v>0</v>
      </c>
      <c r="AD105" s="1066">
        <v>0</v>
      </c>
      <c r="AE105" s="1066">
        <v>0</v>
      </c>
      <c r="AF105" s="1067">
        <f t="shared" si="279"/>
        <v>0</v>
      </c>
      <c r="AG105" s="1066">
        <v>0</v>
      </c>
      <c r="AH105" s="1066">
        <v>0</v>
      </c>
      <c r="AI105" s="1034">
        <f t="shared" si="298"/>
        <v>0</v>
      </c>
      <c r="AJ105" s="1067">
        <f t="shared" si="188"/>
        <v>0</v>
      </c>
      <c r="AK105" s="1099">
        <f t="shared" si="291"/>
        <v>0</v>
      </c>
      <c r="AL105" s="1082">
        <f t="shared" si="292"/>
        <v>0</v>
      </c>
      <c r="AM105" s="1066">
        <f t="shared" si="293"/>
        <v>0</v>
      </c>
      <c r="AN105" s="1066">
        <f t="shared" si="294"/>
        <v>0</v>
      </c>
      <c r="AO105" s="1067">
        <f t="shared" si="282"/>
        <v>0</v>
      </c>
      <c r="AP105" s="1073"/>
      <c r="AQ105" s="1074">
        <v>0</v>
      </c>
      <c r="AR105" s="1075">
        <v>0</v>
      </c>
      <c r="AS105" s="1075">
        <v>0</v>
      </c>
      <c r="AT105" s="1075">
        <v>0</v>
      </c>
      <c r="AU105" s="1066">
        <v>0</v>
      </c>
      <c r="AV105" s="1067">
        <f t="shared" si="295"/>
        <v>0</v>
      </c>
      <c r="AW105" s="1034">
        <f t="shared" si="227"/>
        <v>0</v>
      </c>
      <c r="AX105" s="1071">
        <v>0</v>
      </c>
      <c r="AY105" s="1071">
        <v>0</v>
      </c>
      <c r="AZ105" s="1071">
        <v>0</v>
      </c>
      <c r="BA105" s="1076">
        <f t="shared" si="296"/>
        <v>0</v>
      </c>
      <c r="BB105" s="1066">
        <v>0</v>
      </c>
      <c r="BC105" s="1066">
        <v>0</v>
      </c>
      <c r="BD105" s="1066">
        <v>0</v>
      </c>
      <c r="BE105" s="1076">
        <f t="shared" si="228"/>
        <v>0</v>
      </c>
      <c r="BF105" s="1077">
        <v>0</v>
      </c>
      <c r="BG105" s="1071">
        <v>0</v>
      </c>
      <c r="BH105" s="1076">
        <v>0</v>
      </c>
      <c r="BI105" s="1077">
        <v>0</v>
      </c>
      <c r="BJ105" s="1071">
        <v>0</v>
      </c>
      <c r="BK105" s="1041">
        <v>0</v>
      </c>
      <c r="BL105" s="1077">
        <v>0</v>
      </c>
      <c r="BM105" s="1071">
        <v>0</v>
      </c>
      <c r="BN105" s="1041">
        <v>0</v>
      </c>
      <c r="BO105" s="1077">
        <v>0</v>
      </c>
      <c r="BP105" s="1062">
        <v>0</v>
      </c>
      <c r="BQ105" s="1078">
        <v>0</v>
      </c>
      <c r="BR105" s="1062"/>
      <c r="BS105" s="1079">
        <f t="shared" si="230"/>
        <v>0</v>
      </c>
      <c r="BT105" s="284" t="s">
        <v>419</v>
      </c>
    </row>
    <row r="106" spans="1:72" s="140" customFormat="1" ht="18" customHeight="1" x14ac:dyDescent="0.2">
      <c r="A106" s="1014">
        <v>555</v>
      </c>
      <c r="B106" s="1080" t="s">
        <v>438</v>
      </c>
      <c r="C106" s="1098">
        <f>SUM(C107)</f>
        <v>153.44</v>
      </c>
      <c r="D106" s="1017">
        <v>0</v>
      </c>
      <c r="E106" s="1000">
        <v>0</v>
      </c>
      <c r="F106" s="1000">
        <f>SUM(F107)</f>
        <v>0</v>
      </c>
      <c r="G106" s="1059">
        <f t="shared" si="273"/>
        <v>153.44</v>
      </c>
      <c r="H106" s="1019">
        <f t="shared" ref="H106:J106" si="299">H107</f>
        <v>0</v>
      </c>
      <c r="I106" s="1019">
        <f t="shared" si="299"/>
        <v>0</v>
      </c>
      <c r="J106" s="1019">
        <f t="shared" si="299"/>
        <v>0</v>
      </c>
      <c r="K106" s="1019">
        <f>K107</f>
        <v>0</v>
      </c>
      <c r="L106" s="1021">
        <f>L107</f>
        <v>0</v>
      </c>
      <c r="M106" s="1028">
        <v>0</v>
      </c>
      <c r="N106" s="1022">
        <v>0</v>
      </c>
      <c r="O106" s="1022">
        <v>0</v>
      </c>
      <c r="P106" s="1022">
        <v>0</v>
      </c>
      <c r="Q106" s="1022">
        <v>0</v>
      </c>
      <c r="R106" s="1023">
        <f t="shared" si="225"/>
        <v>0</v>
      </c>
      <c r="S106" s="1098">
        <f>SUM(S107)</f>
        <v>0</v>
      </c>
      <c r="T106" s="1017">
        <v>0</v>
      </c>
      <c r="U106" s="1000">
        <v>0</v>
      </c>
      <c r="V106" s="1000">
        <f>SUM(V107)</f>
        <v>0</v>
      </c>
      <c r="W106" s="1059">
        <f t="shared" si="276"/>
        <v>0</v>
      </c>
      <c r="X106" s="1000">
        <v>0</v>
      </c>
      <c r="Y106" s="1000">
        <v>0</v>
      </c>
      <c r="Z106" s="1059">
        <f t="shared" si="297"/>
        <v>0</v>
      </c>
      <c r="AA106" s="1059">
        <f t="shared" si="226"/>
        <v>0</v>
      </c>
      <c r="AB106" s="1098">
        <f>SUM(AB107)</f>
        <v>0</v>
      </c>
      <c r="AC106" s="1017">
        <v>0</v>
      </c>
      <c r="AD106" s="1000">
        <v>0</v>
      </c>
      <c r="AE106" s="1000">
        <f>SUM(AE107)</f>
        <v>0</v>
      </c>
      <c r="AF106" s="1059">
        <f t="shared" si="279"/>
        <v>0</v>
      </c>
      <c r="AG106" s="1000">
        <v>0</v>
      </c>
      <c r="AH106" s="1000">
        <v>0</v>
      </c>
      <c r="AI106" s="1059">
        <f t="shared" si="298"/>
        <v>0</v>
      </c>
      <c r="AJ106" s="1059">
        <f t="shared" si="188"/>
        <v>0</v>
      </c>
      <c r="AK106" s="1098">
        <f>SUM(AK107)</f>
        <v>0</v>
      </c>
      <c r="AL106" s="1017">
        <v>0</v>
      </c>
      <c r="AM106" s="1000">
        <v>0</v>
      </c>
      <c r="AN106" s="1000">
        <f>SUM(AN107)</f>
        <v>0</v>
      </c>
      <c r="AO106" s="1059">
        <f t="shared" si="282"/>
        <v>0</v>
      </c>
      <c r="AP106" s="1061"/>
      <c r="AQ106" s="999">
        <v>0</v>
      </c>
      <c r="AR106" s="1010">
        <f t="shared" ref="AR106:AT106" si="300">SUM(AR107)</f>
        <v>0</v>
      </c>
      <c r="AS106" s="1010">
        <f t="shared" si="300"/>
        <v>0</v>
      </c>
      <c r="AT106" s="1010">
        <f t="shared" si="300"/>
        <v>0</v>
      </c>
      <c r="AU106" s="1000">
        <v>0</v>
      </c>
      <c r="AV106" s="1059">
        <f t="shared" si="284"/>
        <v>0</v>
      </c>
      <c r="AW106" s="1059">
        <f t="shared" si="227"/>
        <v>0</v>
      </c>
      <c r="AX106" s="1022">
        <v>0</v>
      </c>
      <c r="AY106" s="1022">
        <v>0</v>
      </c>
      <c r="AZ106" s="1022">
        <v>0</v>
      </c>
      <c r="BA106" s="1027">
        <f t="shared" si="296"/>
        <v>0</v>
      </c>
      <c r="BB106" s="1000">
        <v>0</v>
      </c>
      <c r="BC106" s="1000">
        <f>SUM(BC107)</f>
        <v>0</v>
      </c>
      <c r="BD106" s="1000">
        <f>SUM(AV106:BC106)</f>
        <v>0</v>
      </c>
      <c r="BE106" s="1027">
        <f>SUM(BB106:BD106)</f>
        <v>0</v>
      </c>
      <c r="BF106" s="1026">
        <v>0</v>
      </c>
      <c r="BG106" s="1022">
        <v>0</v>
      </c>
      <c r="BH106" s="1027">
        <v>0</v>
      </c>
      <c r="BI106" s="1026">
        <v>0</v>
      </c>
      <c r="BJ106" s="1022">
        <v>0</v>
      </c>
      <c r="BK106" s="1023">
        <v>0</v>
      </c>
      <c r="BL106" s="1026">
        <v>0</v>
      </c>
      <c r="BM106" s="1022">
        <v>0</v>
      </c>
      <c r="BN106" s="1023">
        <v>0</v>
      </c>
      <c r="BO106" s="1026">
        <v>0</v>
      </c>
      <c r="BP106" s="1028">
        <v>0</v>
      </c>
      <c r="BQ106" s="1008">
        <v>0</v>
      </c>
      <c r="BR106" s="1028"/>
      <c r="BS106" s="1013">
        <f t="shared" si="230"/>
        <v>153.44</v>
      </c>
      <c r="BT106" s="284" t="s">
        <v>419</v>
      </c>
    </row>
    <row r="107" spans="1:72" ht="18" customHeight="1" x14ac:dyDescent="0.2">
      <c r="A107" s="1050">
        <v>55508</v>
      </c>
      <c r="B107" s="1051" t="s">
        <v>329</v>
      </c>
      <c r="C107" s="1099">
        <f>+'F.P y DL'!C511</f>
        <v>153.44</v>
      </c>
      <c r="D107" s="1082">
        <v>0</v>
      </c>
      <c r="E107" s="1066">
        <v>0</v>
      </c>
      <c r="F107" s="1066">
        <f>'F.P y DL'!F511</f>
        <v>0</v>
      </c>
      <c r="G107" s="1067">
        <f t="shared" si="273"/>
        <v>153.44</v>
      </c>
      <c r="H107" s="1068">
        <f>'F.P y DL'!C74</f>
        <v>0</v>
      </c>
      <c r="I107" s="1069">
        <f>'F.P y DL'!D74</f>
        <v>0</v>
      </c>
      <c r="J107" s="1069">
        <f>'F.P y DL'!E74</f>
        <v>0</v>
      </c>
      <c r="K107" s="1069">
        <f>'F.P y DL'!F74</f>
        <v>0</v>
      </c>
      <c r="L107" s="1070">
        <f>+K107+J107+I107+H107</f>
        <v>0</v>
      </c>
      <c r="M107" s="1062">
        <v>0</v>
      </c>
      <c r="N107" s="1071">
        <v>0</v>
      </c>
      <c r="O107" s="1071">
        <v>0</v>
      </c>
      <c r="P107" s="1071">
        <v>0</v>
      </c>
      <c r="Q107" s="1071">
        <v>0</v>
      </c>
      <c r="R107" s="1072">
        <f t="shared" si="225"/>
        <v>0</v>
      </c>
      <c r="S107" s="1099">
        <f>+'F.P y DL'!W511</f>
        <v>0</v>
      </c>
      <c r="T107" s="1082">
        <v>0</v>
      </c>
      <c r="U107" s="1066">
        <v>0</v>
      </c>
      <c r="V107" s="1066">
        <f>'F.P y DL'!Z511</f>
        <v>0</v>
      </c>
      <c r="W107" s="1067">
        <f t="shared" si="276"/>
        <v>0</v>
      </c>
      <c r="X107" s="1066">
        <v>0</v>
      </c>
      <c r="Y107" s="1066">
        <v>0</v>
      </c>
      <c r="Z107" s="1034">
        <f t="shared" si="297"/>
        <v>0</v>
      </c>
      <c r="AA107" s="1067">
        <f t="shared" si="226"/>
        <v>0</v>
      </c>
      <c r="AB107" s="1099">
        <f>+'F.P y DL'!AF511</f>
        <v>0</v>
      </c>
      <c r="AC107" s="1082">
        <v>0</v>
      </c>
      <c r="AD107" s="1066">
        <v>0</v>
      </c>
      <c r="AE107" s="1066">
        <f>'F.P y DL'!AI511</f>
        <v>0</v>
      </c>
      <c r="AF107" s="1067">
        <f t="shared" si="279"/>
        <v>0</v>
      </c>
      <c r="AG107" s="1066">
        <v>0</v>
      </c>
      <c r="AH107" s="1066">
        <v>0</v>
      </c>
      <c r="AI107" s="1034">
        <f t="shared" si="298"/>
        <v>0</v>
      </c>
      <c r="AJ107" s="1067">
        <f t="shared" si="188"/>
        <v>0</v>
      </c>
      <c r="AK107" s="1099">
        <f>S107+AB107</f>
        <v>0</v>
      </c>
      <c r="AL107" s="1082">
        <f t="shared" ref="AL107" si="301">T107+AC107</f>
        <v>0</v>
      </c>
      <c r="AM107" s="1066">
        <f t="shared" ref="AM107" si="302">U107+AD107</f>
        <v>0</v>
      </c>
      <c r="AN107" s="1066">
        <f t="shared" ref="AN107" si="303">V107+AE107</f>
        <v>0</v>
      </c>
      <c r="AO107" s="1067">
        <f t="shared" si="282"/>
        <v>0</v>
      </c>
      <c r="AP107" s="1073"/>
      <c r="AQ107" s="1074">
        <v>0</v>
      </c>
      <c r="AR107" s="1075">
        <v>0</v>
      </c>
      <c r="AS107" s="1075">
        <v>0</v>
      </c>
      <c r="AT107" s="1075">
        <v>0</v>
      </c>
      <c r="AU107" s="1066">
        <v>0</v>
      </c>
      <c r="AV107" s="1067">
        <f>SUM(AQ107:AU107)</f>
        <v>0</v>
      </c>
      <c r="AW107" s="1034">
        <f t="shared" si="227"/>
        <v>0</v>
      </c>
      <c r="AX107" s="1071">
        <v>0</v>
      </c>
      <c r="AY107" s="1071">
        <v>0</v>
      </c>
      <c r="AZ107" s="1071">
        <v>0</v>
      </c>
      <c r="BA107" s="1076">
        <f t="shared" si="296"/>
        <v>0</v>
      </c>
      <c r="BB107" s="1066">
        <v>0</v>
      </c>
      <c r="BC107" s="1066">
        <v>0</v>
      </c>
      <c r="BD107" s="1066">
        <v>0</v>
      </c>
      <c r="BE107" s="1076">
        <f t="shared" si="228"/>
        <v>0</v>
      </c>
      <c r="BF107" s="1077">
        <v>0</v>
      </c>
      <c r="BG107" s="1071">
        <v>0</v>
      </c>
      <c r="BH107" s="1076">
        <v>0</v>
      </c>
      <c r="BI107" s="1077">
        <v>0</v>
      </c>
      <c r="BJ107" s="1071">
        <v>0</v>
      </c>
      <c r="BK107" s="1041">
        <v>0</v>
      </c>
      <c r="BL107" s="1077">
        <v>0</v>
      </c>
      <c r="BM107" s="1071">
        <v>0</v>
      </c>
      <c r="BN107" s="1041">
        <v>0</v>
      </c>
      <c r="BO107" s="1077">
        <v>0</v>
      </c>
      <c r="BP107" s="1062">
        <v>0</v>
      </c>
      <c r="BQ107" s="1078">
        <v>0</v>
      </c>
      <c r="BR107" s="1062"/>
      <c r="BS107" s="1079">
        <f t="shared" si="230"/>
        <v>153.44</v>
      </c>
      <c r="BT107" s="284" t="s">
        <v>419</v>
      </c>
    </row>
    <row r="108" spans="1:72" ht="18" customHeight="1" x14ac:dyDescent="0.2">
      <c r="A108" s="1014">
        <v>556</v>
      </c>
      <c r="B108" s="1080" t="s">
        <v>88</v>
      </c>
      <c r="C108" s="1098">
        <f>C109+C110+C111</f>
        <v>10500</v>
      </c>
      <c r="D108" s="1017">
        <f>D109+D110+D111</f>
        <v>700</v>
      </c>
      <c r="E108" s="1017">
        <f>E109+E110+E111</f>
        <v>0</v>
      </c>
      <c r="F108" s="1017">
        <f>F109+F110+F111</f>
        <v>0</v>
      </c>
      <c r="G108" s="1059">
        <f t="shared" si="273"/>
        <v>11200</v>
      </c>
      <c r="H108" s="1060">
        <f>SUM(H109:H111)</f>
        <v>0</v>
      </c>
      <c r="I108" s="1019">
        <f>SUM(I109:I111)</f>
        <v>0</v>
      </c>
      <c r="J108" s="1019">
        <f>SUM(J109:J111)</f>
        <v>0</v>
      </c>
      <c r="K108" s="1019">
        <f>SUM(K109:K111)</f>
        <v>0</v>
      </c>
      <c r="L108" s="1021">
        <f>SUM(H108:K108)</f>
        <v>0</v>
      </c>
      <c r="M108" s="1028">
        <v>0</v>
      </c>
      <c r="N108" s="1022">
        <v>0</v>
      </c>
      <c r="O108" s="1022">
        <v>0</v>
      </c>
      <c r="P108" s="1022">
        <v>0</v>
      </c>
      <c r="Q108" s="1022">
        <v>0</v>
      </c>
      <c r="R108" s="1023">
        <f t="shared" si="225"/>
        <v>0</v>
      </c>
      <c r="S108" s="1098">
        <f>S109+S110+S111</f>
        <v>0</v>
      </c>
      <c r="T108" s="1017">
        <f>T109+T110+T111</f>
        <v>0</v>
      </c>
      <c r="U108" s="1017">
        <f>U109+U110+U111</f>
        <v>0</v>
      </c>
      <c r="V108" s="1017">
        <f>V109+V110+V111</f>
        <v>0</v>
      </c>
      <c r="W108" s="1059">
        <f t="shared" si="276"/>
        <v>0</v>
      </c>
      <c r="X108" s="1017">
        <f>X109+X110+X111</f>
        <v>0</v>
      </c>
      <c r="Y108" s="1017">
        <f>Y109+Y110+Y111</f>
        <v>0</v>
      </c>
      <c r="Z108" s="1059">
        <f t="shared" si="297"/>
        <v>0</v>
      </c>
      <c r="AA108" s="1059">
        <f t="shared" si="226"/>
        <v>0</v>
      </c>
      <c r="AB108" s="1098">
        <f>AB109+AB110+AB111</f>
        <v>0</v>
      </c>
      <c r="AC108" s="1017">
        <f>AC109+AC110+AC111</f>
        <v>0</v>
      </c>
      <c r="AD108" s="1017">
        <f>AD109+AD110+AD111</f>
        <v>0</v>
      </c>
      <c r="AE108" s="1017">
        <f>AE109+AE110+AE111</f>
        <v>0</v>
      </c>
      <c r="AF108" s="1059">
        <f t="shared" si="279"/>
        <v>0</v>
      </c>
      <c r="AG108" s="1017">
        <f>AG109+AG110+AG111</f>
        <v>0</v>
      </c>
      <c r="AH108" s="1017">
        <f>AH109+AH110+AH111</f>
        <v>0</v>
      </c>
      <c r="AI108" s="1059">
        <f t="shared" si="298"/>
        <v>0</v>
      </c>
      <c r="AJ108" s="1059">
        <f t="shared" si="188"/>
        <v>0</v>
      </c>
      <c r="AK108" s="1098">
        <f>AK109+AK110+AK111</f>
        <v>0</v>
      </c>
      <c r="AL108" s="1017">
        <f>AL109+AL110+AL111</f>
        <v>0</v>
      </c>
      <c r="AM108" s="1017">
        <f>AM109+AM110+AM111</f>
        <v>0</v>
      </c>
      <c r="AN108" s="1017">
        <f>AN109+AN110+AN111</f>
        <v>0</v>
      </c>
      <c r="AO108" s="1059">
        <f t="shared" si="282"/>
        <v>0</v>
      </c>
      <c r="AP108" s="1061"/>
      <c r="AQ108" s="1024">
        <f>AQ109+AQ110+AQ111</f>
        <v>0</v>
      </c>
      <c r="AR108" s="1025">
        <f t="shared" ref="AR108:AT108" si="304">AR109+AR110+AR111</f>
        <v>0</v>
      </c>
      <c r="AS108" s="1025">
        <f t="shared" si="304"/>
        <v>0</v>
      </c>
      <c r="AT108" s="1025">
        <f t="shared" si="304"/>
        <v>0</v>
      </c>
      <c r="AU108" s="1017">
        <f>AU109+AU110+AU111</f>
        <v>0</v>
      </c>
      <c r="AV108" s="1059">
        <f t="shared" si="284"/>
        <v>0</v>
      </c>
      <c r="AW108" s="1059">
        <f t="shared" si="227"/>
        <v>0</v>
      </c>
      <c r="AX108" s="1022">
        <v>0</v>
      </c>
      <c r="AY108" s="1022">
        <f>AY111</f>
        <v>0</v>
      </c>
      <c r="AZ108" s="1022">
        <f>AZ111</f>
        <v>0</v>
      </c>
      <c r="BA108" s="1027">
        <f t="shared" si="296"/>
        <v>0</v>
      </c>
      <c r="BB108" s="1017">
        <f>BB109+BB110+BB111</f>
        <v>0</v>
      </c>
      <c r="BC108" s="1017">
        <f>BC109+BC110+BC111</f>
        <v>0</v>
      </c>
      <c r="BD108" s="1000">
        <f>SUM(AV108:BC108)</f>
        <v>0</v>
      </c>
      <c r="BE108" s="1027">
        <f>SUM(BB108:BD108)</f>
        <v>0</v>
      </c>
      <c r="BF108" s="1026">
        <v>0</v>
      </c>
      <c r="BG108" s="1022">
        <v>0</v>
      </c>
      <c r="BH108" s="1027">
        <v>0</v>
      </c>
      <c r="BI108" s="1026">
        <v>0</v>
      </c>
      <c r="BJ108" s="1022">
        <v>0</v>
      </c>
      <c r="BK108" s="1023">
        <v>0</v>
      </c>
      <c r="BL108" s="1026">
        <v>0</v>
      </c>
      <c r="BM108" s="1022">
        <v>0</v>
      </c>
      <c r="BN108" s="1023">
        <v>0</v>
      </c>
      <c r="BO108" s="1026">
        <v>0</v>
      </c>
      <c r="BP108" s="1028">
        <v>0</v>
      </c>
      <c r="BQ108" s="1008">
        <f t="shared" si="229"/>
        <v>0</v>
      </c>
      <c r="BR108" s="1062"/>
      <c r="BS108" s="1013">
        <f t="shared" si="230"/>
        <v>11200</v>
      </c>
      <c r="BT108" s="284" t="s">
        <v>419</v>
      </c>
    </row>
    <row r="109" spans="1:72" ht="18" customHeight="1" x14ac:dyDescent="0.2">
      <c r="A109" s="1050">
        <v>55601</v>
      </c>
      <c r="B109" s="1051" t="s">
        <v>89</v>
      </c>
      <c r="C109" s="1083">
        <f>'F.P y DL'!C514</f>
        <v>0</v>
      </c>
      <c r="D109" s="1082">
        <f>'F.P y DL'!D514</f>
        <v>600</v>
      </c>
      <c r="E109" s="1082">
        <f>'F.P y DL'!E514</f>
        <v>0</v>
      </c>
      <c r="F109" s="1082">
        <f>'F.P y DL'!F514</f>
        <v>0</v>
      </c>
      <c r="G109" s="1067">
        <f t="shared" si="273"/>
        <v>600</v>
      </c>
      <c r="H109" s="1068">
        <f>'F.P y DL'!C76</f>
        <v>0</v>
      </c>
      <c r="I109" s="1069">
        <f>'F.P y DL'!D76</f>
        <v>0</v>
      </c>
      <c r="J109" s="1069">
        <f>'F.P y DL'!E76</f>
        <v>0</v>
      </c>
      <c r="K109" s="1069">
        <f>'F.P y DL'!F76</f>
        <v>0</v>
      </c>
      <c r="L109" s="1070">
        <f t="shared" ref="L109:L120" si="305">SUM(H109:J109)</f>
        <v>0</v>
      </c>
      <c r="M109" s="1062">
        <v>0</v>
      </c>
      <c r="N109" s="1071">
        <v>0</v>
      </c>
      <c r="O109" s="1071">
        <v>0</v>
      </c>
      <c r="P109" s="1071">
        <v>0</v>
      </c>
      <c r="Q109" s="1071">
        <v>0</v>
      </c>
      <c r="R109" s="1072">
        <f t="shared" si="225"/>
        <v>0</v>
      </c>
      <c r="S109" s="1083">
        <f>'F.P y DL'!W514</f>
        <v>0</v>
      </c>
      <c r="T109" s="1082">
        <f>'F.P y DL'!X514</f>
        <v>0</v>
      </c>
      <c r="U109" s="1082">
        <f>'F.P y DL'!Y514</f>
        <v>0</v>
      </c>
      <c r="V109" s="1082">
        <f>'F.P y DL'!Z514</f>
        <v>0</v>
      </c>
      <c r="W109" s="1067">
        <f t="shared" si="276"/>
        <v>0</v>
      </c>
      <c r="X109" s="1082">
        <f>'F.P y DL'!AA514</f>
        <v>0</v>
      </c>
      <c r="Y109" s="1082">
        <f>'F.P y DL'!AB514</f>
        <v>0</v>
      </c>
      <c r="Z109" s="1034">
        <f t="shared" si="297"/>
        <v>0</v>
      </c>
      <c r="AA109" s="1067">
        <f t="shared" si="226"/>
        <v>0</v>
      </c>
      <c r="AB109" s="1083">
        <f>'F.P y DL'!AF514</f>
        <v>0</v>
      </c>
      <c r="AC109" s="1082">
        <f>'F.P y DL'!AG514</f>
        <v>0</v>
      </c>
      <c r="AD109" s="1082">
        <f>'F.P y DL'!AH514</f>
        <v>0</v>
      </c>
      <c r="AE109" s="1082">
        <f>'F.P y DL'!AI514</f>
        <v>0</v>
      </c>
      <c r="AF109" s="1067">
        <f t="shared" si="279"/>
        <v>0</v>
      </c>
      <c r="AG109" s="1082">
        <f>'F.P y DL'!AJ514</f>
        <v>0</v>
      </c>
      <c r="AH109" s="1082">
        <f>'F.P y DL'!AK514</f>
        <v>0</v>
      </c>
      <c r="AI109" s="1034">
        <f t="shared" si="298"/>
        <v>0</v>
      </c>
      <c r="AJ109" s="1067">
        <f t="shared" si="188"/>
        <v>0</v>
      </c>
      <c r="AK109" s="1083">
        <f t="shared" ref="AK109:AK111" si="306">S109+AB109</f>
        <v>0</v>
      </c>
      <c r="AL109" s="1082">
        <f t="shared" ref="AL109:AL111" si="307">T109+AC109</f>
        <v>0</v>
      </c>
      <c r="AM109" s="1082">
        <f t="shared" ref="AM109:AM111" si="308">U109+AD109</f>
        <v>0</v>
      </c>
      <c r="AN109" s="1082">
        <f t="shared" ref="AN109:AN111" si="309">V109+AE109</f>
        <v>0</v>
      </c>
      <c r="AO109" s="1067">
        <f t="shared" si="282"/>
        <v>0</v>
      </c>
      <c r="AP109" s="1073"/>
      <c r="AQ109" s="1083">
        <v>0</v>
      </c>
      <c r="AR109" s="1084">
        <v>0</v>
      </c>
      <c r="AS109" s="1084">
        <v>0</v>
      </c>
      <c r="AT109" s="1084">
        <v>0</v>
      </c>
      <c r="AU109" s="1082">
        <v>0</v>
      </c>
      <c r="AV109" s="1067">
        <f t="shared" ref="AV109:AV111" si="310">SUM(AQ109:AU109)</f>
        <v>0</v>
      </c>
      <c r="AW109" s="1034">
        <f t="shared" si="227"/>
        <v>0</v>
      </c>
      <c r="AX109" s="1071">
        <v>0</v>
      </c>
      <c r="AY109" s="1071">
        <v>0</v>
      </c>
      <c r="AZ109" s="1071">
        <v>0</v>
      </c>
      <c r="BA109" s="1076">
        <f t="shared" si="296"/>
        <v>0</v>
      </c>
      <c r="BB109" s="1082">
        <v>0</v>
      </c>
      <c r="BC109" s="1082">
        <v>0</v>
      </c>
      <c r="BD109" s="1066">
        <v>0</v>
      </c>
      <c r="BE109" s="1076">
        <f t="shared" si="228"/>
        <v>0</v>
      </c>
      <c r="BF109" s="1077">
        <v>0</v>
      </c>
      <c r="BG109" s="1071">
        <v>0</v>
      </c>
      <c r="BH109" s="1076">
        <v>0</v>
      </c>
      <c r="BI109" s="1077">
        <v>0</v>
      </c>
      <c r="BJ109" s="1071">
        <v>0</v>
      </c>
      <c r="BK109" s="1041">
        <v>0</v>
      </c>
      <c r="BL109" s="1077">
        <v>0</v>
      </c>
      <c r="BM109" s="1071">
        <v>0</v>
      </c>
      <c r="BN109" s="1041">
        <v>0</v>
      </c>
      <c r="BO109" s="1077">
        <v>0</v>
      </c>
      <c r="BP109" s="1062">
        <v>0</v>
      </c>
      <c r="BQ109" s="1078">
        <f t="shared" si="229"/>
        <v>0</v>
      </c>
      <c r="BR109" s="1062"/>
      <c r="BS109" s="1079">
        <f t="shared" si="230"/>
        <v>600</v>
      </c>
      <c r="BT109" s="284" t="s">
        <v>419</v>
      </c>
    </row>
    <row r="110" spans="1:72" ht="18" customHeight="1" x14ac:dyDescent="0.2">
      <c r="A110" s="1050">
        <v>55602</v>
      </c>
      <c r="B110" s="1051" t="s">
        <v>90</v>
      </c>
      <c r="C110" s="1099">
        <f>'F.P y DL'!C515</f>
        <v>10500</v>
      </c>
      <c r="D110" s="1082">
        <f>'F.P y DL'!D515</f>
        <v>0</v>
      </c>
      <c r="E110" s="1066">
        <f>'F.P y DL'!E515</f>
        <v>0</v>
      </c>
      <c r="F110" s="1066">
        <f>'F.P y DL'!F515</f>
        <v>0</v>
      </c>
      <c r="G110" s="1067">
        <f t="shared" si="273"/>
        <v>10500</v>
      </c>
      <c r="H110" s="1068">
        <f>'F.P y DL'!C77</f>
        <v>0</v>
      </c>
      <c r="I110" s="1069">
        <f>'F.P y DL'!D77</f>
        <v>0</v>
      </c>
      <c r="J110" s="1069">
        <f>'F.P y DL'!E77</f>
        <v>0</v>
      </c>
      <c r="K110" s="1069">
        <f>'F.P y DL'!F77</f>
        <v>0</v>
      </c>
      <c r="L110" s="1070">
        <f t="shared" si="305"/>
        <v>0</v>
      </c>
      <c r="M110" s="1062">
        <v>0</v>
      </c>
      <c r="N110" s="1071">
        <v>0</v>
      </c>
      <c r="O110" s="1071">
        <v>0</v>
      </c>
      <c r="P110" s="1071">
        <v>0</v>
      </c>
      <c r="Q110" s="1071">
        <v>0</v>
      </c>
      <c r="R110" s="1072">
        <f t="shared" si="225"/>
        <v>0</v>
      </c>
      <c r="S110" s="1099">
        <f>'F.P y DL'!W515</f>
        <v>0</v>
      </c>
      <c r="T110" s="1082">
        <f>'F.P y DL'!X515</f>
        <v>0</v>
      </c>
      <c r="U110" s="1066">
        <f>'F.P y DL'!Y515</f>
        <v>0</v>
      </c>
      <c r="V110" s="1066">
        <f>'F.P y DL'!Z515</f>
        <v>0</v>
      </c>
      <c r="W110" s="1067">
        <f t="shared" si="276"/>
        <v>0</v>
      </c>
      <c r="X110" s="1066">
        <f>'F.P y DL'!AA515</f>
        <v>0</v>
      </c>
      <c r="Y110" s="1066">
        <f>'F.P y DL'!AB515</f>
        <v>0</v>
      </c>
      <c r="Z110" s="1034">
        <f t="shared" si="297"/>
        <v>0</v>
      </c>
      <c r="AA110" s="1067">
        <f t="shared" si="226"/>
        <v>0</v>
      </c>
      <c r="AB110" s="1099">
        <f>'F.P y DL'!AF515</f>
        <v>0</v>
      </c>
      <c r="AC110" s="1082">
        <f>'F.P y DL'!AG515</f>
        <v>0</v>
      </c>
      <c r="AD110" s="1066">
        <f>'F.P y DL'!AH515</f>
        <v>0</v>
      </c>
      <c r="AE110" s="1066">
        <f>'F.P y DL'!AI515</f>
        <v>0</v>
      </c>
      <c r="AF110" s="1067">
        <f t="shared" si="279"/>
        <v>0</v>
      </c>
      <c r="AG110" s="1066">
        <f>'F.P y DL'!AJ515</f>
        <v>0</v>
      </c>
      <c r="AH110" s="1066">
        <f>'F.P y DL'!AK515</f>
        <v>0</v>
      </c>
      <c r="AI110" s="1034">
        <f t="shared" si="298"/>
        <v>0</v>
      </c>
      <c r="AJ110" s="1067">
        <f t="shared" si="188"/>
        <v>0</v>
      </c>
      <c r="AK110" s="1099">
        <f t="shared" si="306"/>
        <v>0</v>
      </c>
      <c r="AL110" s="1082">
        <f t="shared" si="307"/>
        <v>0</v>
      </c>
      <c r="AM110" s="1066">
        <f t="shared" si="308"/>
        <v>0</v>
      </c>
      <c r="AN110" s="1066">
        <f t="shared" si="309"/>
        <v>0</v>
      </c>
      <c r="AO110" s="1067">
        <f t="shared" si="282"/>
        <v>0</v>
      </c>
      <c r="AP110" s="1073"/>
      <c r="AQ110" s="1074">
        <v>0</v>
      </c>
      <c r="AR110" s="1075">
        <v>0</v>
      </c>
      <c r="AS110" s="1075">
        <v>0</v>
      </c>
      <c r="AT110" s="1075">
        <v>0</v>
      </c>
      <c r="AU110" s="1066">
        <v>0</v>
      </c>
      <c r="AV110" s="1067">
        <f t="shared" si="310"/>
        <v>0</v>
      </c>
      <c r="AW110" s="1034">
        <f t="shared" si="227"/>
        <v>0</v>
      </c>
      <c r="AX110" s="1071">
        <v>0</v>
      </c>
      <c r="AY110" s="1071">
        <v>0</v>
      </c>
      <c r="AZ110" s="1071">
        <v>0</v>
      </c>
      <c r="BA110" s="1076">
        <f t="shared" si="296"/>
        <v>0</v>
      </c>
      <c r="BB110" s="1066">
        <v>0</v>
      </c>
      <c r="BC110" s="1066">
        <v>0</v>
      </c>
      <c r="BD110" s="1066">
        <v>0</v>
      </c>
      <c r="BE110" s="1076">
        <f t="shared" si="228"/>
        <v>0</v>
      </c>
      <c r="BF110" s="1077">
        <v>0</v>
      </c>
      <c r="BG110" s="1071">
        <v>0</v>
      </c>
      <c r="BH110" s="1076">
        <v>0</v>
      </c>
      <c r="BI110" s="1077">
        <v>0</v>
      </c>
      <c r="BJ110" s="1071">
        <v>0</v>
      </c>
      <c r="BK110" s="1041">
        <v>0</v>
      </c>
      <c r="BL110" s="1077">
        <v>0</v>
      </c>
      <c r="BM110" s="1071">
        <v>0</v>
      </c>
      <c r="BN110" s="1041">
        <v>0</v>
      </c>
      <c r="BO110" s="1077">
        <v>0</v>
      </c>
      <c r="BP110" s="1062">
        <v>0</v>
      </c>
      <c r="BQ110" s="1078">
        <f t="shared" si="229"/>
        <v>0</v>
      </c>
      <c r="BR110" s="1062"/>
      <c r="BS110" s="1079">
        <f t="shared" si="230"/>
        <v>10500</v>
      </c>
      <c r="BT110" s="284" t="s">
        <v>419</v>
      </c>
    </row>
    <row r="111" spans="1:72" ht="18" customHeight="1" x14ac:dyDescent="0.2">
      <c r="A111" s="1050">
        <v>55603</v>
      </c>
      <c r="B111" s="1051" t="s">
        <v>91</v>
      </c>
      <c r="C111" s="1099">
        <f>'F.P y DL'!C516</f>
        <v>0</v>
      </c>
      <c r="D111" s="1082">
        <f>'F.P y DL'!D516</f>
        <v>100</v>
      </c>
      <c r="E111" s="1066">
        <f>'F.P y DL'!E516</f>
        <v>0</v>
      </c>
      <c r="F111" s="1066">
        <f>'F.P y DL'!F516</f>
        <v>0</v>
      </c>
      <c r="G111" s="1067">
        <f t="shared" si="273"/>
        <v>100</v>
      </c>
      <c r="H111" s="1068">
        <f>'F.P y DL'!C78</f>
        <v>0</v>
      </c>
      <c r="I111" s="1069">
        <f>'F.P y DL'!D78</f>
        <v>0</v>
      </c>
      <c r="J111" s="1069">
        <f>'F.P y DL'!E78</f>
        <v>0</v>
      </c>
      <c r="K111" s="1069">
        <f>'F.P y DL'!F78</f>
        <v>0</v>
      </c>
      <c r="L111" s="1070">
        <f t="shared" si="305"/>
        <v>0</v>
      </c>
      <c r="M111" s="1062">
        <v>0</v>
      </c>
      <c r="N111" s="1071">
        <v>0</v>
      </c>
      <c r="O111" s="1071">
        <v>0</v>
      </c>
      <c r="P111" s="1071">
        <v>0</v>
      </c>
      <c r="Q111" s="1071">
        <v>0</v>
      </c>
      <c r="R111" s="1072">
        <f t="shared" si="225"/>
        <v>0</v>
      </c>
      <c r="S111" s="1099">
        <f>'F.P y DL'!W516</f>
        <v>0</v>
      </c>
      <c r="T111" s="1082">
        <f>'F.P y DL'!X516</f>
        <v>0</v>
      </c>
      <c r="U111" s="1066">
        <f>'F.P y DL'!Y516</f>
        <v>0</v>
      </c>
      <c r="V111" s="1066">
        <f>'F.P y DL'!Z516</f>
        <v>0</v>
      </c>
      <c r="W111" s="1067">
        <f t="shared" si="276"/>
        <v>0</v>
      </c>
      <c r="X111" s="1066">
        <f>'F.P y DL'!AA516</f>
        <v>0</v>
      </c>
      <c r="Y111" s="1066">
        <f>'F.P y DL'!AB516</f>
        <v>0</v>
      </c>
      <c r="Z111" s="1034">
        <f t="shared" si="297"/>
        <v>0</v>
      </c>
      <c r="AA111" s="1067">
        <f t="shared" si="226"/>
        <v>0</v>
      </c>
      <c r="AB111" s="1099">
        <f>'F.P y DL'!AF516</f>
        <v>0</v>
      </c>
      <c r="AC111" s="1082">
        <f>'F.P y DL'!AG516</f>
        <v>0</v>
      </c>
      <c r="AD111" s="1066">
        <f>'F.P y DL'!AH516</f>
        <v>0</v>
      </c>
      <c r="AE111" s="1066">
        <f>'F.P y DL'!AI516</f>
        <v>0</v>
      </c>
      <c r="AF111" s="1067">
        <f t="shared" si="279"/>
        <v>0</v>
      </c>
      <c r="AG111" s="1066">
        <f>'F.P y DL'!AJ516</f>
        <v>0</v>
      </c>
      <c r="AH111" s="1066">
        <f>'F.P y DL'!AK516</f>
        <v>0</v>
      </c>
      <c r="AI111" s="1034">
        <f t="shared" si="298"/>
        <v>0</v>
      </c>
      <c r="AJ111" s="1067">
        <f t="shared" si="188"/>
        <v>0</v>
      </c>
      <c r="AK111" s="1099">
        <f t="shared" si="306"/>
        <v>0</v>
      </c>
      <c r="AL111" s="1082">
        <f t="shared" si="307"/>
        <v>0</v>
      </c>
      <c r="AM111" s="1066">
        <f t="shared" si="308"/>
        <v>0</v>
      </c>
      <c r="AN111" s="1066">
        <f t="shared" si="309"/>
        <v>0</v>
      </c>
      <c r="AO111" s="1067">
        <f t="shared" si="282"/>
        <v>0</v>
      </c>
      <c r="AP111" s="1073"/>
      <c r="AQ111" s="1074">
        <v>0</v>
      </c>
      <c r="AR111" s="1075">
        <v>0</v>
      </c>
      <c r="AS111" s="1075">
        <v>0</v>
      </c>
      <c r="AT111" s="1075">
        <v>0</v>
      </c>
      <c r="AU111" s="1066">
        <v>0</v>
      </c>
      <c r="AV111" s="1067">
        <f t="shared" si="310"/>
        <v>0</v>
      </c>
      <c r="AW111" s="1034">
        <f t="shared" si="227"/>
        <v>0</v>
      </c>
      <c r="AX111" s="1071">
        <v>0</v>
      </c>
      <c r="AY111" s="1071">
        <v>0</v>
      </c>
      <c r="AZ111" s="1071">
        <f>'AG5'!C23</f>
        <v>0</v>
      </c>
      <c r="BA111" s="1076">
        <f t="shared" si="296"/>
        <v>0</v>
      </c>
      <c r="BB111" s="1066">
        <v>0</v>
      </c>
      <c r="BC111" s="1066">
        <v>0</v>
      </c>
      <c r="BD111" s="1066">
        <v>0</v>
      </c>
      <c r="BE111" s="1076">
        <f t="shared" si="228"/>
        <v>0</v>
      </c>
      <c r="BF111" s="1077">
        <v>0</v>
      </c>
      <c r="BG111" s="1071">
        <v>0</v>
      </c>
      <c r="BH111" s="1076">
        <v>0</v>
      </c>
      <c r="BI111" s="1077">
        <v>0</v>
      </c>
      <c r="BJ111" s="1071">
        <v>0</v>
      </c>
      <c r="BK111" s="1041">
        <v>0</v>
      </c>
      <c r="BL111" s="1077">
        <v>0</v>
      </c>
      <c r="BM111" s="1071">
        <v>0</v>
      </c>
      <c r="BN111" s="1041">
        <v>0</v>
      </c>
      <c r="BO111" s="1077">
        <v>0</v>
      </c>
      <c r="BP111" s="1062">
        <v>0</v>
      </c>
      <c r="BQ111" s="1078">
        <f t="shared" si="229"/>
        <v>0</v>
      </c>
      <c r="BR111" s="1062"/>
      <c r="BS111" s="1079">
        <f t="shared" si="230"/>
        <v>100</v>
      </c>
      <c r="BT111" s="284" t="s">
        <v>419</v>
      </c>
    </row>
    <row r="112" spans="1:72" s="140" customFormat="1" ht="18" hidden="1" customHeight="1" x14ac:dyDescent="0.2">
      <c r="A112" s="1014">
        <v>557</v>
      </c>
      <c r="B112" s="1080" t="s">
        <v>92</v>
      </c>
      <c r="C112" s="1098">
        <f>C113+C114+C115</f>
        <v>0</v>
      </c>
      <c r="D112" s="1017">
        <f>D113+D114+D115</f>
        <v>0</v>
      </c>
      <c r="E112" s="1017">
        <f t="shared" ref="E112:F112" si="311">E113+E114+E115</f>
        <v>0</v>
      </c>
      <c r="F112" s="1017">
        <f t="shared" si="311"/>
        <v>0</v>
      </c>
      <c r="G112" s="1059">
        <f t="shared" si="273"/>
        <v>0</v>
      </c>
      <c r="H112" s="1060">
        <f>SUM(H113:H115)</f>
        <v>0</v>
      </c>
      <c r="I112" s="1019">
        <f>SUM(I113:I115)</f>
        <v>0</v>
      </c>
      <c r="J112" s="1019">
        <f>SUM(J113:J115)</f>
        <v>0</v>
      </c>
      <c r="K112" s="1019">
        <f>SUM(K113:K115)</f>
        <v>0</v>
      </c>
      <c r="L112" s="1021">
        <f t="shared" si="305"/>
        <v>0</v>
      </c>
      <c r="M112" s="1028">
        <v>0</v>
      </c>
      <c r="N112" s="1022">
        <v>0</v>
      </c>
      <c r="O112" s="1022">
        <v>0</v>
      </c>
      <c r="P112" s="1022">
        <v>0</v>
      </c>
      <c r="Q112" s="1022">
        <v>0</v>
      </c>
      <c r="R112" s="1023">
        <f t="shared" si="225"/>
        <v>0</v>
      </c>
      <c r="S112" s="1098">
        <f>S113+S114+S115</f>
        <v>0</v>
      </c>
      <c r="T112" s="1017">
        <f>T113+T114+T115</f>
        <v>0</v>
      </c>
      <c r="U112" s="1017">
        <f t="shared" ref="U112:Y112" si="312">U113+U114+U115</f>
        <v>0</v>
      </c>
      <c r="V112" s="1017">
        <f t="shared" ref="V112" si="313">V113+V114+V115</f>
        <v>0</v>
      </c>
      <c r="W112" s="1059">
        <f t="shared" si="276"/>
        <v>0</v>
      </c>
      <c r="X112" s="1017">
        <f t="shared" si="312"/>
        <v>0</v>
      </c>
      <c r="Y112" s="1017">
        <f t="shared" si="312"/>
        <v>0</v>
      </c>
      <c r="Z112" s="1059">
        <f t="shared" si="297"/>
        <v>0</v>
      </c>
      <c r="AA112" s="1059">
        <f t="shared" si="226"/>
        <v>0</v>
      </c>
      <c r="AB112" s="1098">
        <f>AB113+AB114+AB115</f>
        <v>0</v>
      </c>
      <c r="AC112" s="1017">
        <f>AC113+AC114+AC115</f>
        <v>0</v>
      </c>
      <c r="AD112" s="1017">
        <f t="shared" ref="AD112" si="314">AD113+AD114+AD115</f>
        <v>0</v>
      </c>
      <c r="AE112" s="1017">
        <f t="shared" ref="AE112" si="315">AE113+AE114+AE115</f>
        <v>0</v>
      </c>
      <c r="AF112" s="1059">
        <f t="shared" si="279"/>
        <v>0</v>
      </c>
      <c r="AG112" s="1017">
        <f t="shared" ref="AG112" si="316">AG113+AG114+AG115</f>
        <v>0</v>
      </c>
      <c r="AH112" s="1017">
        <f t="shared" ref="AH112" si="317">AH113+AH114+AH115</f>
        <v>0</v>
      </c>
      <c r="AI112" s="1059">
        <f t="shared" si="298"/>
        <v>0</v>
      </c>
      <c r="AJ112" s="1059">
        <f t="shared" si="188"/>
        <v>0</v>
      </c>
      <c r="AK112" s="1098">
        <f>AK113+AK114+AK115</f>
        <v>0</v>
      </c>
      <c r="AL112" s="1017">
        <f>AL113+AL114+AL115</f>
        <v>0</v>
      </c>
      <c r="AM112" s="1017">
        <f t="shared" ref="AM112" si="318">AM113+AM114+AM115</f>
        <v>0</v>
      </c>
      <c r="AN112" s="1017">
        <f t="shared" ref="AN112" si="319">AN113+AN114+AN115</f>
        <v>0</v>
      </c>
      <c r="AO112" s="1059">
        <f t="shared" si="282"/>
        <v>0</v>
      </c>
      <c r="AP112" s="1061"/>
      <c r="AQ112" s="1024">
        <f t="shared" ref="AQ112:AT112" si="320">AQ113+AQ114+AQ115</f>
        <v>0</v>
      </c>
      <c r="AR112" s="1025">
        <f t="shared" si="320"/>
        <v>0</v>
      </c>
      <c r="AS112" s="1025">
        <f t="shared" si="320"/>
        <v>0</v>
      </c>
      <c r="AT112" s="1025">
        <f t="shared" si="320"/>
        <v>0</v>
      </c>
      <c r="AU112" s="1017">
        <f t="shared" ref="AU112" si="321">AU113+AU114+AU115</f>
        <v>0</v>
      </c>
      <c r="AV112" s="1059">
        <f t="shared" si="284"/>
        <v>0</v>
      </c>
      <c r="AW112" s="1059">
        <f t="shared" si="227"/>
        <v>0</v>
      </c>
      <c r="AX112" s="1022">
        <v>0</v>
      </c>
      <c r="AY112" s="1022"/>
      <c r="AZ112" s="1022"/>
      <c r="BA112" s="1027">
        <f>M112+N112+O112+AX112</f>
        <v>0</v>
      </c>
      <c r="BB112" s="1017">
        <f t="shared" ref="BB112" si="322">BB113+BB114+BB115</f>
        <v>0</v>
      </c>
      <c r="BC112" s="1017">
        <f t="shared" ref="BC112" si="323">BC113+BC114+BC115</f>
        <v>0</v>
      </c>
      <c r="BD112" s="1000">
        <f>SUM(AV112:BC112)</f>
        <v>0</v>
      </c>
      <c r="BE112" s="1027">
        <f t="shared" si="228"/>
        <v>0</v>
      </c>
      <c r="BF112" s="1026">
        <v>0</v>
      </c>
      <c r="BG112" s="1022">
        <v>0</v>
      </c>
      <c r="BH112" s="1027">
        <v>0</v>
      </c>
      <c r="BI112" s="1026">
        <v>0</v>
      </c>
      <c r="BJ112" s="1022">
        <v>0</v>
      </c>
      <c r="BK112" s="1023">
        <v>0</v>
      </c>
      <c r="BL112" s="1026">
        <v>0</v>
      </c>
      <c r="BM112" s="1022">
        <v>0</v>
      </c>
      <c r="BN112" s="1023">
        <v>0</v>
      </c>
      <c r="BO112" s="1026">
        <v>0</v>
      </c>
      <c r="BP112" s="1028">
        <v>0</v>
      </c>
      <c r="BQ112" s="1008">
        <f t="shared" si="229"/>
        <v>0</v>
      </c>
      <c r="BR112" s="1028"/>
      <c r="BS112" s="1013">
        <f t="shared" si="230"/>
        <v>0</v>
      </c>
      <c r="BT112" s="284" t="s">
        <v>419</v>
      </c>
    </row>
    <row r="113" spans="1:72" ht="18" hidden="1" customHeight="1" x14ac:dyDescent="0.2">
      <c r="A113" s="1050">
        <v>55701</v>
      </c>
      <c r="B113" s="1051" t="s">
        <v>93</v>
      </c>
      <c r="C113" s="1099">
        <v>0</v>
      </c>
      <c r="D113" s="1082">
        <v>0</v>
      </c>
      <c r="E113" s="1066">
        <v>0</v>
      </c>
      <c r="F113" s="1066">
        <v>0</v>
      </c>
      <c r="G113" s="1067">
        <f t="shared" si="273"/>
        <v>0</v>
      </c>
      <c r="H113" s="1068">
        <v>0</v>
      </c>
      <c r="I113" s="1069">
        <v>0</v>
      </c>
      <c r="J113" s="1069">
        <v>0</v>
      </c>
      <c r="K113" s="1069">
        <v>0</v>
      </c>
      <c r="L113" s="1070">
        <f t="shared" si="305"/>
        <v>0</v>
      </c>
      <c r="M113" s="1062">
        <v>0</v>
      </c>
      <c r="N113" s="1071">
        <v>0</v>
      </c>
      <c r="O113" s="1071">
        <v>0</v>
      </c>
      <c r="P113" s="1071">
        <v>0</v>
      </c>
      <c r="Q113" s="1071">
        <v>0</v>
      </c>
      <c r="R113" s="1072">
        <f t="shared" si="225"/>
        <v>0</v>
      </c>
      <c r="S113" s="1099">
        <v>0</v>
      </c>
      <c r="T113" s="1082">
        <v>0</v>
      </c>
      <c r="U113" s="1066">
        <v>0</v>
      </c>
      <c r="V113" s="1066">
        <v>0</v>
      </c>
      <c r="W113" s="1067">
        <f t="shared" si="276"/>
        <v>0</v>
      </c>
      <c r="X113" s="1066">
        <v>0</v>
      </c>
      <c r="Y113" s="1066">
        <v>0</v>
      </c>
      <c r="Z113" s="1034">
        <f t="shared" si="297"/>
        <v>0</v>
      </c>
      <c r="AA113" s="1067">
        <f t="shared" si="226"/>
        <v>0</v>
      </c>
      <c r="AB113" s="1099">
        <v>0</v>
      </c>
      <c r="AC113" s="1082">
        <v>0</v>
      </c>
      <c r="AD113" s="1066">
        <v>0</v>
      </c>
      <c r="AE113" s="1066">
        <v>0</v>
      </c>
      <c r="AF113" s="1067">
        <f t="shared" si="279"/>
        <v>0</v>
      </c>
      <c r="AG113" s="1066">
        <v>0</v>
      </c>
      <c r="AH113" s="1066">
        <v>0</v>
      </c>
      <c r="AI113" s="1034">
        <f t="shared" si="298"/>
        <v>0</v>
      </c>
      <c r="AJ113" s="1067">
        <f t="shared" si="188"/>
        <v>0</v>
      </c>
      <c r="AK113" s="1099">
        <f t="shared" ref="AK113:AK115" si="324">S113+AB113</f>
        <v>0</v>
      </c>
      <c r="AL113" s="1082">
        <f t="shared" ref="AL113:AL115" si="325">T113+AC113</f>
        <v>0</v>
      </c>
      <c r="AM113" s="1066">
        <f t="shared" ref="AM113:AM115" si="326">U113+AD113</f>
        <v>0</v>
      </c>
      <c r="AN113" s="1066">
        <f t="shared" ref="AN113:AN115" si="327">V113+AE113</f>
        <v>0</v>
      </c>
      <c r="AO113" s="1067">
        <f t="shared" si="282"/>
        <v>0</v>
      </c>
      <c r="AP113" s="1073"/>
      <c r="AQ113" s="1074">
        <v>0</v>
      </c>
      <c r="AR113" s="1075">
        <v>0</v>
      </c>
      <c r="AS113" s="1075">
        <v>0</v>
      </c>
      <c r="AT113" s="1075">
        <v>0</v>
      </c>
      <c r="AU113" s="1066">
        <v>0</v>
      </c>
      <c r="AV113" s="1067">
        <f t="shared" ref="AV113:AV115" si="328">SUM(AQ113:AU113)</f>
        <v>0</v>
      </c>
      <c r="AW113" s="1034">
        <f t="shared" si="227"/>
        <v>0</v>
      </c>
      <c r="AX113" s="1071">
        <v>0</v>
      </c>
      <c r="AY113" s="1071">
        <v>0</v>
      </c>
      <c r="AZ113" s="1071">
        <v>0</v>
      </c>
      <c r="BA113" s="1076">
        <f t="shared" ref="BA113:BA115" si="329">SUM(AX113:AZ113)</f>
        <v>0</v>
      </c>
      <c r="BB113" s="1066">
        <v>0</v>
      </c>
      <c r="BC113" s="1066">
        <v>0</v>
      </c>
      <c r="BD113" s="1066">
        <v>0</v>
      </c>
      <c r="BE113" s="1076">
        <f t="shared" si="228"/>
        <v>0</v>
      </c>
      <c r="BF113" s="1077">
        <v>0</v>
      </c>
      <c r="BG113" s="1071">
        <v>0</v>
      </c>
      <c r="BH113" s="1076">
        <v>0</v>
      </c>
      <c r="BI113" s="1077">
        <v>0</v>
      </c>
      <c r="BJ113" s="1071">
        <v>0</v>
      </c>
      <c r="BK113" s="1041">
        <v>0</v>
      </c>
      <c r="BL113" s="1077">
        <v>0</v>
      </c>
      <c r="BM113" s="1071">
        <v>0</v>
      </c>
      <c r="BN113" s="1041">
        <v>0</v>
      </c>
      <c r="BO113" s="1077">
        <v>0</v>
      </c>
      <c r="BP113" s="1062">
        <v>0</v>
      </c>
      <c r="BQ113" s="1078">
        <f t="shared" si="229"/>
        <v>0</v>
      </c>
      <c r="BR113" s="1062"/>
      <c r="BS113" s="1079">
        <f t="shared" si="230"/>
        <v>0</v>
      </c>
      <c r="BT113" s="284" t="s">
        <v>419</v>
      </c>
    </row>
    <row r="114" spans="1:72" ht="18" hidden="1" customHeight="1" x14ac:dyDescent="0.2">
      <c r="A114" s="1050">
        <v>55702</v>
      </c>
      <c r="B114" s="1051" t="s">
        <v>94</v>
      </c>
      <c r="C114" s="1099">
        <v>0</v>
      </c>
      <c r="D114" s="1082">
        <v>0</v>
      </c>
      <c r="E114" s="1066">
        <v>0</v>
      </c>
      <c r="F114" s="1066">
        <v>0</v>
      </c>
      <c r="G114" s="1067">
        <f t="shared" si="273"/>
        <v>0</v>
      </c>
      <c r="H114" s="1068">
        <v>0</v>
      </c>
      <c r="I114" s="1069">
        <v>0</v>
      </c>
      <c r="J114" s="1069">
        <v>0</v>
      </c>
      <c r="K114" s="1069">
        <v>0</v>
      </c>
      <c r="L114" s="1070">
        <f t="shared" si="305"/>
        <v>0</v>
      </c>
      <c r="M114" s="1062">
        <v>0</v>
      </c>
      <c r="N114" s="1071">
        <v>0</v>
      </c>
      <c r="O114" s="1071">
        <v>0</v>
      </c>
      <c r="P114" s="1071">
        <v>0</v>
      </c>
      <c r="Q114" s="1071">
        <v>0</v>
      </c>
      <c r="R114" s="1072">
        <f t="shared" si="225"/>
        <v>0</v>
      </c>
      <c r="S114" s="1099">
        <v>0</v>
      </c>
      <c r="T114" s="1082">
        <v>0</v>
      </c>
      <c r="U114" s="1066">
        <v>0</v>
      </c>
      <c r="V114" s="1066">
        <v>0</v>
      </c>
      <c r="W114" s="1067">
        <f t="shared" si="276"/>
        <v>0</v>
      </c>
      <c r="X114" s="1066">
        <v>0</v>
      </c>
      <c r="Y114" s="1066">
        <v>0</v>
      </c>
      <c r="Z114" s="1034">
        <f t="shared" si="297"/>
        <v>0</v>
      </c>
      <c r="AA114" s="1067">
        <f t="shared" si="226"/>
        <v>0</v>
      </c>
      <c r="AB114" s="1099">
        <v>0</v>
      </c>
      <c r="AC114" s="1082">
        <v>0</v>
      </c>
      <c r="AD114" s="1066">
        <v>0</v>
      </c>
      <c r="AE114" s="1066">
        <v>0</v>
      </c>
      <c r="AF114" s="1067">
        <f t="shared" si="279"/>
        <v>0</v>
      </c>
      <c r="AG114" s="1066">
        <v>0</v>
      </c>
      <c r="AH114" s="1066">
        <v>0</v>
      </c>
      <c r="AI114" s="1034">
        <f t="shared" si="298"/>
        <v>0</v>
      </c>
      <c r="AJ114" s="1067">
        <f t="shared" ref="AJ114:AJ115" si="330">AF114+AI114</f>
        <v>0</v>
      </c>
      <c r="AK114" s="1099">
        <f t="shared" si="324"/>
        <v>0</v>
      </c>
      <c r="AL114" s="1082">
        <f t="shared" si="325"/>
        <v>0</v>
      </c>
      <c r="AM114" s="1066">
        <f t="shared" si="326"/>
        <v>0</v>
      </c>
      <c r="AN114" s="1066">
        <f t="shared" si="327"/>
        <v>0</v>
      </c>
      <c r="AO114" s="1067">
        <f t="shared" si="282"/>
        <v>0</v>
      </c>
      <c r="AP114" s="1073"/>
      <c r="AQ114" s="1074">
        <v>0</v>
      </c>
      <c r="AR114" s="1075">
        <v>0</v>
      </c>
      <c r="AS114" s="1075">
        <v>0</v>
      </c>
      <c r="AT114" s="1075">
        <v>0</v>
      </c>
      <c r="AU114" s="1066">
        <v>0</v>
      </c>
      <c r="AV114" s="1067">
        <f t="shared" si="328"/>
        <v>0</v>
      </c>
      <c r="AW114" s="1034">
        <f t="shared" si="227"/>
        <v>0</v>
      </c>
      <c r="AX114" s="1071">
        <v>0</v>
      </c>
      <c r="AY114" s="1071">
        <v>0</v>
      </c>
      <c r="AZ114" s="1071">
        <v>0</v>
      </c>
      <c r="BA114" s="1076">
        <f t="shared" si="329"/>
        <v>0</v>
      </c>
      <c r="BB114" s="1066">
        <v>0</v>
      </c>
      <c r="BC114" s="1066">
        <v>0</v>
      </c>
      <c r="BD114" s="1066">
        <v>0</v>
      </c>
      <c r="BE114" s="1076">
        <f t="shared" si="228"/>
        <v>0</v>
      </c>
      <c r="BF114" s="1077">
        <v>0</v>
      </c>
      <c r="BG114" s="1071">
        <v>0</v>
      </c>
      <c r="BH114" s="1076">
        <v>0</v>
      </c>
      <c r="BI114" s="1077">
        <v>0</v>
      </c>
      <c r="BJ114" s="1071">
        <v>0</v>
      </c>
      <c r="BK114" s="1041">
        <v>0</v>
      </c>
      <c r="BL114" s="1077">
        <v>0</v>
      </c>
      <c r="BM114" s="1071">
        <v>0</v>
      </c>
      <c r="BN114" s="1041">
        <v>0</v>
      </c>
      <c r="BO114" s="1077">
        <v>0</v>
      </c>
      <c r="BP114" s="1062">
        <v>0</v>
      </c>
      <c r="BQ114" s="1078">
        <f t="shared" si="229"/>
        <v>0</v>
      </c>
      <c r="BR114" s="1062"/>
      <c r="BS114" s="1079">
        <f t="shared" si="230"/>
        <v>0</v>
      </c>
      <c r="BT114" s="284" t="s">
        <v>419</v>
      </c>
    </row>
    <row r="115" spans="1:72" ht="18" hidden="1" customHeight="1" x14ac:dyDescent="0.2">
      <c r="A115" s="1050">
        <v>55799</v>
      </c>
      <c r="B115" s="1051" t="s">
        <v>95</v>
      </c>
      <c r="C115" s="1099">
        <v>0</v>
      </c>
      <c r="D115" s="1082">
        <v>0</v>
      </c>
      <c r="E115" s="1066">
        <v>0</v>
      </c>
      <c r="F115" s="1066">
        <v>0</v>
      </c>
      <c r="G115" s="1067">
        <f t="shared" si="273"/>
        <v>0</v>
      </c>
      <c r="H115" s="1068">
        <v>0</v>
      </c>
      <c r="I115" s="1069">
        <v>0</v>
      </c>
      <c r="J115" s="1069">
        <v>0</v>
      </c>
      <c r="K115" s="1069">
        <v>0</v>
      </c>
      <c r="L115" s="1070">
        <f t="shared" si="305"/>
        <v>0</v>
      </c>
      <c r="M115" s="1062">
        <v>0</v>
      </c>
      <c r="N115" s="1071">
        <v>0</v>
      </c>
      <c r="O115" s="1071">
        <v>0</v>
      </c>
      <c r="P115" s="1071">
        <v>0</v>
      </c>
      <c r="Q115" s="1071">
        <v>0</v>
      </c>
      <c r="R115" s="1072">
        <f t="shared" si="225"/>
        <v>0</v>
      </c>
      <c r="S115" s="1099">
        <v>0</v>
      </c>
      <c r="T115" s="1082">
        <v>0</v>
      </c>
      <c r="U115" s="1066">
        <v>0</v>
      </c>
      <c r="V115" s="1066">
        <v>0</v>
      </c>
      <c r="W115" s="1067">
        <f t="shared" si="276"/>
        <v>0</v>
      </c>
      <c r="X115" s="1066">
        <v>0</v>
      </c>
      <c r="Y115" s="1066">
        <v>0</v>
      </c>
      <c r="Z115" s="1034">
        <f t="shared" si="297"/>
        <v>0</v>
      </c>
      <c r="AA115" s="1067">
        <f t="shared" si="226"/>
        <v>0</v>
      </c>
      <c r="AB115" s="1099">
        <v>0</v>
      </c>
      <c r="AC115" s="1082">
        <v>0</v>
      </c>
      <c r="AD115" s="1066">
        <v>0</v>
      </c>
      <c r="AE115" s="1066">
        <v>0</v>
      </c>
      <c r="AF115" s="1067">
        <f t="shared" si="279"/>
        <v>0</v>
      </c>
      <c r="AG115" s="1066">
        <v>0</v>
      </c>
      <c r="AH115" s="1066">
        <v>0</v>
      </c>
      <c r="AI115" s="1034">
        <f t="shared" si="298"/>
        <v>0</v>
      </c>
      <c r="AJ115" s="1067">
        <f t="shared" si="330"/>
        <v>0</v>
      </c>
      <c r="AK115" s="1099">
        <f t="shared" si="324"/>
        <v>0</v>
      </c>
      <c r="AL115" s="1082">
        <f t="shared" si="325"/>
        <v>0</v>
      </c>
      <c r="AM115" s="1066">
        <f t="shared" si="326"/>
        <v>0</v>
      </c>
      <c r="AN115" s="1066">
        <f t="shared" si="327"/>
        <v>0</v>
      </c>
      <c r="AO115" s="1067">
        <f t="shared" si="282"/>
        <v>0</v>
      </c>
      <c r="AP115" s="1073"/>
      <c r="AQ115" s="1074">
        <v>0</v>
      </c>
      <c r="AR115" s="1075">
        <v>0</v>
      </c>
      <c r="AS115" s="1075">
        <v>0</v>
      </c>
      <c r="AT115" s="1075">
        <v>0</v>
      </c>
      <c r="AU115" s="1066">
        <v>0</v>
      </c>
      <c r="AV115" s="1067">
        <f t="shared" si="328"/>
        <v>0</v>
      </c>
      <c r="AW115" s="1034">
        <f t="shared" si="227"/>
        <v>0</v>
      </c>
      <c r="AX115" s="1071">
        <v>0</v>
      </c>
      <c r="AY115" s="1071">
        <v>0</v>
      </c>
      <c r="AZ115" s="1071">
        <v>0</v>
      </c>
      <c r="BA115" s="1076">
        <f t="shared" si="329"/>
        <v>0</v>
      </c>
      <c r="BB115" s="1066">
        <v>0</v>
      </c>
      <c r="BC115" s="1066">
        <v>0</v>
      </c>
      <c r="BD115" s="1066">
        <v>0</v>
      </c>
      <c r="BE115" s="1076">
        <f t="shared" si="228"/>
        <v>0</v>
      </c>
      <c r="BF115" s="1077">
        <v>0</v>
      </c>
      <c r="BG115" s="1071">
        <v>0</v>
      </c>
      <c r="BH115" s="1076">
        <v>0</v>
      </c>
      <c r="BI115" s="1077">
        <v>0</v>
      </c>
      <c r="BJ115" s="1071">
        <v>0</v>
      </c>
      <c r="BK115" s="1041">
        <v>0</v>
      </c>
      <c r="BL115" s="1077">
        <v>0</v>
      </c>
      <c r="BM115" s="1071">
        <v>0</v>
      </c>
      <c r="BN115" s="1041">
        <v>0</v>
      </c>
      <c r="BO115" s="1077">
        <v>0</v>
      </c>
      <c r="BP115" s="1062">
        <v>0</v>
      </c>
      <c r="BQ115" s="1078">
        <f t="shared" si="229"/>
        <v>0</v>
      </c>
      <c r="BR115" s="1062"/>
      <c r="BS115" s="1079">
        <f t="shared" si="230"/>
        <v>0</v>
      </c>
      <c r="BT115" s="284" t="s">
        <v>419</v>
      </c>
    </row>
    <row r="116" spans="1:72" ht="18" customHeight="1" x14ac:dyDescent="0.2">
      <c r="A116" s="1050"/>
      <c r="B116" s="1051"/>
      <c r="C116" s="1099"/>
      <c r="D116" s="1082"/>
      <c r="E116" s="1082"/>
      <c r="F116" s="1082"/>
      <c r="G116" s="1100"/>
      <c r="H116" s="1068"/>
      <c r="I116" s="1069"/>
      <c r="J116" s="1069"/>
      <c r="K116" s="1069"/>
      <c r="L116" s="1021"/>
      <c r="M116" s="1062"/>
      <c r="N116" s="1071"/>
      <c r="O116" s="1071"/>
      <c r="P116" s="1071"/>
      <c r="Q116" s="1071"/>
      <c r="R116" s="1072"/>
      <c r="S116" s="1099"/>
      <c r="T116" s="1082"/>
      <c r="U116" s="1082"/>
      <c r="V116" s="1082"/>
      <c r="W116" s="1100"/>
      <c r="X116" s="1082"/>
      <c r="Y116" s="1082"/>
      <c r="Z116" s="1100"/>
      <c r="AA116" s="1100"/>
      <c r="AB116" s="1099"/>
      <c r="AC116" s="1082"/>
      <c r="AD116" s="1082"/>
      <c r="AE116" s="1082"/>
      <c r="AF116" s="1100"/>
      <c r="AG116" s="1082"/>
      <c r="AH116" s="1082"/>
      <c r="AI116" s="1100"/>
      <c r="AJ116" s="1100"/>
      <c r="AK116" s="1099"/>
      <c r="AL116" s="1082"/>
      <c r="AM116" s="1082"/>
      <c r="AN116" s="1082"/>
      <c r="AO116" s="1100"/>
      <c r="AP116" s="1101"/>
      <c r="AQ116" s="1083"/>
      <c r="AR116" s="1084"/>
      <c r="AS116" s="1084"/>
      <c r="AT116" s="1084"/>
      <c r="AU116" s="1082"/>
      <c r="AV116" s="1100"/>
      <c r="AW116" s="1100"/>
      <c r="AX116" s="1071"/>
      <c r="AY116" s="1071"/>
      <c r="AZ116" s="1071"/>
      <c r="BA116" s="1076"/>
      <c r="BB116" s="1082"/>
      <c r="BC116" s="1082"/>
      <c r="BD116" s="1017"/>
      <c r="BE116" s="1076"/>
      <c r="BF116" s="1077"/>
      <c r="BG116" s="1071"/>
      <c r="BH116" s="1076"/>
      <c r="BI116" s="1077"/>
      <c r="BJ116" s="1071"/>
      <c r="BK116" s="1072"/>
      <c r="BL116" s="1077"/>
      <c r="BM116" s="1071"/>
      <c r="BN116" s="1072"/>
      <c r="BO116" s="1077"/>
      <c r="BP116" s="1062"/>
      <c r="BQ116" s="1078"/>
      <c r="BR116" s="1062"/>
      <c r="BS116" s="1013"/>
      <c r="BT116" s="284" t="s">
        <v>419</v>
      </c>
    </row>
    <row r="117" spans="1:72" s="140" customFormat="1" ht="18" customHeight="1" x14ac:dyDescent="0.2">
      <c r="A117" s="1014">
        <v>56</v>
      </c>
      <c r="B117" s="1080" t="s">
        <v>96</v>
      </c>
      <c r="C117" s="1098">
        <f>C118+C121</f>
        <v>10300</v>
      </c>
      <c r="D117" s="1017">
        <f>D118+D121</f>
        <v>0</v>
      </c>
      <c r="E117" s="1017">
        <f>E118+E121</f>
        <v>0</v>
      </c>
      <c r="F117" s="1017">
        <f>F118+F121</f>
        <v>0</v>
      </c>
      <c r="G117" s="1100">
        <f t="shared" ref="G117:G155" si="331">SUM(C117:F117)</f>
        <v>10300</v>
      </c>
      <c r="H117" s="1060">
        <f>H118+H121</f>
        <v>0</v>
      </c>
      <c r="I117" s="1019">
        <f>I118+I121</f>
        <v>0</v>
      </c>
      <c r="J117" s="1019">
        <f>J118+J121</f>
        <v>0</v>
      </c>
      <c r="K117" s="1019">
        <f>K118+K121</f>
        <v>0</v>
      </c>
      <c r="L117" s="1021">
        <f t="shared" si="305"/>
        <v>0</v>
      </c>
      <c r="M117" s="1028">
        <f t="shared" ref="M117:N117" si="332">M118+M121</f>
        <v>0</v>
      </c>
      <c r="N117" s="1022">
        <f t="shared" si="332"/>
        <v>0</v>
      </c>
      <c r="O117" s="1022">
        <v>0</v>
      </c>
      <c r="P117" s="1022">
        <v>0</v>
      </c>
      <c r="Q117" s="1022">
        <v>0</v>
      </c>
      <c r="R117" s="1023">
        <f t="shared" si="225"/>
        <v>0</v>
      </c>
      <c r="S117" s="1098">
        <f>S118+S121</f>
        <v>0</v>
      </c>
      <c r="T117" s="1017">
        <f>T118+T121</f>
        <v>0</v>
      </c>
      <c r="U117" s="1017">
        <f>U118+U121</f>
        <v>0</v>
      </c>
      <c r="V117" s="1017">
        <f>V118+V121</f>
        <v>0</v>
      </c>
      <c r="W117" s="1100">
        <f t="shared" ref="W117:W155" si="333">SUM(S117:V117)</f>
        <v>0</v>
      </c>
      <c r="X117" s="1017">
        <f>X118+X121</f>
        <v>0</v>
      </c>
      <c r="Y117" s="1017">
        <f>Y118+Y121</f>
        <v>0</v>
      </c>
      <c r="Z117" s="1100">
        <f t="shared" ref="Z117:AA117" si="334">Z118+Z121</f>
        <v>0</v>
      </c>
      <c r="AA117" s="1100">
        <f t="shared" si="334"/>
        <v>0</v>
      </c>
      <c r="AB117" s="1098">
        <f>AB118+AB121</f>
        <v>0</v>
      </c>
      <c r="AC117" s="1017">
        <f>AC118+AC121</f>
        <v>0</v>
      </c>
      <c r="AD117" s="1017">
        <f>AD118+AD121</f>
        <v>0</v>
      </c>
      <c r="AE117" s="1017">
        <f>AE118+AE121</f>
        <v>0</v>
      </c>
      <c r="AF117" s="1100">
        <f t="shared" ref="AF117:AF124" si="335">SUM(AB117:AE117)</f>
        <v>0</v>
      </c>
      <c r="AG117" s="1017">
        <f>AG118+AG121</f>
        <v>0</v>
      </c>
      <c r="AH117" s="1017">
        <f>AH118+AH121</f>
        <v>0</v>
      </c>
      <c r="AI117" s="1100">
        <f t="shared" ref="AI117" si="336">AI118+AI121</f>
        <v>0</v>
      </c>
      <c r="AJ117" s="1100">
        <f t="shared" ref="AJ117" si="337">AJ118+AJ121</f>
        <v>0</v>
      </c>
      <c r="AK117" s="1098">
        <f>AK118+AK121</f>
        <v>0</v>
      </c>
      <c r="AL117" s="1017">
        <f>AL118+AL121</f>
        <v>0</v>
      </c>
      <c r="AM117" s="1017">
        <f>AM118+AM121</f>
        <v>0</v>
      </c>
      <c r="AN117" s="1017">
        <f>AN118+AN121</f>
        <v>0</v>
      </c>
      <c r="AO117" s="1100">
        <f t="shared" ref="AO117:AO124" si="338">SUM(AK117:AN117)</f>
        <v>0</v>
      </c>
      <c r="AP117" s="1101"/>
      <c r="AQ117" s="1024">
        <f>AQ118+AQ121</f>
        <v>0</v>
      </c>
      <c r="AR117" s="1025">
        <f t="shared" ref="AR117:AT117" si="339">AR118+AR121</f>
        <v>0</v>
      </c>
      <c r="AS117" s="1025">
        <f t="shared" si="339"/>
        <v>0</v>
      </c>
      <c r="AT117" s="1025">
        <f t="shared" si="339"/>
        <v>0</v>
      </c>
      <c r="AU117" s="1017">
        <f>AU118+AU121</f>
        <v>6600</v>
      </c>
      <c r="AV117" s="1100">
        <f t="shared" ref="AV117" si="340">AV118+AV121</f>
        <v>6600</v>
      </c>
      <c r="AW117" s="1100">
        <f t="shared" si="227"/>
        <v>6600</v>
      </c>
      <c r="AX117" s="1022">
        <v>0</v>
      </c>
      <c r="AY117" s="1022">
        <v>0</v>
      </c>
      <c r="AZ117" s="1022">
        <v>0</v>
      </c>
      <c r="BA117" s="1027">
        <f>M117+N117+O117+AX117+AZ117</f>
        <v>0</v>
      </c>
      <c r="BB117" s="1017">
        <f>BB118+BB121</f>
        <v>0</v>
      </c>
      <c r="BC117" s="1017">
        <f t="shared" ref="BC117:BD117" si="341">BC118+BC121</f>
        <v>0</v>
      </c>
      <c r="BD117" s="1017">
        <f t="shared" si="341"/>
        <v>0</v>
      </c>
      <c r="BE117" s="1027">
        <f>SUM(BB117:BD117)</f>
        <v>0</v>
      </c>
      <c r="BF117" s="1026">
        <v>0</v>
      </c>
      <c r="BG117" s="1022">
        <v>0</v>
      </c>
      <c r="BH117" s="1027">
        <v>0</v>
      </c>
      <c r="BI117" s="1026">
        <v>0</v>
      </c>
      <c r="BJ117" s="1022">
        <v>0</v>
      </c>
      <c r="BK117" s="1023">
        <v>0</v>
      </c>
      <c r="BL117" s="1026">
        <v>0</v>
      </c>
      <c r="BM117" s="1022">
        <v>0</v>
      </c>
      <c r="BN117" s="1023">
        <v>0</v>
      </c>
      <c r="BO117" s="1026">
        <v>0</v>
      </c>
      <c r="BP117" s="1028">
        <v>0</v>
      </c>
      <c r="BQ117" s="1008">
        <f t="shared" si="229"/>
        <v>0</v>
      </c>
      <c r="BR117" s="1028"/>
      <c r="BS117" s="1013">
        <f t="shared" si="230"/>
        <v>16900</v>
      </c>
      <c r="BT117" s="993" t="s">
        <v>419</v>
      </c>
    </row>
    <row r="118" spans="1:72" s="140" customFormat="1" ht="18" hidden="1" customHeight="1" x14ac:dyDescent="0.2">
      <c r="A118" s="1014">
        <v>562</v>
      </c>
      <c r="B118" s="1080" t="s">
        <v>97</v>
      </c>
      <c r="C118" s="1098">
        <f>C119+C120</f>
        <v>0</v>
      </c>
      <c r="D118" s="1017">
        <f>D119+D120</f>
        <v>0</v>
      </c>
      <c r="E118" s="1017">
        <v>0</v>
      </c>
      <c r="F118" s="1017">
        <v>0</v>
      </c>
      <c r="G118" s="1100">
        <f t="shared" si="331"/>
        <v>0</v>
      </c>
      <c r="H118" s="1060">
        <f>H119+H120</f>
        <v>0</v>
      </c>
      <c r="I118" s="1019">
        <f>I119+I120</f>
        <v>0</v>
      </c>
      <c r="J118" s="1019">
        <f>J119+J120</f>
        <v>0</v>
      </c>
      <c r="K118" s="1019">
        <f>K119+K120</f>
        <v>0</v>
      </c>
      <c r="L118" s="1021">
        <f t="shared" si="305"/>
        <v>0</v>
      </c>
      <c r="M118" s="1028">
        <v>0</v>
      </c>
      <c r="N118" s="1022">
        <v>0</v>
      </c>
      <c r="O118" s="1022">
        <v>0</v>
      </c>
      <c r="P118" s="1022">
        <v>0</v>
      </c>
      <c r="Q118" s="1022">
        <v>0</v>
      </c>
      <c r="R118" s="1023">
        <f t="shared" si="225"/>
        <v>0</v>
      </c>
      <c r="S118" s="1098">
        <f>S119+S120</f>
        <v>0</v>
      </c>
      <c r="T118" s="1017">
        <f>T119+T120</f>
        <v>0</v>
      </c>
      <c r="U118" s="1017">
        <v>0</v>
      </c>
      <c r="V118" s="1017">
        <v>0</v>
      </c>
      <c r="W118" s="1100">
        <f t="shared" si="333"/>
        <v>0</v>
      </c>
      <c r="X118" s="1017">
        <v>0</v>
      </c>
      <c r="Y118" s="1017">
        <f>SUM(Y119:Y120)</f>
        <v>0</v>
      </c>
      <c r="Z118" s="1100">
        <f t="shared" ref="Z118:AA118" si="342">SUM(Z119:Z120)</f>
        <v>0</v>
      </c>
      <c r="AA118" s="1100">
        <f t="shared" si="342"/>
        <v>0</v>
      </c>
      <c r="AB118" s="1098">
        <f>AB119+AB120</f>
        <v>0</v>
      </c>
      <c r="AC118" s="1017">
        <f>AC119+AC120</f>
        <v>0</v>
      </c>
      <c r="AD118" s="1017">
        <v>0</v>
      </c>
      <c r="AE118" s="1017">
        <v>0</v>
      </c>
      <c r="AF118" s="1100">
        <f t="shared" si="335"/>
        <v>0</v>
      </c>
      <c r="AG118" s="1017">
        <v>0</v>
      </c>
      <c r="AH118" s="1017">
        <f>SUM(AH119:AH120)</f>
        <v>0</v>
      </c>
      <c r="AI118" s="1100">
        <f t="shared" ref="AI118" si="343">SUM(AI119:AI120)</f>
        <v>0</v>
      </c>
      <c r="AJ118" s="1100">
        <f t="shared" ref="AJ118" si="344">SUM(AJ119:AJ120)</f>
        <v>0</v>
      </c>
      <c r="AK118" s="1098">
        <f>AK119+AK120</f>
        <v>0</v>
      </c>
      <c r="AL118" s="1017">
        <f>AL119+AL120</f>
        <v>0</v>
      </c>
      <c r="AM118" s="1017">
        <v>0</v>
      </c>
      <c r="AN118" s="1017">
        <v>0</v>
      </c>
      <c r="AO118" s="1100">
        <f t="shared" si="338"/>
        <v>0</v>
      </c>
      <c r="AP118" s="1101"/>
      <c r="AQ118" s="1024">
        <v>0</v>
      </c>
      <c r="AR118" s="1025">
        <v>0</v>
      </c>
      <c r="AS118" s="1025">
        <v>0</v>
      </c>
      <c r="AT118" s="1025">
        <v>0</v>
      </c>
      <c r="AU118" s="1017">
        <f>SUM(AU119:AU120)</f>
        <v>0</v>
      </c>
      <c r="AV118" s="1100">
        <f t="shared" ref="AV118" si="345">SUM(AV119:AV120)</f>
        <v>0</v>
      </c>
      <c r="AW118" s="1100">
        <f t="shared" si="227"/>
        <v>0</v>
      </c>
      <c r="AX118" s="1022">
        <v>0</v>
      </c>
      <c r="AY118" s="1022">
        <v>0</v>
      </c>
      <c r="AZ118" s="1022">
        <v>0</v>
      </c>
      <c r="BA118" s="1027">
        <f>M118+N118+O118+AX118+AZ118</f>
        <v>0</v>
      </c>
      <c r="BB118" s="1017">
        <f>SUM(BB119:BB120)</f>
        <v>0</v>
      </c>
      <c r="BC118" s="1017">
        <f t="shared" ref="BC118:BE118" si="346">SUM(BC119:BC120)</f>
        <v>0</v>
      </c>
      <c r="BD118" s="1017">
        <f t="shared" si="346"/>
        <v>0</v>
      </c>
      <c r="BE118" s="1027">
        <f t="shared" si="346"/>
        <v>0</v>
      </c>
      <c r="BF118" s="1026">
        <v>0</v>
      </c>
      <c r="BG118" s="1022">
        <v>0</v>
      </c>
      <c r="BH118" s="1027">
        <v>0</v>
      </c>
      <c r="BI118" s="1026">
        <v>0</v>
      </c>
      <c r="BJ118" s="1022">
        <v>0</v>
      </c>
      <c r="BK118" s="1023">
        <v>0</v>
      </c>
      <c r="BL118" s="1026">
        <v>0</v>
      </c>
      <c r="BM118" s="1022">
        <v>0</v>
      </c>
      <c r="BN118" s="1023">
        <v>0</v>
      </c>
      <c r="BO118" s="1026">
        <v>0</v>
      </c>
      <c r="BP118" s="1028">
        <v>0</v>
      </c>
      <c r="BQ118" s="1008">
        <f t="shared" si="229"/>
        <v>0</v>
      </c>
      <c r="BR118" s="1028"/>
      <c r="BS118" s="1013">
        <f t="shared" si="230"/>
        <v>0</v>
      </c>
      <c r="BT118" s="284" t="s">
        <v>419</v>
      </c>
    </row>
    <row r="119" spans="1:72" ht="18" hidden="1" customHeight="1" x14ac:dyDescent="0.2">
      <c r="A119" s="1050">
        <v>56201</v>
      </c>
      <c r="B119" s="1051" t="s">
        <v>526</v>
      </c>
      <c r="C119" s="1065">
        <v>0</v>
      </c>
      <c r="D119" s="1082">
        <v>0</v>
      </c>
      <c r="E119" s="1082">
        <v>0</v>
      </c>
      <c r="F119" s="1082">
        <v>0</v>
      </c>
      <c r="G119" s="1102">
        <f t="shared" si="331"/>
        <v>0</v>
      </c>
      <c r="H119" s="1068">
        <f>'F.P y DL'!C88</f>
        <v>0</v>
      </c>
      <c r="I119" s="1069">
        <v>0</v>
      </c>
      <c r="J119" s="1069">
        <v>0</v>
      </c>
      <c r="K119" s="1069">
        <v>0</v>
      </c>
      <c r="L119" s="1070">
        <f t="shared" si="305"/>
        <v>0</v>
      </c>
      <c r="M119" s="1062">
        <v>0</v>
      </c>
      <c r="N119" s="1071">
        <v>0</v>
      </c>
      <c r="O119" s="1071">
        <v>0</v>
      </c>
      <c r="P119" s="1071">
        <v>0</v>
      </c>
      <c r="Q119" s="1071">
        <v>0</v>
      </c>
      <c r="R119" s="1072">
        <f t="shared" si="225"/>
        <v>0</v>
      </c>
      <c r="S119" s="1065">
        <v>0</v>
      </c>
      <c r="T119" s="1082">
        <v>0</v>
      </c>
      <c r="U119" s="1082">
        <v>0</v>
      </c>
      <c r="V119" s="1082">
        <v>0</v>
      </c>
      <c r="W119" s="1102">
        <f t="shared" si="333"/>
        <v>0</v>
      </c>
      <c r="X119" s="1082">
        <v>0</v>
      </c>
      <c r="Y119" s="1082">
        <v>0</v>
      </c>
      <c r="Z119" s="1034">
        <f t="shared" si="297"/>
        <v>0</v>
      </c>
      <c r="AA119" s="1102">
        <f t="shared" si="226"/>
        <v>0</v>
      </c>
      <c r="AB119" s="1065">
        <v>0</v>
      </c>
      <c r="AC119" s="1082">
        <v>0</v>
      </c>
      <c r="AD119" s="1082">
        <v>0</v>
      </c>
      <c r="AE119" s="1082">
        <v>0</v>
      </c>
      <c r="AF119" s="1102">
        <f t="shared" si="335"/>
        <v>0</v>
      </c>
      <c r="AG119" s="1082">
        <v>0</v>
      </c>
      <c r="AH119" s="1082">
        <v>0</v>
      </c>
      <c r="AI119" s="1034">
        <f t="shared" ref="AI119:AI124" si="347">SUM(AG119:AH119)</f>
        <v>0</v>
      </c>
      <c r="AJ119" s="1102">
        <f t="shared" ref="AJ119:AJ124" si="348">AF119+AI119</f>
        <v>0</v>
      </c>
      <c r="AK119" s="1065">
        <f t="shared" ref="AK119:AK120" si="349">S119+AB119</f>
        <v>0</v>
      </c>
      <c r="AL119" s="1082">
        <f t="shared" ref="AL119:AL120" si="350">T119+AC119</f>
        <v>0</v>
      </c>
      <c r="AM119" s="1082">
        <f t="shared" ref="AM119:AM120" si="351">U119+AD119</f>
        <v>0</v>
      </c>
      <c r="AN119" s="1082">
        <f t="shared" ref="AN119:AN120" si="352">V119+AE119</f>
        <v>0</v>
      </c>
      <c r="AO119" s="1102">
        <f t="shared" si="338"/>
        <v>0</v>
      </c>
      <c r="AP119" s="1103"/>
      <c r="AQ119" s="1083">
        <v>0</v>
      </c>
      <c r="AR119" s="1084">
        <v>0</v>
      </c>
      <c r="AS119" s="1084">
        <v>0</v>
      </c>
      <c r="AT119" s="1084">
        <v>0</v>
      </c>
      <c r="AU119" s="1082">
        <v>0</v>
      </c>
      <c r="AV119" s="1102">
        <f t="shared" ref="AV119:AV120" si="353">SUM(AQ119:AU119)</f>
        <v>0</v>
      </c>
      <c r="AW119" s="1034">
        <f t="shared" si="227"/>
        <v>0</v>
      </c>
      <c r="AX119" s="1071">
        <v>0</v>
      </c>
      <c r="AY119" s="1071">
        <v>0</v>
      </c>
      <c r="AZ119" s="1071">
        <v>0</v>
      </c>
      <c r="BA119" s="1076">
        <f t="shared" ref="BA119:BA120" si="354">SUM(AX119:AZ119)</f>
        <v>0</v>
      </c>
      <c r="BB119" s="1082">
        <v>0</v>
      </c>
      <c r="BC119" s="1082">
        <v>0</v>
      </c>
      <c r="BD119" s="1082">
        <v>0</v>
      </c>
      <c r="BE119" s="1076">
        <f t="shared" si="228"/>
        <v>0</v>
      </c>
      <c r="BF119" s="1077">
        <v>0</v>
      </c>
      <c r="BG119" s="1071">
        <v>0</v>
      </c>
      <c r="BH119" s="1076">
        <v>0</v>
      </c>
      <c r="BI119" s="1077">
        <v>0</v>
      </c>
      <c r="BJ119" s="1071">
        <v>0</v>
      </c>
      <c r="BK119" s="1041">
        <v>0</v>
      </c>
      <c r="BL119" s="1077">
        <v>0</v>
      </c>
      <c r="BM119" s="1071">
        <v>0</v>
      </c>
      <c r="BN119" s="1041">
        <v>0</v>
      </c>
      <c r="BO119" s="1077">
        <v>0</v>
      </c>
      <c r="BP119" s="1062">
        <v>0</v>
      </c>
      <c r="BQ119" s="1078">
        <f t="shared" si="229"/>
        <v>0</v>
      </c>
      <c r="BR119" s="1062"/>
      <c r="BS119" s="1079">
        <f t="shared" si="230"/>
        <v>0</v>
      </c>
      <c r="BT119" s="284" t="s">
        <v>419</v>
      </c>
    </row>
    <row r="120" spans="1:72" ht="18" hidden="1" customHeight="1" x14ac:dyDescent="0.2">
      <c r="A120" s="1050">
        <v>56202</v>
      </c>
      <c r="B120" s="1051" t="s">
        <v>230</v>
      </c>
      <c r="C120" s="1099">
        <v>0</v>
      </c>
      <c r="D120" s="1082">
        <v>0</v>
      </c>
      <c r="E120" s="1082">
        <v>0</v>
      </c>
      <c r="F120" s="1082">
        <v>0</v>
      </c>
      <c r="G120" s="1102">
        <f t="shared" si="331"/>
        <v>0</v>
      </c>
      <c r="H120" s="1068">
        <v>0</v>
      </c>
      <c r="I120" s="1069">
        <v>0</v>
      </c>
      <c r="J120" s="1069">
        <v>0</v>
      </c>
      <c r="K120" s="1069">
        <v>0</v>
      </c>
      <c r="L120" s="1070">
        <f t="shared" si="305"/>
        <v>0</v>
      </c>
      <c r="M120" s="1062">
        <v>0</v>
      </c>
      <c r="N120" s="1071">
        <v>0</v>
      </c>
      <c r="O120" s="1071">
        <v>0</v>
      </c>
      <c r="P120" s="1071">
        <v>0</v>
      </c>
      <c r="Q120" s="1071">
        <v>0</v>
      </c>
      <c r="R120" s="1072">
        <f t="shared" si="225"/>
        <v>0</v>
      </c>
      <c r="S120" s="1099">
        <v>0</v>
      </c>
      <c r="T120" s="1082">
        <v>0</v>
      </c>
      <c r="U120" s="1082">
        <v>0</v>
      </c>
      <c r="V120" s="1082">
        <v>0</v>
      </c>
      <c r="W120" s="1102">
        <f t="shared" si="333"/>
        <v>0</v>
      </c>
      <c r="X120" s="1082">
        <v>0</v>
      </c>
      <c r="Y120" s="1082">
        <v>0</v>
      </c>
      <c r="Z120" s="1034">
        <f t="shared" si="297"/>
        <v>0</v>
      </c>
      <c r="AA120" s="1102">
        <f t="shared" si="226"/>
        <v>0</v>
      </c>
      <c r="AB120" s="1099">
        <v>0</v>
      </c>
      <c r="AC120" s="1082">
        <v>0</v>
      </c>
      <c r="AD120" s="1082">
        <v>0</v>
      </c>
      <c r="AE120" s="1082">
        <v>0</v>
      </c>
      <c r="AF120" s="1102">
        <f t="shared" si="335"/>
        <v>0</v>
      </c>
      <c r="AG120" s="1082">
        <v>0</v>
      </c>
      <c r="AH120" s="1082">
        <v>0</v>
      </c>
      <c r="AI120" s="1034">
        <f t="shared" si="347"/>
        <v>0</v>
      </c>
      <c r="AJ120" s="1102">
        <f t="shared" si="348"/>
        <v>0</v>
      </c>
      <c r="AK120" s="1099">
        <f t="shared" si="349"/>
        <v>0</v>
      </c>
      <c r="AL120" s="1082">
        <f t="shared" si="350"/>
        <v>0</v>
      </c>
      <c r="AM120" s="1082">
        <f t="shared" si="351"/>
        <v>0</v>
      </c>
      <c r="AN120" s="1082">
        <f t="shared" si="352"/>
        <v>0</v>
      </c>
      <c r="AO120" s="1102">
        <f t="shared" si="338"/>
        <v>0</v>
      </c>
      <c r="AP120" s="1103"/>
      <c r="AQ120" s="1083">
        <v>0</v>
      </c>
      <c r="AR120" s="1084">
        <v>0</v>
      </c>
      <c r="AS120" s="1084">
        <v>0</v>
      </c>
      <c r="AT120" s="1084">
        <v>0</v>
      </c>
      <c r="AU120" s="1082">
        <v>0</v>
      </c>
      <c r="AV120" s="1102">
        <f t="shared" si="353"/>
        <v>0</v>
      </c>
      <c r="AW120" s="1034">
        <f t="shared" si="227"/>
        <v>0</v>
      </c>
      <c r="AX120" s="1071">
        <v>0</v>
      </c>
      <c r="AY120" s="1071">
        <v>0</v>
      </c>
      <c r="AZ120" s="1071">
        <v>0</v>
      </c>
      <c r="BA120" s="1076">
        <f t="shared" si="354"/>
        <v>0</v>
      </c>
      <c r="BB120" s="1082">
        <v>0</v>
      </c>
      <c r="BC120" s="1082">
        <v>0</v>
      </c>
      <c r="BD120" s="1082">
        <v>0</v>
      </c>
      <c r="BE120" s="1076">
        <f t="shared" si="228"/>
        <v>0</v>
      </c>
      <c r="BF120" s="1077">
        <v>0</v>
      </c>
      <c r="BG120" s="1071">
        <v>0</v>
      </c>
      <c r="BH120" s="1076">
        <v>0</v>
      </c>
      <c r="BI120" s="1077">
        <v>0</v>
      </c>
      <c r="BJ120" s="1071">
        <v>0</v>
      </c>
      <c r="BK120" s="1041">
        <v>0</v>
      </c>
      <c r="BL120" s="1077">
        <v>0</v>
      </c>
      <c r="BM120" s="1071">
        <v>0</v>
      </c>
      <c r="BN120" s="1041">
        <v>0</v>
      </c>
      <c r="BO120" s="1077">
        <v>0</v>
      </c>
      <c r="BP120" s="1062">
        <v>0</v>
      </c>
      <c r="BQ120" s="1078">
        <f t="shared" si="229"/>
        <v>0</v>
      </c>
      <c r="BR120" s="1062"/>
      <c r="BS120" s="1079">
        <f t="shared" si="230"/>
        <v>0</v>
      </c>
      <c r="BT120" s="284" t="s">
        <v>419</v>
      </c>
    </row>
    <row r="121" spans="1:72" s="140" customFormat="1" ht="18" customHeight="1" x14ac:dyDescent="0.2">
      <c r="A121" s="1014">
        <v>563</v>
      </c>
      <c r="B121" s="1080" t="s">
        <v>99</v>
      </c>
      <c r="C121" s="1098">
        <f>C122+C123</f>
        <v>10300</v>
      </c>
      <c r="D121" s="1017">
        <f>D122+D123</f>
        <v>0</v>
      </c>
      <c r="E121" s="1017">
        <v>0</v>
      </c>
      <c r="F121" s="1017">
        <v>0</v>
      </c>
      <c r="G121" s="1100">
        <f t="shared" si="331"/>
        <v>10300</v>
      </c>
      <c r="H121" s="1060">
        <f>H122+H123</f>
        <v>0</v>
      </c>
      <c r="I121" s="1019">
        <f>I122+I123</f>
        <v>0</v>
      </c>
      <c r="J121" s="1019">
        <f>J122+J123</f>
        <v>0</v>
      </c>
      <c r="K121" s="1019">
        <f>K122+K123</f>
        <v>0</v>
      </c>
      <c r="L121" s="1021">
        <f>SUM(H121:J121)</f>
        <v>0</v>
      </c>
      <c r="M121" s="1028">
        <f>SUM(M122:M124)</f>
        <v>0</v>
      </c>
      <c r="N121" s="1022">
        <f>SUM(N122:N124)</f>
        <v>0</v>
      </c>
      <c r="O121" s="1022">
        <f t="shared" ref="O121" si="355">SUM(O122:O124)</f>
        <v>0</v>
      </c>
      <c r="P121" s="1022">
        <v>0</v>
      </c>
      <c r="Q121" s="1022">
        <v>0</v>
      </c>
      <c r="R121" s="1023">
        <f t="shared" si="225"/>
        <v>0</v>
      </c>
      <c r="S121" s="1098">
        <f>S122+S123</f>
        <v>0</v>
      </c>
      <c r="T121" s="1017">
        <f>T122+T123</f>
        <v>0</v>
      </c>
      <c r="U121" s="1017">
        <v>0</v>
      </c>
      <c r="V121" s="1017">
        <v>0</v>
      </c>
      <c r="W121" s="1100">
        <f t="shared" si="333"/>
        <v>0</v>
      </c>
      <c r="X121" s="1017">
        <v>0</v>
      </c>
      <c r="Y121" s="1017">
        <f>SUM(Y122:Y124)</f>
        <v>0</v>
      </c>
      <c r="Z121" s="1100">
        <f t="shared" si="297"/>
        <v>0</v>
      </c>
      <c r="AA121" s="1100">
        <f t="shared" si="226"/>
        <v>0</v>
      </c>
      <c r="AB121" s="1098">
        <f>AB122+AB123</f>
        <v>0</v>
      </c>
      <c r="AC121" s="1017">
        <f>AC122+AC123</f>
        <v>0</v>
      </c>
      <c r="AD121" s="1017">
        <v>0</v>
      </c>
      <c r="AE121" s="1017">
        <v>0</v>
      </c>
      <c r="AF121" s="1100">
        <f t="shared" si="335"/>
        <v>0</v>
      </c>
      <c r="AG121" s="1017">
        <v>0</v>
      </c>
      <c r="AH121" s="1017">
        <v>0</v>
      </c>
      <c r="AI121" s="1100">
        <f t="shared" si="347"/>
        <v>0</v>
      </c>
      <c r="AJ121" s="1100">
        <f t="shared" si="348"/>
        <v>0</v>
      </c>
      <c r="AK121" s="1098">
        <f>AK122+AK123</f>
        <v>0</v>
      </c>
      <c r="AL121" s="1017">
        <f>AL122+AL123</f>
        <v>0</v>
      </c>
      <c r="AM121" s="1017">
        <v>0</v>
      </c>
      <c r="AN121" s="1017">
        <v>0</v>
      </c>
      <c r="AO121" s="1100">
        <f t="shared" si="338"/>
        <v>0</v>
      </c>
      <c r="AP121" s="1101"/>
      <c r="AQ121" s="1024">
        <v>0</v>
      </c>
      <c r="AR121" s="1025">
        <v>0</v>
      </c>
      <c r="AS121" s="1025">
        <v>0</v>
      </c>
      <c r="AT121" s="1025">
        <v>0</v>
      </c>
      <c r="AU121" s="1017">
        <f>SUM(AU122:AU124)</f>
        <v>6600</v>
      </c>
      <c r="AV121" s="1100">
        <f t="shared" ref="AV121" si="356">SUM(AQ121:AU121)</f>
        <v>6600</v>
      </c>
      <c r="AW121" s="1100">
        <f t="shared" si="227"/>
        <v>6600</v>
      </c>
      <c r="AX121" s="1022">
        <v>0</v>
      </c>
      <c r="AY121" s="1022">
        <v>0</v>
      </c>
      <c r="AZ121" s="1022">
        <v>0</v>
      </c>
      <c r="BA121" s="1027">
        <f>M121+N121+O121+AX121+AZ121</f>
        <v>0</v>
      </c>
      <c r="BB121" s="1017">
        <f>SUM(BB122:BB124)</f>
        <v>0</v>
      </c>
      <c r="BC121" s="1017">
        <f t="shared" ref="BC121:BE121" si="357">SUM(BC122:BC124)</f>
        <v>0</v>
      </c>
      <c r="BD121" s="1017">
        <f t="shared" si="357"/>
        <v>0</v>
      </c>
      <c r="BE121" s="1027">
        <f t="shared" si="357"/>
        <v>0</v>
      </c>
      <c r="BF121" s="1026">
        <v>0</v>
      </c>
      <c r="BG121" s="1022">
        <v>0</v>
      </c>
      <c r="BH121" s="1027">
        <v>0</v>
      </c>
      <c r="BI121" s="1026">
        <v>0</v>
      </c>
      <c r="BJ121" s="1022">
        <v>0</v>
      </c>
      <c r="BK121" s="1023">
        <v>0</v>
      </c>
      <c r="BL121" s="1026">
        <v>0</v>
      </c>
      <c r="BM121" s="1022">
        <v>0</v>
      </c>
      <c r="BN121" s="1023">
        <v>0</v>
      </c>
      <c r="BO121" s="1026">
        <v>0</v>
      </c>
      <c r="BP121" s="1028">
        <v>0</v>
      </c>
      <c r="BQ121" s="1008">
        <f t="shared" si="229"/>
        <v>0</v>
      </c>
      <c r="BR121" s="1028"/>
      <c r="BS121" s="1013">
        <f t="shared" si="230"/>
        <v>16900</v>
      </c>
      <c r="BT121" s="284" t="s">
        <v>419</v>
      </c>
    </row>
    <row r="122" spans="1:72" ht="18" customHeight="1" x14ac:dyDescent="0.2">
      <c r="A122" s="1050">
        <v>56303</v>
      </c>
      <c r="B122" s="1051" t="s">
        <v>98</v>
      </c>
      <c r="C122" s="1099">
        <f>'F.P y DL'!C527</f>
        <v>1500</v>
      </c>
      <c r="D122" s="1082">
        <v>0</v>
      </c>
      <c r="E122" s="1082">
        <v>0</v>
      </c>
      <c r="F122" s="1082">
        <v>0</v>
      </c>
      <c r="G122" s="1102">
        <f t="shared" si="331"/>
        <v>1500</v>
      </c>
      <c r="H122" s="1068">
        <v>0</v>
      </c>
      <c r="I122" s="1069">
        <v>0</v>
      </c>
      <c r="J122" s="1069">
        <v>0</v>
      </c>
      <c r="K122" s="1069">
        <v>0</v>
      </c>
      <c r="L122" s="1070">
        <f t="shared" ref="L122:L171" si="358">SUM(H122:J122)</f>
        <v>0</v>
      </c>
      <c r="M122" s="1062">
        <v>0</v>
      </c>
      <c r="N122" s="1071">
        <v>0</v>
      </c>
      <c r="O122" s="1071">
        <v>0</v>
      </c>
      <c r="P122" s="1071">
        <v>0</v>
      </c>
      <c r="Q122" s="1071">
        <v>0</v>
      </c>
      <c r="R122" s="1072">
        <f t="shared" si="225"/>
        <v>0</v>
      </c>
      <c r="S122" s="1099">
        <v>0</v>
      </c>
      <c r="T122" s="1082">
        <v>0</v>
      </c>
      <c r="U122" s="1082">
        <v>0</v>
      </c>
      <c r="V122" s="1082">
        <v>0</v>
      </c>
      <c r="W122" s="1102">
        <f t="shared" si="333"/>
        <v>0</v>
      </c>
      <c r="X122" s="1082">
        <v>0</v>
      </c>
      <c r="Y122" s="1082">
        <v>0</v>
      </c>
      <c r="Z122" s="1034">
        <f t="shared" si="297"/>
        <v>0</v>
      </c>
      <c r="AA122" s="1102">
        <f t="shared" si="226"/>
        <v>0</v>
      </c>
      <c r="AB122" s="1099">
        <v>0</v>
      </c>
      <c r="AC122" s="1082">
        <v>0</v>
      </c>
      <c r="AD122" s="1082">
        <v>0</v>
      </c>
      <c r="AE122" s="1082">
        <v>0</v>
      </c>
      <c r="AF122" s="1102">
        <f t="shared" si="335"/>
        <v>0</v>
      </c>
      <c r="AG122" s="1082">
        <v>0</v>
      </c>
      <c r="AH122" s="1082">
        <v>0</v>
      </c>
      <c r="AI122" s="1034">
        <f t="shared" si="347"/>
        <v>0</v>
      </c>
      <c r="AJ122" s="1102">
        <f t="shared" si="348"/>
        <v>0</v>
      </c>
      <c r="AK122" s="1099">
        <f t="shared" ref="AK122:AK124" si="359">S122+AB122</f>
        <v>0</v>
      </c>
      <c r="AL122" s="1082">
        <f t="shared" ref="AL122:AL124" si="360">T122+AC122</f>
        <v>0</v>
      </c>
      <c r="AM122" s="1082">
        <f>U122+AD122</f>
        <v>0</v>
      </c>
      <c r="AN122" s="1082">
        <f t="shared" ref="AN122:AN124" si="361">V122+AE122</f>
        <v>0</v>
      </c>
      <c r="AO122" s="1102">
        <f t="shared" si="338"/>
        <v>0</v>
      </c>
      <c r="AP122" s="1103"/>
      <c r="AQ122" s="1083">
        <v>0</v>
      </c>
      <c r="AR122" s="1084">
        <v>0</v>
      </c>
      <c r="AS122" s="1084">
        <v>0</v>
      </c>
      <c r="AT122" s="1084">
        <v>0</v>
      </c>
      <c r="AU122" s="1082">
        <v>0</v>
      </c>
      <c r="AV122" s="1067">
        <f t="shared" ref="AV122:AV124" si="362">SUM(AQ122:AU122)</f>
        <v>0</v>
      </c>
      <c r="AW122" s="1102">
        <f t="shared" si="227"/>
        <v>0</v>
      </c>
      <c r="AX122" s="1071">
        <v>0</v>
      </c>
      <c r="AY122" s="1071">
        <v>0</v>
      </c>
      <c r="AZ122" s="1071">
        <v>0</v>
      </c>
      <c r="BA122" s="1076">
        <f t="shared" ref="BA122:BA124" si="363">SUM(AX122:AZ122)</f>
        <v>0</v>
      </c>
      <c r="BB122" s="1082">
        <v>0</v>
      </c>
      <c r="BC122" s="1082">
        <v>0</v>
      </c>
      <c r="BD122" s="1082">
        <v>0</v>
      </c>
      <c r="BE122" s="1076">
        <f t="shared" si="228"/>
        <v>0</v>
      </c>
      <c r="BF122" s="1077">
        <v>0</v>
      </c>
      <c r="BG122" s="1071">
        <v>0</v>
      </c>
      <c r="BH122" s="1076">
        <v>0</v>
      </c>
      <c r="BI122" s="1077">
        <v>0</v>
      </c>
      <c r="BJ122" s="1071">
        <v>0</v>
      </c>
      <c r="BK122" s="1041">
        <v>0</v>
      </c>
      <c r="BL122" s="1077">
        <v>0</v>
      </c>
      <c r="BM122" s="1071">
        <v>0</v>
      </c>
      <c r="BN122" s="1041">
        <v>0</v>
      </c>
      <c r="BO122" s="1077">
        <v>0</v>
      </c>
      <c r="BP122" s="1062">
        <v>0</v>
      </c>
      <c r="BQ122" s="1078">
        <f t="shared" si="229"/>
        <v>0</v>
      </c>
      <c r="BR122" s="1062"/>
      <c r="BS122" s="1079">
        <f t="shared" si="230"/>
        <v>1500</v>
      </c>
      <c r="BT122" s="284" t="s">
        <v>419</v>
      </c>
    </row>
    <row r="123" spans="1:72" ht="18" customHeight="1" x14ac:dyDescent="0.2">
      <c r="A123" s="1050">
        <v>56304</v>
      </c>
      <c r="B123" s="1051" t="s">
        <v>107</v>
      </c>
      <c r="C123" s="1065">
        <f>'F.P y DL'!C528</f>
        <v>8800</v>
      </c>
      <c r="D123" s="1082">
        <v>0</v>
      </c>
      <c r="E123" s="1082">
        <v>0</v>
      </c>
      <c r="F123" s="1082">
        <v>0</v>
      </c>
      <c r="G123" s="1102">
        <f t="shared" si="331"/>
        <v>8800</v>
      </c>
      <c r="H123" s="1068">
        <f>'F.P y DL'!C91</f>
        <v>0</v>
      </c>
      <c r="I123" s="1069">
        <v>0</v>
      </c>
      <c r="J123" s="1069">
        <v>0</v>
      </c>
      <c r="K123" s="1069">
        <v>0</v>
      </c>
      <c r="L123" s="1070">
        <f t="shared" si="358"/>
        <v>0</v>
      </c>
      <c r="M123" s="1062">
        <v>0</v>
      </c>
      <c r="N123" s="1071">
        <v>0</v>
      </c>
      <c r="O123" s="1071">
        <v>0</v>
      </c>
      <c r="P123" s="1071">
        <v>0</v>
      </c>
      <c r="Q123" s="1071">
        <v>0</v>
      </c>
      <c r="R123" s="1072">
        <f t="shared" si="225"/>
        <v>0</v>
      </c>
      <c r="S123" s="1065">
        <f>'F.P y DL'!W528</f>
        <v>0</v>
      </c>
      <c r="T123" s="1082">
        <v>0</v>
      </c>
      <c r="U123" s="1082">
        <v>0</v>
      </c>
      <c r="V123" s="1082">
        <v>0</v>
      </c>
      <c r="W123" s="1102">
        <f t="shared" si="333"/>
        <v>0</v>
      </c>
      <c r="X123" s="1082">
        <v>0</v>
      </c>
      <c r="Y123" s="1082">
        <v>0</v>
      </c>
      <c r="Z123" s="1034">
        <f t="shared" si="297"/>
        <v>0</v>
      </c>
      <c r="AA123" s="1102">
        <f t="shared" si="226"/>
        <v>0</v>
      </c>
      <c r="AB123" s="1065">
        <f>'F.P y DL'!AF528</f>
        <v>0</v>
      </c>
      <c r="AC123" s="1082">
        <v>0</v>
      </c>
      <c r="AD123" s="1082">
        <v>0</v>
      </c>
      <c r="AE123" s="1082">
        <v>0</v>
      </c>
      <c r="AF123" s="1102">
        <f t="shared" si="335"/>
        <v>0</v>
      </c>
      <c r="AG123" s="1082">
        <v>0</v>
      </c>
      <c r="AH123" s="1082">
        <v>0</v>
      </c>
      <c r="AI123" s="1034">
        <f t="shared" si="347"/>
        <v>0</v>
      </c>
      <c r="AJ123" s="1102">
        <f t="shared" si="348"/>
        <v>0</v>
      </c>
      <c r="AK123" s="1065">
        <f t="shared" si="359"/>
        <v>0</v>
      </c>
      <c r="AL123" s="1082">
        <f t="shared" si="360"/>
        <v>0</v>
      </c>
      <c r="AM123" s="1082">
        <f t="shared" ref="AM123:AM124" si="364">U123+AD123</f>
        <v>0</v>
      </c>
      <c r="AN123" s="1082">
        <f t="shared" si="361"/>
        <v>0</v>
      </c>
      <c r="AO123" s="1102">
        <f t="shared" si="338"/>
        <v>0</v>
      </c>
      <c r="AP123" s="1103"/>
      <c r="AQ123" s="1083">
        <v>0</v>
      </c>
      <c r="AR123" s="1084">
        <v>0</v>
      </c>
      <c r="AS123" s="1084">
        <v>0</v>
      </c>
      <c r="AT123" s="1084">
        <v>0</v>
      </c>
      <c r="AU123" s="1082">
        <f>'AG3'!L48+'AG3'!L55</f>
        <v>6600</v>
      </c>
      <c r="AV123" s="1067">
        <f t="shared" si="362"/>
        <v>6600</v>
      </c>
      <c r="AW123" s="1034">
        <f t="shared" si="227"/>
        <v>6600</v>
      </c>
      <c r="AX123" s="1071">
        <v>0</v>
      </c>
      <c r="AY123" s="1071">
        <v>0</v>
      </c>
      <c r="AZ123" s="1071">
        <v>0</v>
      </c>
      <c r="BA123" s="1076">
        <f t="shared" si="363"/>
        <v>0</v>
      </c>
      <c r="BB123" s="1082">
        <v>0</v>
      </c>
      <c r="BC123" s="1082">
        <v>0</v>
      </c>
      <c r="BD123" s="1082">
        <v>0</v>
      </c>
      <c r="BE123" s="1076">
        <f t="shared" si="228"/>
        <v>0</v>
      </c>
      <c r="BF123" s="1077">
        <v>0</v>
      </c>
      <c r="BG123" s="1071">
        <v>0</v>
      </c>
      <c r="BH123" s="1076">
        <v>0</v>
      </c>
      <c r="BI123" s="1077">
        <v>0</v>
      </c>
      <c r="BJ123" s="1071">
        <v>0</v>
      </c>
      <c r="BK123" s="1041">
        <v>0</v>
      </c>
      <c r="BL123" s="1077">
        <v>0</v>
      </c>
      <c r="BM123" s="1071">
        <v>0</v>
      </c>
      <c r="BN123" s="1041">
        <v>0</v>
      </c>
      <c r="BO123" s="1077">
        <v>0</v>
      </c>
      <c r="BP123" s="1062">
        <v>0</v>
      </c>
      <c r="BQ123" s="1078">
        <f t="shared" si="229"/>
        <v>0</v>
      </c>
      <c r="BR123" s="1062"/>
      <c r="BS123" s="1079">
        <f t="shared" si="230"/>
        <v>15400</v>
      </c>
      <c r="BT123" s="284" t="s">
        <v>419</v>
      </c>
    </row>
    <row r="124" spans="1:72" ht="18" hidden="1" customHeight="1" x14ac:dyDescent="0.2">
      <c r="A124" s="1050">
        <v>56305</v>
      </c>
      <c r="B124" s="1051" t="s">
        <v>243</v>
      </c>
      <c r="C124" s="1099">
        <v>0</v>
      </c>
      <c r="D124" s="1082">
        <v>0</v>
      </c>
      <c r="E124" s="1082">
        <v>0</v>
      </c>
      <c r="F124" s="1082">
        <v>0</v>
      </c>
      <c r="G124" s="1102">
        <f t="shared" si="331"/>
        <v>0</v>
      </c>
      <c r="H124" s="1068">
        <v>0</v>
      </c>
      <c r="I124" s="1069">
        <v>0</v>
      </c>
      <c r="J124" s="1069">
        <v>0</v>
      </c>
      <c r="K124" s="1069">
        <v>0</v>
      </c>
      <c r="L124" s="1070">
        <f t="shared" si="358"/>
        <v>0</v>
      </c>
      <c r="M124" s="1062">
        <v>0</v>
      </c>
      <c r="N124" s="1071">
        <v>0</v>
      </c>
      <c r="O124" s="1071">
        <v>0</v>
      </c>
      <c r="P124" s="1071">
        <v>0</v>
      </c>
      <c r="Q124" s="1071">
        <v>0</v>
      </c>
      <c r="R124" s="1072">
        <f t="shared" si="225"/>
        <v>0</v>
      </c>
      <c r="S124" s="1099">
        <v>0</v>
      </c>
      <c r="T124" s="1082">
        <v>0</v>
      </c>
      <c r="U124" s="1082">
        <v>0</v>
      </c>
      <c r="V124" s="1082">
        <v>0</v>
      </c>
      <c r="W124" s="1102">
        <f t="shared" si="333"/>
        <v>0</v>
      </c>
      <c r="X124" s="1082">
        <v>0</v>
      </c>
      <c r="Y124" s="1082">
        <v>0</v>
      </c>
      <c r="Z124" s="1034">
        <f t="shared" si="297"/>
        <v>0</v>
      </c>
      <c r="AA124" s="1102">
        <f t="shared" si="226"/>
        <v>0</v>
      </c>
      <c r="AB124" s="1099">
        <v>0</v>
      </c>
      <c r="AC124" s="1082">
        <v>0</v>
      </c>
      <c r="AD124" s="1082">
        <v>0</v>
      </c>
      <c r="AE124" s="1082">
        <v>0</v>
      </c>
      <c r="AF124" s="1102">
        <f t="shared" si="335"/>
        <v>0</v>
      </c>
      <c r="AG124" s="1082">
        <v>0</v>
      </c>
      <c r="AH124" s="1082">
        <v>0</v>
      </c>
      <c r="AI124" s="1034">
        <f t="shared" si="347"/>
        <v>0</v>
      </c>
      <c r="AJ124" s="1102">
        <f t="shared" si="348"/>
        <v>0</v>
      </c>
      <c r="AK124" s="1099">
        <f t="shared" si="359"/>
        <v>0</v>
      </c>
      <c r="AL124" s="1082">
        <f t="shared" si="360"/>
        <v>0</v>
      </c>
      <c r="AM124" s="1082">
        <f t="shared" si="364"/>
        <v>0</v>
      </c>
      <c r="AN124" s="1082">
        <f t="shared" si="361"/>
        <v>0</v>
      </c>
      <c r="AO124" s="1102">
        <f t="shared" si="338"/>
        <v>0</v>
      </c>
      <c r="AP124" s="1103"/>
      <c r="AQ124" s="1083">
        <v>0</v>
      </c>
      <c r="AR124" s="1084">
        <v>0</v>
      </c>
      <c r="AS124" s="1084">
        <v>0</v>
      </c>
      <c r="AT124" s="1084">
        <v>0</v>
      </c>
      <c r="AU124" s="1082">
        <v>0</v>
      </c>
      <c r="AV124" s="1067">
        <f t="shared" si="362"/>
        <v>0</v>
      </c>
      <c r="AW124" s="1034">
        <f t="shared" si="227"/>
        <v>0</v>
      </c>
      <c r="AX124" s="1071">
        <v>0</v>
      </c>
      <c r="AY124" s="1071">
        <v>0</v>
      </c>
      <c r="AZ124" s="1071">
        <v>0</v>
      </c>
      <c r="BA124" s="1076">
        <f t="shared" si="363"/>
        <v>0</v>
      </c>
      <c r="BB124" s="1082">
        <v>0</v>
      </c>
      <c r="BC124" s="1082">
        <v>0</v>
      </c>
      <c r="BD124" s="1082">
        <v>0</v>
      </c>
      <c r="BE124" s="1076">
        <f t="shared" si="228"/>
        <v>0</v>
      </c>
      <c r="BF124" s="1077">
        <v>0</v>
      </c>
      <c r="BG124" s="1071">
        <v>0</v>
      </c>
      <c r="BH124" s="1076">
        <v>0</v>
      </c>
      <c r="BI124" s="1077">
        <v>0</v>
      </c>
      <c r="BJ124" s="1071">
        <v>0</v>
      </c>
      <c r="BK124" s="1041">
        <v>0</v>
      </c>
      <c r="BL124" s="1077">
        <v>0</v>
      </c>
      <c r="BM124" s="1071">
        <v>0</v>
      </c>
      <c r="BN124" s="1041">
        <v>0</v>
      </c>
      <c r="BO124" s="1077">
        <v>0</v>
      </c>
      <c r="BP124" s="1062">
        <v>0</v>
      </c>
      <c r="BQ124" s="1078">
        <f t="shared" si="229"/>
        <v>0</v>
      </c>
      <c r="BR124" s="1062"/>
      <c r="BS124" s="1079">
        <f t="shared" si="230"/>
        <v>0</v>
      </c>
      <c r="BT124" s="284" t="s">
        <v>419</v>
      </c>
    </row>
    <row r="125" spans="1:72" ht="18" customHeight="1" x14ac:dyDescent="0.2">
      <c r="A125" s="1050"/>
      <c r="B125" s="1051"/>
      <c r="C125" s="1099"/>
      <c r="D125" s="1082"/>
      <c r="E125" s="1082"/>
      <c r="F125" s="1082"/>
      <c r="G125" s="1100"/>
      <c r="H125" s="1068"/>
      <c r="I125" s="1069"/>
      <c r="J125" s="1069"/>
      <c r="K125" s="1069"/>
      <c r="L125" s="1021"/>
      <c r="M125" s="1104"/>
      <c r="N125" s="1071"/>
      <c r="O125" s="1071"/>
      <c r="P125" s="1071"/>
      <c r="Q125" s="1071"/>
      <c r="R125" s="1072"/>
      <c r="S125" s="1099"/>
      <c r="T125" s="1082"/>
      <c r="U125" s="1082"/>
      <c r="V125" s="1082"/>
      <c r="W125" s="1100"/>
      <c r="X125" s="1082"/>
      <c r="Y125" s="1082"/>
      <c r="Z125" s="1100"/>
      <c r="AA125" s="1100"/>
      <c r="AB125" s="1099"/>
      <c r="AC125" s="1082"/>
      <c r="AD125" s="1082"/>
      <c r="AE125" s="1082"/>
      <c r="AF125" s="1100"/>
      <c r="AG125" s="1082"/>
      <c r="AH125" s="1082"/>
      <c r="AI125" s="1100"/>
      <c r="AJ125" s="1100"/>
      <c r="AK125" s="1099"/>
      <c r="AL125" s="1082"/>
      <c r="AM125" s="1082"/>
      <c r="AN125" s="1082"/>
      <c r="AO125" s="1100"/>
      <c r="AP125" s="1101"/>
      <c r="AQ125" s="1083"/>
      <c r="AR125" s="1084"/>
      <c r="AS125" s="1084"/>
      <c r="AT125" s="1084"/>
      <c r="AU125" s="1082"/>
      <c r="AV125" s="1100"/>
      <c r="AW125" s="1100"/>
      <c r="AX125" s="1071"/>
      <c r="AY125" s="1071"/>
      <c r="AZ125" s="1071"/>
      <c r="BA125" s="1076"/>
      <c r="BB125" s="1082"/>
      <c r="BC125" s="1082"/>
      <c r="BD125" s="1017"/>
      <c r="BE125" s="1076"/>
      <c r="BF125" s="1077"/>
      <c r="BG125" s="1071"/>
      <c r="BH125" s="1076"/>
      <c r="BI125" s="1077"/>
      <c r="BJ125" s="1071"/>
      <c r="BK125" s="1072"/>
      <c r="BL125" s="1077"/>
      <c r="BM125" s="1071"/>
      <c r="BN125" s="1072"/>
      <c r="BO125" s="1077"/>
      <c r="BP125" s="1062"/>
      <c r="BQ125" s="1078"/>
      <c r="BR125" s="1062"/>
      <c r="BS125" s="1079"/>
      <c r="BT125" s="284" t="s">
        <v>419</v>
      </c>
    </row>
    <row r="126" spans="1:72" s="140" customFormat="1" ht="18" customHeight="1" x14ac:dyDescent="0.2">
      <c r="A126" s="1057" t="s">
        <v>160</v>
      </c>
      <c r="B126" s="1058" t="s">
        <v>161</v>
      </c>
      <c r="C126" s="1098">
        <f>C127+C136+C142+C147</f>
        <v>0</v>
      </c>
      <c r="D126" s="1017">
        <v>0</v>
      </c>
      <c r="E126" s="1017">
        <v>0</v>
      </c>
      <c r="F126" s="1017">
        <f>F147</f>
        <v>0</v>
      </c>
      <c r="G126" s="1100">
        <f t="shared" si="331"/>
        <v>0</v>
      </c>
      <c r="H126" s="1060">
        <f>H127+H136+H142+H147</f>
        <v>0</v>
      </c>
      <c r="I126" s="1019">
        <f>I127+I136+I142+I147</f>
        <v>0</v>
      </c>
      <c r="J126" s="1019">
        <f>J149</f>
        <v>0</v>
      </c>
      <c r="K126" s="1019">
        <f>K127+K136+K142+K147</f>
        <v>0</v>
      </c>
      <c r="L126" s="1021">
        <f>SUM(H126:K126)</f>
        <v>0</v>
      </c>
      <c r="M126" s="1022">
        <f>M127+M136+M142+M147</f>
        <v>0</v>
      </c>
      <c r="N126" s="1022">
        <f>N127+N136+N142+N147</f>
        <v>4677.16</v>
      </c>
      <c r="O126" s="1022">
        <f>O127+O136+O142+O147</f>
        <v>0</v>
      </c>
      <c r="P126" s="1022">
        <f>P127+P136+P142+P147</f>
        <v>201.1</v>
      </c>
      <c r="Q126" s="1022">
        <v>0</v>
      </c>
      <c r="R126" s="1023">
        <f>N126+P126+Q126</f>
        <v>4878.26</v>
      </c>
      <c r="S126" s="1098">
        <f>S127+S136+S142+S147</f>
        <v>0</v>
      </c>
      <c r="T126" s="1017">
        <v>0</v>
      </c>
      <c r="U126" s="1017">
        <v>0</v>
      </c>
      <c r="V126" s="1017">
        <f>V147</f>
        <v>0</v>
      </c>
      <c r="W126" s="1100">
        <f t="shared" si="333"/>
        <v>0</v>
      </c>
      <c r="X126" s="1017">
        <v>0</v>
      </c>
      <c r="Y126" s="1017">
        <f>Y127+Y136+Y142+Y147</f>
        <v>0</v>
      </c>
      <c r="Z126" s="1100">
        <f t="shared" si="297"/>
        <v>0</v>
      </c>
      <c r="AA126" s="1100">
        <f t="shared" si="226"/>
        <v>0</v>
      </c>
      <c r="AB126" s="1098">
        <f>AB127+AB136+AB140+AB142+AB147</f>
        <v>468</v>
      </c>
      <c r="AC126" s="1017">
        <v>0</v>
      </c>
      <c r="AD126" s="1017">
        <v>0</v>
      </c>
      <c r="AE126" s="1017">
        <f>AE147</f>
        <v>0</v>
      </c>
      <c r="AF126" s="1100">
        <f>SUM(AB126:AE126)</f>
        <v>468</v>
      </c>
      <c r="AG126" s="1017">
        <v>0</v>
      </c>
      <c r="AH126" s="1017">
        <v>0</v>
      </c>
      <c r="AI126" s="1100">
        <f t="shared" ref="AI126:AI155" si="365">SUM(AG126:AH126)</f>
        <v>0</v>
      </c>
      <c r="AJ126" s="1100">
        <f t="shared" ref="AJ126:AK155" si="366">AF126+AI126</f>
        <v>468</v>
      </c>
      <c r="AK126" s="1098">
        <f t="shared" si="366"/>
        <v>468</v>
      </c>
      <c r="AL126" s="1017">
        <v>0</v>
      </c>
      <c r="AM126" s="1017">
        <v>0</v>
      </c>
      <c r="AN126" s="1017">
        <f>AN147</f>
        <v>0</v>
      </c>
      <c r="AO126" s="1100">
        <f>SUM(AK126:AN126)</f>
        <v>468</v>
      </c>
      <c r="AP126" s="1101"/>
      <c r="AQ126" s="1024">
        <v>0</v>
      </c>
      <c r="AR126" s="1025">
        <f>AR127+AR147</f>
        <v>15600</v>
      </c>
      <c r="AS126" s="1025">
        <f>AS147</f>
        <v>0</v>
      </c>
      <c r="AT126" s="1025">
        <f>AT147</f>
        <v>0</v>
      </c>
      <c r="AU126" s="1017">
        <f>AU127+AU136+AU142+AU147</f>
        <v>0</v>
      </c>
      <c r="AV126" s="1100">
        <f t="shared" ref="AV126" si="367">SUM(AQ126:AU126)</f>
        <v>15600</v>
      </c>
      <c r="AW126" s="1100">
        <f t="shared" si="227"/>
        <v>20946.260000000002</v>
      </c>
      <c r="AX126" s="1022">
        <v>0</v>
      </c>
      <c r="AY126" s="1022">
        <v>0</v>
      </c>
      <c r="AZ126" s="1022">
        <v>0</v>
      </c>
      <c r="BA126" s="1027">
        <v>0</v>
      </c>
      <c r="BB126" s="1017">
        <f>BB127+BB136+BB142+BB147</f>
        <v>0</v>
      </c>
      <c r="BC126" s="1017">
        <f>BC127+BC136+BC142+BC147</f>
        <v>0</v>
      </c>
      <c r="BD126" s="1017">
        <f>BD127+BD136+BD142+BD147</f>
        <v>0</v>
      </c>
      <c r="BE126" s="1105">
        <f>BE127+BE136+BE142+BE147</f>
        <v>0</v>
      </c>
      <c r="BF126" s="1026">
        <v>0</v>
      </c>
      <c r="BG126" s="1022">
        <v>0</v>
      </c>
      <c r="BH126" s="1027">
        <v>0</v>
      </c>
      <c r="BI126" s="1026">
        <f>BI127+BI147</f>
        <v>0</v>
      </c>
      <c r="BJ126" s="1022">
        <f>BJ127+BJ136+BJ142+BJ147</f>
        <v>840</v>
      </c>
      <c r="BK126" s="1023">
        <f>BI126+BJ126</f>
        <v>840</v>
      </c>
      <c r="BL126" s="1026">
        <f>BL127+BL147</f>
        <v>0</v>
      </c>
      <c r="BM126" s="1022">
        <f>BM127+BM136+BM142+BM147</f>
        <v>0</v>
      </c>
      <c r="BN126" s="1023">
        <f>BL126+BM126</f>
        <v>0</v>
      </c>
      <c r="BO126" s="1026">
        <f>BO127+BO136+BO142+BO147</f>
        <v>47075.040000000001</v>
      </c>
      <c r="BP126" s="1028">
        <f>BP127+BP136+BP142+BP147</f>
        <v>0</v>
      </c>
      <c r="BQ126" s="1008">
        <f>+BO126+BP126</f>
        <v>47075.040000000001</v>
      </c>
      <c r="BR126" s="1028"/>
      <c r="BS126" s="1013">
        <f t="shared" si="230"/>
        <v>68861.3</v>
      </c>
      <c r="BT126" s="993" t="s">
        <v>419</v>
      </c>
    </row>
    <row r="127" spans="1:72" ht="18" customHeight="1" x14ac:dyDescent="0.2">
      <c r="A127" s="1057" t="s">
        <v>162</v>
      </c>
      <c r="B127" s="1058" t="s">
        <v>163</v>
      </c>
      <c r="C127" s="1098">
        <f>SUM(C128:C135)</f>
        <v>0</v>
      </c>
      <c r="D127" s="1017">
        <v>0</v>
      </c>
      <c r="E127" s="1017">
        <v>0</v>
      </c>
      <c r="F127" s="1017">
        <v>0</v>
      </c>
      <c r="G127" s="1100">
        <f t="shared" si="331"/>
        <v>0</v>
      </c>
      <c r="H127" s="1060">
        <v>0</v>
      </c>
      <c r="I127" s="1019">
        <v>0</v>
      </c>
      <c r="J127" s="1019">
        <v>0</v>
      </c>
      <c r="K127" s="1019">
        <v>0</v>
      </c>
      <c r="L127" s="1021">
        <f t="shared" si="358"/>
        <v>0</v>
      </c>
      <c r="M127" s="1106">
        <f>SUM(M128:M135)</f>
        <v>0</v>
      </c>
      <c r="N127" s="1022">
        <f>SUM(N128:N135)</f>
        <v>0</v>
      </c>
      <c r="O127" s="1022">
        <f>SUM(O128:O135)</f>
        <v>0</v>
      </c>
      <c r="P127" s="1022">
        <v>0</v>
      </c>
      <c r="Q127" s="1022">
        <v>0</v>
      </c>
      <c r="R127" s="1023">
        <f t="shared" si="225"/>
        <v>0</v>
      </c>
      <c r="S127" s="1098">
        <f>SUM(S128:S135)</f>
        <v>0</v>
      </c>
      <c r="T127" s="1017">
        <v>0</v>
      </c>
      <c r="U127" s="1017">
        <v>0</v>
      </c>
      <c r="V127" s="1017">
        <v>0</v>
      </c>
      <c r="W127" s="1100">
        <f t="shared" si="333"/>
        <v>0</v>
      </c>
      <c r="X127" s="1017">
        <v>0</v>
      </c>
      <c r="Y127" s="1017">
        <v>0</v>
      </c>
      <c r="Z127" s="1100">
        <f t="shared" si="297"/>
        <v>0</v>
      </c>
      <c r="AA127" s="1100">
        <f t="shared" si="226"/>
        <v>0</v>
      </c>
      <c r="AB127" s="1098">
        <f>SUM(AB128:AB135)</f>
        <v>0</v>
      </c>
      <c r="AC127" s="1017">
        <v>0</v>
      </c>
      <c r="AD127" s="1017">
        <v>0</v>
      </c>
      <c r="AE127" s="1017">
        <v>0</v>
      </c>
      <c r="AF127" s="1100">
        <f t="shared" ref="AF127:AF155" si="368">SUM(AB127:AE127)</f>
        <v>0</v>
      </c>
      <c r="AG127" s="1017">
        <v>0</v>
      </c>
      <c r="AH127" s="1017">
        <v>0</v>
      </c>
      <c r="AI127" s="1100">
        <f t="shared" si="365"/>
        <v>0</v>
      </c>
      <c r="AJ127" s="1100">
        <f t="shared" si="366"/>
        <v>0</v>
      </c>
      <c r="AK127" s="1098">
        <f>SUM(AK128:AK135)</f>
        <v>0</v>
      </c>
      <c r="AL127" s="1017">
        <v>0</v>
      </c>
      <c r="AM127" s="1017">
        <v>0</v>
      </c>
      <c r="AN127" s="1017">
        <v>0</v>
      </c>
      <c r="AO127" s="1100">
        <f t="shared" ref="AO127:AO155" si="369">SUM(AK127:AN127)</f>
        <v>0</v>
      </c>
      <c r="AP127" s="1101"/>
      <c r="AQ127" s="1024">
        <v>0</v>
      </c>
      <c r="AR127" s="1025">
        <f>SUM(AR128:AR135)</f>
        <v>15600</v>
      </c>
      <c r="AS127" s="1025">
        <v>0</v>
      </c>
      <c r="AT127" s="1025">
        <v>0</v>
      </c>
      <c r="AU127" s="1017">
        <v>0</v>
      </c>
      <c r="AV127" s="1100">
        <f>AV129</f>
        <v>15600</v>
      </c>
      <c r="AW127" s="1100">
        <f>R127+AO127+AV127</f>
        <v>15600</v>
      </c>
      <c r="AX127" s="1022">
        <v>0</v>
      </c>
      <c r="AY127" s="1022">
        <v>0</v>
      </c>
      <c r="AZ127" s="1022">
        <v>0</v>
      </c>
      <c r="BA127" s="1027">
        <f>M127+N127+O127+AX127+AZ127</f>
        <v>0</v>
      </c>
      <c r="BB127" s="1017">
        <f>SUM(BB128:BB135)</f>
        <v>0</v>
      </c>
      <c r="BC127" s="1017">
        <f>SUM(BC128:BC135)</f>
        <v>0</v>
      </c>
      <c r="BD127" s="1017">
        <f>SUM(BD128:BD135)</f>
        <v>0</v>
      </c>
      <c r="BE127" s="1027">
        <f>SUM(BE128:BE135)</f>
        <v>0</v>
      </c>
      <c r="BF127" s="1026">
        <v>0</v>
      </c>
      <c r="BG127" s="1022">
        <v>0</v>
      </c>
      <c r="BH127" s="1027">
        <v>0</v>
      </c>
      <c r="BI127" s="1026">
        <f>SUM(BI128:BI135)</f>
        <v>0</v>
      </c>
      <c r="BJ127" s="1022">
        <f>SUM(BJ128:BJ135)</f>
        <v>0</v>
      </c>
      <c r="BK127" s="1023"/>
      <c r="BL127" s="1026">
        <f>SUM(BL128:BL135)</f>
        <v>0</v>
      </c>
      <c r="BM127" s="1022">
        <f>SUM(BM128:BM135)</f>
        <v>0</v>
      </c>
      <c r="BN127" s="1023"/>
      <c r="BO127" s="1026">
        <f>SUM(BO131:BO135)</f>
        <v>0</v>
      </c>
      <c r="BP127" s="1028">
        <v>0</v>
      </c>
      <c r="BQ127" s="1008">
        <f>+BO127+BP127</f>
        <v>0</v>
      </c>
      <c r="BR127" s="1062"/>
      <c r="BS127" s="1013">
        <f t="shared" si="230"/>
        <v>15600</v>
      </c>
      <c r="BT127" s="284" t="s">
        <v>419</v>
      </c>
    </row>
    <row r="128" spans="1:72" ht="18" customHeight="1" x14ac:dyDescent="0.2">
      <c r="A128" s="1063" t="s">
        <v>164</v>
      </c>
      <c r="B128" s="1064" t="s">
        <v>165</v>
      </c>
      <c r="C128" s="1099">
        <f>'F.P y DL'!C532</f>
        <v>0</v>
      </c>
      <c r="D128" s="1082">
        <v>0</v>
      </c>
      <c r="E128" s="1082">
        <v>0</v>
      </c>
      <c r="F128" s="1082">
        <v>0</v>
      </c>
      <c r="G128" s="1102">
        <f t="shared" si="331"/>
        <v>0</v>
      </c>
      <c r="H128" s="1068">
        <v>0</v>
      </c>
      <c r="I128" s="1069">
        <v>0</v>
      </c>
      <c r="J128" s="1069">
        <v>0</v>
      </c>
      <c r="K128" s="1069">
        <v>0</v>
      </c>
      <c r="L128" s="1070">
        <f t="shared" si="358"/>
        <v>0</v>
      </c>
      <c r="M128" s="1104">
        <v>0</v>
      </c>
      <c r="N128" s="1071">
        <v>0</v>
      </c>
      <c r="O128" s="1071">
        <v>0</v>
      </c>
      <c r="P128" s="1071">
        <v>0</v>
      </c>
      <c r="Q128" s="1071">
        <v>0</v>
      </c>
      <c r="R128" s="1072">
        <f t="shared" si="225"/>
        <v>0</v>
      </c>
      <c r="S128" s="1099">
        <f>'F.P y DL'!W532</f>
        <v>0</v>
      </c>
      <c r="T128" s="1082">
        <v>0</v>
      </c>
      <c r="U128" s="1082">
        <v>0</v>
      </c>
      <c r="V128" s="1082">
        <v>0</v>
      </c>
      <c r="W128" s="1102">
        <f t="shared" si="333"/>
        <v>0</v>
      </c>
      <c r="X128" s="1082">
        <v>0</v>
      </c>
      <c r="Y128" s="1082">
        <v>0</v>
      </c>
      <c r="Z128" s="1102">
        <f t="shared" si="297"/>
        <v>0</v>
      </c>
      <c r="AA128" s="1102">
        <f t="shared" si="226"/>
        <v>0</v>
      </c>
      <c r="AB128" s="1099">
        <f>'F.P y DL'!AF532</f>
        <v>0</v>
      </c>
      <c r="AC128" s="1082">
        <v>0</v>
      </c>
      <c r="AD128" s="1082">
        <v>0</v>
      </c>
      <c r="AE128" s="1082">
        <v>0</v>
      </c>
      <c r="AF128" s="1102">
        <f t="shared" si="368"/>
        <v>0</v>
      </c>
      <c r="AG128" s="1082">
        <v>0</v>
      </c>
      <c r="AH128" s="1082">
        <v>0</v>
      </c>
      <c r="AI128" s="1102">
        <f t="shared" si="365"/>
        <v>0</v>
      </c>
      <c r="AJ128" s="1102">
        <f t="shared" si="366"/>
        <v>0</v>
      </c>
      <c r="AK128" s="1099">
        <f t="shared" ref="AK128:AK135" si="370">S128+AB128</f>
        <v>0</v>
      </c>
      <c r="AL128" s="1082">
        <f t="shared" ref="AL128:AL135" si="371">T128+AC128</f>
        <v>0</v>
      </c>
      <c r="AM128" s="1082">
        <f t="shared" ref="AM128:AM135" si="372">U128+AD128</f>
        <v>0</v>
      </c>
      <c r="AN128" s="1082">
        <f t="shared" ref="AN128:AN135" si="373">V128+AE128</f>
        <v>0</v>
      </c>
      <c r="AO128" s="1102">
        <f t="shared" si="369"/>
        <v>0</v>
      </c>
      <c r="AP128" s="1103"/>
      <c r="AQ128" s="1083">
        <v>0</v>
      </c>
      <c r="AR128" s="1084">
        <v>0</v>
      </c>
      <c r="AS128" s="1084">
        <v>0</v>
      </c>
      <c r="AT128" s="1084">
        <v>0</v>
      </c>
      <c r="AU128" s="1082">
        <v>0</v>
      </c>
      <c r="AV128" s="1102">
        <f t="shared" ref="AV128:AV135" si="374">SUM(AQ128:AU128)</f>
        <v>0</v>
      </c>
      <c r="AW128" s="1034">
        <f t="shared" si="227"/>
        <v>0</v>
      </c>
      <c r="AX128" s="1071">
        <v>0</v>
      </c>
      <c r="AY128" s="1071">
        <v>0</v>
      </c>
      <c r="AZ128" s="1071">
        <v>0</v>
      </c>
      <c r="BA128" s="1076">
        <f t="shared" ref="BA128:BA135" si="375">SUM(AX128:AZ128)</f>
        <v>0</v>
      </c>
      <c r="BB128" s="1082">
        <v>0</v>
      </c>
      <c r="BC128" s="1082">
        <v>0</v>
      </c>
      <c r="BD128" s="1082">
        <v>0</v>
      </c>
      <c r="BE128" s="1076">
        <f t="shared" si="228"/>
        <v>0</v>
      </c>
      <c r="BF128" s="1077">
        <v>0</v>
      </c>
      <c r="BG128" s="1071">
        <v>0</v>
      </c>
      <c r="BH128" s="1076">
        <v>0</v>
      </c>
      <c r="BI128" s="1077">
        <v>0</v>
      </c>
      <c r="BJ128" s="1071">
        <v>0</v>
      </c>
      <c r="BK128" s="1041">
        <f t="shared" ref="BK128:BK135" si="376">SUM(BI128:BJ128)</f>
        <v>0</v>
      </c>
      <c r="BL128" s="1077">
        <v>0</v>
      </c>
      <c r="BM128" s="1071">
        <v>0</v>
      </c>
      <c r="BN128" s="1041">
        <f t="shared" ref="BN128:BN135" si="377">SUM(BL128:BM128)</f>
        <v>0</v>
      </c>
      <c r="BO128" s="1077">
        <v>0</v>
      </c>
      <c r="BP128" s="1062">
        <v>0</v>
      </c>
      <c r="BQ128" s="1078">
        <v>0</v>
      </c>
      <c r="BR128" s="1062"/>
      <c r="BS128" s="1079">
        <f t="shared" si="230"/>
        <v>0</v>
      </c>
      <c r="BT128" s="284" t="s">
        <v>419</v>
      </c>
    </row>
    <row r="129" spans="1:72" ht="18" customHeight="1" x14ac:dyDescent="0.2">
      <c r="A129" s="1063" t="s">
        <v>166</v>
      </c>
      <c r="B129" s="1064" t="s">
        <v>167</v>
      </c>
      <c r="C129" s="1099">
        <v>0</v>
      </c>
      <c r="D129" s="1082">
        <v>0</v>
      </c>
      <c r="E129" s="1082">
        <v>0</v>
      </c>
      <c r="F129" s="1082">
        <v>0</v>
      </c>
      <c r="G129" s="1102">
        <f t="shared" si="331"/>
        <v>0</v>
      </c>
      <c r="H129" s="1068">
        <v>0</v>
      </c>
      <c r="I129" s="1069">
        <v>0</v>
      </c>
      <c r="J129" s="1069">
        <v>0</v>
      </c>
      <c r="K129" s="1069">
        <v>0</v>
      </c>
      <c r="L129" s="1070">
        <f t="shared" si="358"/>
        <v>0</v>
      </c>
      <c r="M129" s="1104">
        <v>0</v>
      </c>
      <c r="N129" s="1071">
        <v>0</v>
      </c>
      <c r="O129" s="1071">
        <v>0</v>
      </c>
      <c r="P129" s="1071">
        <v>0</v>
      </c>
      <c r="Q129" s="1071">
        <v>0</v>
      </c>
      <c r="R129" s="1072">
        <f t="shared" si="225"/>
        <v>0</v>
      </c>
      <c r="S129" s="1099">
        <v>0</v>
      </c>
      <c r="T129" s="1082">
        <v>0</v>
      </c>
      <c r="U129" s="1082">
        <v>0</v>
      </c>
      <c r="V129" s="1082">
        <v>0</v>
      </c>
      <c r="W129" s="1102">
        <f t="shared" si="333"/>
        <v>0</v>
      </c>
      <c r="X129" s="1082">
        <v>0</v>
      </c>
      <c r="Y129" s="1082">
        <v>0</v>
      </c>
      <c r="Z129" s="1102">
        <f t="shared" si="297"/>
        <v>0</v>
      </c>
      <c r="AA129" s="1102">
        <f t="shared" si="226"/>
        <v>0</v>
      </c>
      <c r="AB129" s="1099">
        <v>0</v>
      </c>
      <c r="AC129" s="1082">
        <v>0</v>
      </c>
      <c r="AD129" s="1082">
        <v>0</v>
      </c>
      <c r="AE129" s="1082">
        <v>0</v>
      </c>
      <c r="AF129" s="1102">
        <f t="shared" si="368"/>
        <v>0</v>
      </c>
      <c r="AG129" s="1082">
        <v>0</v>
      </c>
      <c r="AH129" s="1082">
        <v>0</v>
      </c>
      <c r="AI129" s="1102">
        <f t="shared" si="365"/>
        <v>0</v>
      </c>
      <c r="AJ129" s="1102">
        <f t="shared" si="366"/>
        <v>0</v>
      </c>
      <c r="AK129" s="1099">
        <f t="shared" si="370"/>
        <v>0</v>
      </c>
      <c r="AL129" s="1082">
        <f t="shared" si="371"/>
        <v>0</v>
      </c>
      <c r="AM129" s="1082">
        <f t="shared" si="372"/>
        <v>0</v>
      </c>
      <c r="AN129" s="1082">
        <f t="shared" si="373"/>
        <v>0</v>
      </c>
      <c r="AO129" s="1102">
        <f t="shared" si="369"/>
        <v>0</v>
      </c>
      <c r="AP129" s="1103"/>
      <c r="AQ129" s="1083">
        <v>0</v>
      </c>
      <c r="AR129" s="1084">
        <f>'AG3'!I26</f>
        <v>15600</v>
      </c>
      <c r="AS129" s="1084">
        <v>0</v>
      </c>
      <c r="AT129" s="1084">
        <v>0</v>
      </c>
      <c r="AU129" s="1082">
        <v>0</v>
      </c>
      <c r="AV129" s="1102">
        <f t="shared" si="374"/>
        <v>15600</v>
      </c>
      <c r="AW129" s="1034">
        <f t="shared" si="227"/>
        <v>15600</v>
      </c>
      <c r="AX129" s="1071">
        <v>0</v>
      </c>
      <c r="AY129" s="1071">
        <v>0</v>
      </c>
      <c r="AZ129" s="1071">
        <v>0</v>
      </c>
      <c r="BA129" s="1076">
        <f t="shared" si="375"/>
        <v>0</v>
      </c>
      <c r="BB129" s="1082">
        <v>0</v>
      </c>
      <c r="BC129" s="1082">
        <v>0</v>
      </c>
      <c r="BD129" s="1082">
        <v>0</v>
      </c>
      <c r="BE129" s="1076">
        <f t="shared" si="228"/>
        <v>0</v>
      </c>
      <c r="BF129" s="1077">
        <v>0</v>
      </c>
      <c r="BG129" s="1071">
        <v>0</v>
      </c>
      <c r="BH129" s="1076">
        <v>0</v>
      </c>
      <c r="BI129" s="1077">
        <v>0</v>
      </c>
      <c r="BJ129" s="1071">
        <v>0</v>
      </c>
      <c r="BK129" s="1041">
        <f t="shared" si="376"/>
        <v>0</v>
      </c>
      <c r="BL129" s="1077">
        <v>0</v>
      </c>
      <c r="BM129" s="1071">
        <v>0</v>
      </c>
      <c r="BN129" s="1041">
        <f t="shared" si="377"/>
        <v>0</v>
      </c>
      <c r="BO129" s="1077">
        <v>0</v>
      </c>
      <c r="BP129" s="1062">
        <v>0</v>
      </c>
      <c r="BQ129" s="1078">
        <v>0</v>
      </c>
      <c r="BR129" s="1062"/>
      <c r="BS129" s="1079">
        <f t="shared" si="230"/>
        <v>15600</v>
      </c>
      <c r="BT129" s="284" t="s">
        <v>419</v>
      </c>
    </row>
    <row r="130" spans="1:72" ht="18" customHeight="1" x14ac:dyDescent="0.2">
      <c r="A130" s="1063" t="s">
        <v>168</v>
      </c>
      <c r="B130" s="1064" t="s">
        <v>169</v>
      </c>
      <c r="C130" s="1099">
        <v>0</v>
      </c>
      <c r="D130" s="1082">
        <v>0</v>
      </c>
      <c r="E130" s="1082">
        <v>0</v>
      </c>
      <c r="F130" s="1082">
        <v>0</v>
      </c>
      <c r="G130" s="1102">
        <f t="shared" si="331"/>
        <v>0</v>
      </c>
      <c r="H130" s="1068">
        <v>0</v>
      </c>
      <c r="I130" s="1069">
        <v>0</v>
      </c>
      <c r="J130" s="1069">
        <v>0</v>
      </c>
      <c r="K130" s="1069">
        <v>0</v>
      </c>
      <c r="L130" s="1070">
        <f t="shared" si="358"/>
        <v>0</v>
      </c>
      <c r="M130" s="1104">
        <v>0</v>
      </c>
      <c r="N130" s="1071">
        <v>0</v>
      </c>
      <c r="O130" s="1071">
        <v>0</v>
      </c>
      <c r="P130" s="1071">
        <v>0</v>
      </c>
      <c r="Q130" s="1071">
        <v>0</v>
      </c>
      <c r="R130" s="1072">
        <f t="shared" si="225"/>
        <v>0</v>
      </c>
      <c r="S130" s="1099">
        <v>0</v>
      </c>
      <c r="T130" s="1082">
        <v>0</v>
      </c>
      <c r="U130" s="1082">
        <v>0</v>
      </c>
      <c r="V130" s="1082">
        <v>0</v>
      </c>
      <c r="W130" s="1102">
        <f t="shared" si="333"/>
        <v>0</v>
      </c>
      <c r="X130" s="1082">
        <v>0</v>
      </c>
      <c r="Y130" s="1082">
        <v>0</v>
      </c>
      <c r="Z130" s="1102">
        <f t="shared" si="297"/>
        <v>0</v>
      </c>
      <c r="AA130" s="1102">
        <f t="shared" si="226"/>
        <v>0</v>
      </c>
      <c r="AB130" s="1099">
        <v>0</v>
      </c>
      <c r="AC130" s="1082">
        <v>0</v>
      </c>
      <c r="AD130" s="1082">
        <v>0</v>
      </c>
      <c r="AE130" s="1082">
        <v>0</v>
      </c>
      <c r="AF130" s="1102">
        <f t="shared" si="368"/>
        <v>0</v>
      </c>
      <c r="AG130" s="1082">
        <v>0</v>
      </c>
      <c r="AH130" s="1082">
        <v>0</v>
      </c>
      <c r="AI130" s="1102">
        <f t="shared" si="365"/>
        <v>0</v>
      </c>
      <c r="AJ130" s="1102">
        <f t="shared" si="366"/>
        <v>0</v>
      </c>
      <c r="AK130" s="1099">
        <f t="shared" si="370"/>
        <v>0</v>
      </c>
      <c r="AL130" s="1082">
        <f t="shared" si="371"/>
        <v>0</v>
      </c>
      <c r="AM130" s="1082">
        <f t="shared" si="372"/>
        <v>0</v>
      </c>
      <c r="AN130" s="1082">
        <f t="shared" si="373"/>
        <v>0</v>
      </c>
      <c r="AO130" s="1102">
        <f t="shared" si="369"/>
        <v>0</v>
      </c>
      <c r="AP130" s="1103"/>
      <c r="AQ130" s="1083">
        <v>0</v>
      </c>
      <c r="AR130" s="1084">
        <v>0</v>
      </c>
      <c r="AS130" s="1084">
        <v>0</v>
      </c>
      <c r="AT130" s="1084">
        <v>0</v>
      </c>
      <c r="AU130" s="1082">
        <v>0</v>
      </c>
      <c r="AV130" s="1102">
        <f t="shared" si="374"/>
        <v>0</v>
      </c>
      <c r="AW130" s="1034">
        <f t="shared" si="227"/>
        <v>0</v>
      </c>
      <c r="AX130" s="1071">
        <v>0</v>
      </c>
      <c r="AY130" s="1071">
        <v>0</v>
      </c>
      <c r="AZ130" s="1071">
        <v>0</v>
      </c>
      <c r="BA130" s="1076">
        <f t="shared" si="375"/>
        <v>0</v>
      </c>
      <c r="BB130" s="1082">
        <v>0</v>
      </c>
      <c r="BC130" s="1082">
        <v>0</v>
      </c>
      <c r="BD130" s="1082">
        <v>0</v>
      </c>
      <c r="BE130" s="1076">
        <f t="shared" si="228"/>
        <v>0</v>
      </c>
      <c r="BF130" s="1077">
        <v>0</v>
      </c>
      <c r="BG130" s="1071">
        <v>0</v>
      </c>
      <c r="BH130" s="1076">
        <v>0</v>
      </c>
      <c r="BI130" s="1077">
        <v>0</v>
      </c>
      <c r="BJ130" s="1071">
        <v>0</v>
      </c>
      <c r="BK130" s="1041">
        <f t="shared" si="376"/>
        <v>0</v>
      </c>
      <c r="BL130" s="1077">
        <v>0</v>
      </c>
      <c r="BM130" s="1071">
        <v>0</v>
      </c>
      <c r="BN130" s="1041">
        <f t="shared" si="377"/>
        <v>0</v>
      </c>
      <c r="BO130" s="1077">
        <v>0</v>
      </c>
      <c r="BP130" s="1062">
        <v>0</v>
      </c>
      <c r="BQ130" s="1078">
        <v>0</v>
      </c>
      <c r="BR130" s="1062"/>
      <c r="BS130" s="1079">
        <f t="shared" si="230"/>
        <v>0</v>
      </c>
      <c r="BT130" s="284" t="s">
        <v>419</v>
      </c>
    </row>
    <row r="131" spans="1:72" ht="18" hidden="1" customHeight="1" x14ac:dyDescent="0.2">
      <c r="A131" s="1063" t="s">
        <v>170</v>
      </c>
      <c r="B131" s="1064" t="s">
        <v>171</v>
      </c>
      <c r="C131" s="1099">
        <v>0</v>
      </c>
      <c r="D131" s="1082">
        <v>0</v>
      </c>
      <c r="E131" s="1082">
        <v>0</v>
      </c>
      <c r="F131" s="1082">
        <v>0</v>
      </c>
      <c r="G131" s="1102">
        <f t="shared" si="331"/>
        <v>0</v>
      </c>
      <c r="H131" s="1068">
        <v>0</v>
      </c>
      <c r="I131" s="1069">
        <v>0</v>
      </c>
      <c r="J131" s="1069">
        <v>0</v>
      </c>
      <c r="K131" s="1069">
        <v>0</v>
      </c>
      <c r="L131" s="1070">
        <f t="shared" si="358"/>
        <v>0</v>
      </c>
      <c r="M131" s="1104">
        <v>0</v>
      </c>
      <c r="N131" s="1071">
        <v>0</v>
      </c>
      <c r="O131" s="1071">
        <v>0</v>
      </c>
      <c r="P131" s="1071">
        <v>0</v>
      </c>
      <c r="Q131" s="1071">
        <v>0</v>
      </c>
      <c r="R131" s="1072">
        <f t="shared" si="225"/>
        <v>0</v>
      </c>
      <c r="S131" s="1099">
        <v>0</v>
      </c>
      <c r="T131" s="1082">
        <v>0</v>
      </c>
      <c r="U131" s="1082">
        <v>0</v>
      </c>
      <c r="V131" s="1082">
        <v>0</v>
      </c>
      <c r="W131" s="1102">
        <f t="shared" si="333"/>
        <v>0</v>
      </c>
      <c r="X131" s="1082">
        <v>0</v>
      </c>
      <c r="Y131" s="1082">
        <v>0</v>
      </c>
      <c r="Z131" s="1102">
        <f t="shared" si="297"/>
        <v>0</v>
      </c>
      <c r="AA131" s="1102">
        <f t="shared" si="226"/>
        <v>0</v>
      </c>
      <c r="AB131" s="1099">
        <v>0</v>
      </c>
      <c r="AC131" s="1082">
        <v>0</v>
      </c>
      <c r="AD131" s="1082">
        <v>0</v>
      </c>
      <c r="AE131" s="1082">
        <v>0</v>
      </c>
      <c r="AF131" s="1102">
        <f t="shared" si="368"/>
        <v>0</v>
      </c>
      <c r="AG131" s="1082">
        <v>0</v>
      </c>
      <c r="AH131" s="1082">
        <v>0</v>
      </c>
      <c r="AI131" s="1102">
        <f t="shared" si="365"/>
        <v>0</v>
      </c>
      <c r="AJ131" s="1102">
        <f t="shared" si="366"/>
        <v>0</v>
      </c>
      <c r="AK131" s="1099">
        <f t="shared" si="370"/>
        <v>0</v>
      </c>
      <c r="AL131" s="1082">
        <f t="shared" si="371"/>
        <v>0</v>
      </c>
      <c r="AM131" s="1082">
        <f t="shared" si="372"/>
        <v>0</v>
      </c>
      <c r="AN131" s="1082">
        <f t="shared" si="373"/>
        <v>0</v>
      </c>
      <c r="AO131" s="1102">
        <f t="shared" si="369"/>
        <v>0</v>
      </c>
      <c r="AP131" s="1103"/>
      <c r="AQ131" s="1083">
        <v>0</v>
      </c>
      <c r="AR131" s="1084">
        <v>0</v>
      </c>
      <c r="AS131" s="1084">
        <v>0</v>
      </c>
      <c r="AT131" s="1084">
        <v>0</v>
      </c>
      <c r="AU131" s="1082">
        <v>0</v>
      </c>
      <c r="AV131" s="1102">
        <f t="shared" si="374"/>
        <v>0</v>
      </c>
      <c r="AW131" s="1034">
        <f t="shared" si="227"/>
        <v>0</v>
      </c>
      <c r="AX131" s="1071">
        <v>0</v>
      </c>
      <c r="AY131" s="1071">
        <v>0</v>
      </c>
      <c r="AZ131" s="1071">
        <v>0</v>
      </c>
      <c r="BA131" s="1076">
        <f t="shared" si="375"/>
        <v>0</v>
      </c>
      <c r="BB131" s="1082">
        <v>0</v>
      </c>
      <c r="BC131" s="1082">
        <v>0</v>
      </c>
      <c r="BD131" s="1082">
        <v>0</v>
      </c>
      <c r="BE131" s="1076">
        <f t="shared" si="228"/>
        <v>0</v>
      </c>
      <c r="BF131" s="1077">
        <v>0</v>
      </c>
      <c r="BG131" s="1071">
        <v>0</v>
      </c>
      <c r="BH131" s="1076">
        <v>0</v>
      </c>
      <c r="BI131" s="1077">
        <v>0</v>
      </c>
      <c r="BJ131" s="1071">
        <v>0</v>
      </c>
      <c r="BK131" s="1041">
        <f t="shared" si="376"/>
        <v>0</v>
      </c>
      <c r="BL131" s="1077">
        <v>0</v>
      </c>
      <c r="BM131" s="1071">
        <v>0</v>
      </c>
      <c r="BN131" s="1041">
        <f t="shared" si="377"/>
        <v>0</v>
      </c>
      <c r="BO131" s="1077">
        <v>0</v>
      </c>
      <c r="BP131" s="1062">
        <v>0</v>
      </c>
      <c r="BQ131" s="1078">
        <v>0</v>
      </c>
      <c r="BR131" s="1062"/>
      <c r="BS131" s="1079">
        <f t="shared" si="230"/>
        <v>0</v>
      </c>
      <c r="BT131" s="284" t="s">
        <v>419</v>
      </c>
    </row>
    <row r="132" spans="1:72" ht="18" hidden="1" customHeight="1" x14ac:dyDescent="0.2">
      <c r="A132" s="1063" t="s">
        <v>172</v>
      </c>
      <c r="B132" s="1064" t="s">
        <v>173</v>
      </c>
      <c r="C132" s="1099">
        <v>0</v>
      </c>
      <c r="D132" s="1082">
        <v>0</v>
      </c>
      <c r="E132" s="1082">
        <v>0</v>
      </c>
      <c r="F132" s="1082">
        <v>0</v>
      </c>
      <c r="G132" s="1102">
        <f t="shared" si="331"/>
        <v>0</v>
      </c>
      <c r="H132" s="1068">
        <v>0</v>
      </c>
      <c r="I132" s="1069">
        <v>0</v>
      </c>
      <c r="J132" s="1069">
        <v>0</v>
      </c>
      <c r="K132" s="1069">
        <v>0</v>
      </c>
      <c r="L132" s="1070">
        <f t="shared" si="358"/>
        <v>0</v>
      </c>
      <c r="M132" s="1104">
        <v>0</v>
      </c>
      <c r="N132" s="1071">
        <v>0</v>
      </c>
      <c r="O132" s="1071">
        <v>0</v>
      </c>
      <c r="P132" s="1071">
        <v>0</v>
      </c>
      <c r="Q132" s="1071">
        <v>0</v>
      </c>
      <c r="R132" s="1072">
        <f t="shared" si="225"/>
        <v>0</v>
      </c>
      <c r="S132" s="1099">
        <v>0</v>
      </c>
      <c r="T132" s="1082">
        <v>0</v>
      </c>
      <c r="U132" s="1082">
        <v>0</v>
      </c>
      <c r="V132" s="1082">
        <v>0</v>
      </c>
      <c r="W132" s="1102">
        <f t="shared" si="333"/>
        <v>0</v>
      </c>
      <c r="X132" s="1082">
        <v>0</v>
      </c>
      <c r="Y132" s="1082">
        <v>0</v>
      </c>
      <c r="Z132" s="1102">
        <f t="shared" si="297"/>
        <v>0</v>
      </c>
      <c r="AA132" s="1102">
        <f t="shared" si="226"/>
        <v>0</v>
      </c>
      <c r="AB132" s="1099">
        <v>0</v>
      </c>
      <c r="AC132" s="1082">
        <v>0</v>
      </c>
      <c r="AD132" s="1082">
        <v>0</v>
      </c>
      <c r="AE132" s="1082">
        <v>0</v>
      </c>
      <c r="AF132" s="1102">
        <f t="shared" si="368"/>
        <v>0</v>
      </c>
      <c r="AG132" s="1082">
        <v>0</v>
      </c>
      <c r="AH132" s="1082">
        <v>0</v>
      </c>
      <c r="AI132" s="1102">
        <f t="shared" si="365"/>
        <v>0</v>
      </c>
      <c r="AJ132" s="1102">
        <f t="shared" si="366"/>
        <v>0</v>
      </c>
      <c r="AK132" s="1099">
        <f t="shared" si="370"/>
        <v>0</v>
      </c>
      <c r="AL132" s="1082">
        <f t="shared" si="371"/>
        <v>0</v>
      </c>
      <c r="AM132" s="1082">
        <f t="shared" si="372"/>
        <v>0</v>
      </c>
      <c r="AN132" s="1082">
        <f t="shared" si="373"/>
        <v>0</v>
      </c>
      <c r="AO132" s="1102">
        <f t="shared" si="369"/>
        <v>0</v>
      </c>
      <c r="AP132" s="1103"/>
      <c r="AQ132" s="1083">
        <v>0</v>
      </c>
      <c r="AR132" s="1084">
        <v>0</v>
      </c>
      <c r="AS132" s="1084">
        <v>0</v>
      </c>
      <c r="AT132" s="1084">
        <v>0</v>
      </c>
      <c r="AU132" s="1082">
        <v>0</v>
      </c>
      <c r="AV132" s="1102">
        <f t="shared" si="374"/>
        <v>0</v>
      </c>
      <c r="AW132" s="1034">
        <f t="shared" si="227"/>
        <v>0</v>
      </c>
      <c r="AX132" s="1071">
        <v>0</v>
      </c>
      <c r="AY132" s="1071">
        <v>0</v>
      </c>
      <c r="AZ132" s="1071">
        <v>0</v>
      </c>
      <c r="BA132" s="1076">
        <f t="shared" si="375"/>
        <v>0</v>
      </c>
      <c r="BB132" s="1082">
        <v>0</v>
      </c>
      <c r="BC132" s="1082">
        <v>0</v>
      </c>
      <c r="BD132" s="1082">
        <v>0</v>
      </c>
      <c r="BE132" s="1076">
        <f t="shared" si="228"/>
        <v>0</v>
      </c>
      <c r="BF132" s="1077">
        <v>0</v>
      </c>
      <c r="BG132" s="1071">
        <v>0</v>
      </c>
      <c r="BH132" s="1076">
        <v>0</v>
      </c>
      <c r="BI132" s="1077">
        <v>0</v>
      </c>
      <c r="BJ132" s="1071">
        <v>0</v>
      </c>
      <c r="BK132" s="1041">
        <f t="shared" si="376"/>
        <v>0</v>
      </c>
      <c r="BL132" s="1077">
        <v>0</v>
      </c>
      <c r="BM132" s="1071">
        <v>0</v>
      </c>
      <c r="BN132" s="1041">
        <f t="shared" si="377"/>
        <v>0</v>
      </c>
      <c r="BO132" s="1077">
        <f>'AG3'!U28</f>
        <v>0</v>
      </c>
      <c r="BP132" s="1062">
        <v>0</v>
      </c>
      <c r="BQ132" s="1078">
        <f t="shared" si="229"/>
        <v>0</v>
      </c>
      <c r="BR132" s="1062"/>
      <c r="BS132" s="1079">
        <f t="shared" si="230"/>
        <v>0</v>
      </c>
      <c r="BT132" s="284" t="s">
        <v>419</v>
      </c>
    </row>
    <row r="133" spans="1:72" ht="18" hidden="1" customHeight="1" x14ac:dyDescent="0.2">
      <c r="A133" s="1063" t="s">
        <v>174</v>
      </c>
      <c r="B133" s="1064" t="s">
        <v>175</v>
      </c>
      <c r="C133" s="1099">
        <v>0</v>
      </c>
      <c r="D133" s="1082">
        <v>0</v>
      </c>
      <c r="E133" s="1082">
        <v>0</v>
      </c>
      <c r="F133" s="1082">
        <v>0</v>
      </c>
      <c r="G133" s="1102">
        <f t="shared" si="331"/>
        <v>0</v>
      </c>
      <c r="H133" s="1068">
        <v>0</v>
      </c>
      <c r="I133" s="1069">
        <v>0</v>
      </c>
      <c r="J133" s="1069">
        <v>0</v>
      </c>
      <c r="K133" s="1069">
        <v>0</v>
      </c>
      <c r="L133" s="1070">
        <f t="shared" si="358"/>
        <v>0</v>
      </c>
      <c r="M133" s="1104">
        <v>0</v>
      </c>
      <c r="N133" s="1071">
        <v>0</v>
      </c>
      <c r="O133" s="1071">
        <v>0</v>
      </c>
      <c r="P133" s="1071">
        <v>0</v>
      </c>
      <c r="Q133" s="1071">
        <v>0</v>
      </c>
      <c r="R133" s="1072">
        <f t="shared" si="225"/>
        <v>0</v>
      </c>
      <c r="S133" s="1099">
        <v>0</v>
      </c>
      <c r="T133" s="1082">
        <v>0</v>
      </c>
      <c r="U133" s="1082">
        <v>0</v>
      </c>
      <c r="V133" s="1082">
        <v>0</v>
      </c>
      <c r="W133" s="1102">
        <f t="shared" si="333"/>
        <v>0</v>
      </c>
      <c r="X133" s="1082">
        <v>0</v>
      </c>
      <c r="Y133" s="1082">
        <v>0</v>
      </c>
      <c r="Z133" s="1102">
        <f t="shared" si="297"/>
        <v>0</v>
      </c>
      <c r="AA133" s="1102">
        <f t="shared" si="226"/>
        <v>0</v>
      </c>
      <c r="AB133" s="1099">
        <v>0</v>
      </c>
      <c r="AC133" s="1082">
        <v>0</v>
      </c>
      <c r="AD133" s="1082">
        <v>0</v>
      </c>
      <c r="AE133" s="1082">
        <v>0</v>
      </c>
      <c r="AF133" s="1102">
        <f t="shared" si="368"/>
        <v>0</v>
      </c>
      <c r="AG133" s="1082">
        <v>0</v>
      </c>
      <c r="AH133" s="1082">
        <v>0</v>
      </c>
      <c r="AI133" s="1102">
        <f t="shared" si="365"/>
        <v>0</v>
      </c>
      <c r="AJ133" s="1102">
        <f t="shared" si="366"/>
        <v>0</v>
      </c>
      <c r="AK133" s="1099">
        <f t="shared" si="370"/>
        <v>0</v>
      </c>
      <c r="AL133" s="1082">
        <f t="shared" si="371"/>
        <v>0</v>
      </c>
      <c r="AM133" s="1082">
        <f t="shared" si="372"/>
        <v>0</v>
      </c>
      <c r="AN133" s="1082">
        <f t="shared" si="373"/>
        <v>0</v>
      </c>
      <c r="AO133" s="1102">
        <f t="shared" si="369"/>
        <v>0</v>
      </c>
      <c r="AP133" s="1103"/>
      <c r="AQ133" s="1083">
        <v>0</v>
      </c>
      <c r="AR133" s="1084">
        <v>0</v>
      </c>
      <c r="AS133" s="1084">
        <v>0</v>
      </c>
      <c r="AT133" s="1084">
        <v>0</v>
      </c>
      <c r="AU133" s="1082">
        <v>0</v>
      </c>
      <c r="AV133" s="1102">
        <f t="shared" si="374"/>
        <v>0</v>
      </c>
      <c r="AW133" s="1034">
        <f t="shared" si="227"/>
        <v>0</v>
      </c>
      <c r="AX133" s="1071">
        <v>0</v>
      </c>
      <c r="AY133" s="1071">
        <v>0</v>
      </c>
      <c r="AZ133" s="1071">
        <v>0</v>
      </c>
      <c r="BA133" s="1076">
        <f t="shared" si="375"/>
        <v>0</v>
      </c>
      <c r="BB133" s="1082">
        <v>0</v>
      </c>
      <c r="BC133" s="1082">
        <v>0</v>
      </c>
      <c r="BD133" s="1082">
        <v>0</v>
      </c>
      <c r="BE133" s="1076">
        <f t="shared" si="228"/>
        <v>0</v>
      </c>
      <c r="BF133" s="1077">
        <v>0</v>
      </c>
      <c r="BG133" s="1071">
        <v>0</v>
      </c>
      <c r="BH133" s="1076">
        <v>0</v>
      </c>
      <c r="BI133" s="1077">
        <v>0</v>
      </c>
      <c r="BJ133" s="1071">
        <v>0</v>
      </c>
      <c r="BK133" s="1041">
        <f t="shared" si="376"/>
        <v>0</v>
      </c>
      <c r="BL133" s="1077">
        <v>0</v>
      </c>
      <c r="BM133" s="1071">
        <v>0</v>
      </c>
      <c r="BN133" s="1041">
        <f t="shared" si="377"/>
        <v>0</v>
      </c>
      <c r="BO133" s="1077">
        <v>0</v>
      </c>
      <c r="BP133" s="1062">
        <v>0</v>
      </c>
      <c r="BQ133" s="1078">
        <f t="shared" si="229"/>
        <v>0</v>
      </c>
      <c r="BR133" s="1062"/>
      <c r="BS133" s="1079">
        <f t="shared" si="230"/>
        <v>0</v>
      </c>
      <c r="BT133" s="284" t="s">
        <v>419</v>
      </c>
    </row>
    <row r="134" spans="1:72" ht="18" hidden="1" customHeight="1" x14ac:dyDescent="0.2">
      <c r="A134" s="1063" t="s">
        <v>176</v>
      </c>
      <c r="B134" s="1064" t="s">
        <v>177</v>
      </c>
      <c r="C134" s="1099">
        <v>0</v>
      </c>
      <c r="D134" s="1082">
        <v>0</v>
      </c>
      <c r="E134" s="1082">
        <v>0</v>
      </c>
      <c r="F134" s="1082">
        <v>0</v>
      </c>
      <c r="G134" s="1102">
        <f t="shared" si="331"/>
        <v>0</v>
      </c>
      <c r="H134" s="1068">
        <v>0</v>
      </c>
      <c r="I134" s="1069">
        <v>0</v>
      </c>
      <c r="J134" s="1069">
        <v>0</v>
      </c>
      <c r="K134" s="1069">
        <v>0</v>
      </c>
      <c r="L134" s="1070">
        <f t="shared" si="358"/>
        <v>0</v>
      </c>
      <c r="M134" s="1104">
        <v>0</v>
      </c>
      <c r="N134" s="1071">
        <v>0</v>
      </c>
      <c r="O134" s="1071">
        <v>0</v>
      </c>
      <c r="P134" s="1071">
        <v>0</v>
      </c>
      <c r="Q134" s="1071">
        <v>0</v>
      </c>
      <c r="R134" s="1072">
        <f t="shared" si="225"/>
        <v>0</v>
      </c>
      <c r="S134" s="1099">
        <v>0</v>
      </c>
      <c r="T134" s="1082">
        <v>0</v>
      </c>
      <c r="U134" s="1082">
        <v>0</v>
      </c>
      <c r="V134" s="1082">
        <v>0</v>
      </c>
      <c r="W134" s="1102">
        <f t="shared" si="333"/>
        <v>0</v>
      </c>
      <c r="X134" s="1082">
        <v>0</v>
      </c>
      <c r="Y134" s="1082">
        <v>0</v>
      </c>
      <c r="Z134" s="1102">
        <f t="shared" si="297"/>
        <v>0</v>
      </c>
      <c r="AA134" s="1102">
        <f t="shared" si="226"/>
        <v>0</v>
      </c>
      <c r="AB134" s="1099">
        <v>0</v>
      </c>
      <c r="AC134" s="1082">
        <v>0</v>
      </c>
      <c r="AD134" s="1082">
        <v>0</v>
      </c>
      <c r="AE134" s="1082">
        <v>0</v>
      </c>
      <c r="AF134" s="1102">
        <f t="shared" si="368"/>
        <v>0</v>
      </c>
      <c r="AG134" s="1082">
        <v>0</v>
      </c>
      <c r="AH134" s="1082">
        <v>0</v>
      </c>
      <c r="AI134" s="1102">
        <f t="shared" si="365"/>
        <v>0</v>
      </c>
      <c r="AJ134" s="1102">
        <f t="shared" si="366"/>
        <v>0</v>
      </c>
      <c r="AK134" s="1099">
        <f t="shared" si="370"/>
        <v>0</v>
      </c>
      <c r="AL134" s="1082">
        <f t="shared" si="371"/>
        <v>0</v>
      </c>
      <c r="AM134" s="1082">
        <f t="shared" si="372"/>
        <v>0</v>
      </c>
      <c r="AN134" s="1082">
        <f t="shared" si="373"/>
        <v>0</v>
      </c>
      <c r="AO134" s="1102">
        <f t="shared" si="369"/>
        <v>0</v>
      </c>
      <c r="AP134" s="1103"/>
      <c r="AQ134" s="1083">
        <v>0</v>
      </c>
      <c r="AR134" s="1084">
        <v>0</v>
      </c>
      <c r="AS134" s="1084">
        <v>0</v>
      </c>
      <c r="AT134" s="1084">
        <v>0</v>
      </c>
      <c r="AU134" s="1082">
        <v>0</v>
      </c>
      <c r="AV134" s="1102">
        <f t="shared" si="374"/>
        <v>0</v>
      </c>
      <c r="AW134" s="1034">
        <f t="shared" si="227"/>
        <v>0</v>
      </c>
      <c r="AX134" s="1071">
        <v>0</v>
      </c>
      <c r="AY134" s="1071">
        <v>0</v>
      </c>
      <c r="AZ134" s="1071">
        <v>0</v>
      </c>
      <c r="BA134" s="1076">
        <f t="shared" si="375"/>
        <v>0</v>
      </c>
      <c r="BB134" s="1082">
        <v>0</v>
      </c>
      <c r="BC134" s="1082">
        <v>0</v>
      </c>
      <c r="BD134" s="1082">
        <v>0</v>
      </c>
      <c r="BE134" s="1076">
        <f t="shared" si="228"/>
        <v>0</v>
      </c>
      <c r="BF134" s="1077">
        <v>0</v>
      </c>
      <c r="BG134" s="1071">
        <v>0</v>
      </c>
      <c r="BH134" s="1076">
        <v>0</v>
      </c>
      <c r="BI134" s="1077">
        <v>0</v>
      </c>
      <c r="BJ134" s="1071">
        <v>0</v>
      </c>
      <c r="BK134" s="1041">
        <f t="shared" si="376"/>
        <v>0</v>
      </c>
      <c r="BL134" s="1077">
        <v>0</v>
      </c>
      <c r="BM134" s="1071">
        <v>0</v>
      </c>
      <c r="BN134" s="1041">
        <f t="shared" si="377"/>
        <v>0</v>
      </c>
      <c r="BO134" s="1077">
        <v>0</v>
      </c>
      <c r="BP134" s="1062">
        <v>0</v>
      </c>
      <c r="BQ134" s="1078">
        <f t="shared" si="229"/>
        <v>0</v>
      </c>
      <c r="BR134" s="1062"/>
      <c r="BS134" s="1079">
        <f t="shared" si="230"/>
        <v>0</v>
      </c>
      <c r="BT134" s="284" t="s">
        <v>419</v>
      </c>
    </row>
    <row r="135" spans="1:72" ht="18" hidden="1" customHeight="1" x14ac:dyDescent="0.2">
      <c r="A135" s="1063" t="s">
        <v>178</v>
      </c>
      <c r="B135" s="1064" t="s">
        <v>179</v>
      </c>
      <c r="C135" s="1099">
        <f>'F.P y DL'!C533</f>
        <v>0</v>
      </c>
      <c r="D135" s="1082">
        <v>0</v>
      </c>
      <c r="E135" s="1082">
        <v>0</v>
      </c>
      <c r="F135" s="1082">
        <v>0</v>
      </c>
      <c r="G135" s="1102">
        <f t="shared" si="331"/>
        <v>0</v>
      </c>
      <c r="H135" s="1068">
        <v>0</v>
      </c>
      <c r="I135" s="1069">
        <v>0</v>
      </c>
      <c r="J135" s="1069">
        <v>0</v>
      </c>
      <c r="K135" s="1069">
        <v>0</v>
      </c>
      <c r="L135" s="1070">
        <f t="shared" si="358"/>
        <v>0</v>
      </c>
      <c r="M135" s="1104">
        <v>0</v>
      </c>
      <c r="N135" s="1071">
        <v>0</v>
      </c>
      <c r="O135" s="1071">
        <v>0</v>
      </c>
      <c r="P135" s="1071">
        <v>0</v>
      </c>
      <c r="Q135" s="1071">
        <v>0</v>
      </c>
      <c r="R135" s="1072">
        <f t="shared" si="225"/>
        <v>0</v>
      </c>
      <c r="S135" s="1099">
        <f>'F.P y DL'!W533</f>
        <v>0</v>
      </c>
      <c r="T135" s="1082">
        <v>0</v>
      </c>
      <c r="U135" s="1082">
        <v>0</v>
      </c>
      <c r="V135" s="1082">
        <v>0</v>
      </c>
      <c r="W135" s="1102">
        <f t="shared" si="333"/>
        <v>0</v>
      </c>
      <c r="X135" s="1082">
        <v>0</v>
      </c>
      <c r="Y135" s="1082">
        <v>0</v>
      </c>
      <c r="Z135" s="1102">
        <f t="shared" si="297"/>
        <v>0</v>
      </c>
      <c r="AA135" s="1102">
        <f t="shared" si="226"/>
        <v>0</v>
      </c>
      <c r="AB135" s="1099">
        <f>'F.P y DL'!AF533</f>
        <v>0</v>
      </c>
      <c r="AC135" s="1082">
        <v>0</v>
      </c>
      <c r="AD135" s="1082">
        <v>0</v>
      </c>
      <c r="AE135" s="1082">
        <v>0</v>
      </c>
      <c r="AF135" s="1102">
        <f t="shared" si="368"/>
        <v>0</v>
      </c>
      <c r="AG135" s="1082">
        <v>0</v>
      </c>
      <c r="AH135" s="1082">
        <v>0</v>
      </c>
      <c r="AI135" s="1102">
        <f t="shared" si="365"/>
        <v>0</v>
      </c>
      <c r="AJ135" s="1102">
        <f t="shared" si="366"/>
        <v>0</v>
      </c>
      <c r="AK135" s="1099">
        <f t="shared" si="370"/>
        <v>0</v>
      </c>
      <c r="AL135" s="1082">
        <f t="shared" si="371"/>
        <v>0</v>
      </c>
      <c r="AM135" s="1082">
        <f t="shared" si="372"/>
        <v>0</v>
      </c>
      <c r="AN135" s="1082">
        <f t="shared" si="373"/>
        <v>0</v>
      </c>
      <c r="AO135" s="1102">
        <f t="shared" si="369"/>
        <v>0</v>
      </c>
      <c r="AP135" s="1103"/>
      <c r="AQ135" s="1083">
        <v>0</v>
      </c>
      <c r="AR135" s="1084">
        <v>0</v>
      </c>
      <c r="AS135" s="1084">
        <v>0</v>
      </c>
      <c r="AT135" s="1084">
        <v>0</v>
      </c>
      <c r="AU135" s="1082">
        <v>0</v>
      </c>
      <c r="AV135" s="1102">
        <f t="shared" si="374"/>
        <v>0</v>
      </c>
      <c r="AW135" s="1034">
        <f t="shared" si="227"/>
        <v>0</v>
      </c>
      <c r="AX135" s="1071">
        <v>0</v>
      </c>
      <c r="AY135" s="1071">
        <v>0</v>
      </c>
      <c r="AZ135" s="1071">
        <v>0</v>
      </c>
      <c r="BA135" s="1076">
        <f t="shared" si="375"/>
        <v>0</v>
      </c>
      <c r="BB135" s="1082">
        <v>0</v>
      </c>
      <c r="BC135" s="1082">
        <v>0</v>
      </c>
      <c r="BD135" s="1082">
        <v>0</v>
      </c>
      <c r="BE135" s="1076">
        <f t="shared" si="228"/>
        <v>0</v>
      </c>
      <c r="BF135" s="1077">
        <v>0</v>
      </c>
      <c r="BG135" s="1071">
        <v>0</v>
      </c>
      <c r="BH135" s="1076">
        <v>0</v>
      </c>
      <c r="BI135" s="1077">
        <v>0</v>
      </c>
      <c r="BJ135" s="1071">
        <v>0</v>
      </c>
      <c r="BK135" s="1041">
        <f t="shared" si="376"/>
        <v>0</v>
      </c>
      <c r="BL135" s="1077">
        <v>0</v>
      </c>
      <c r="BM135" s="1071">
        <v>0</v>
      </c>
      <c r="BN135" s="1041">
        <f t="shared" si="377"/>
        <v>0</v>
      </c>
      <c r="BO135" s="1077">
        <v>0</v>
      </c>
      <c r="BP135" s="1062">
        <v>0</v>
      </c>
      <c r="BQ135" s="1078">
        <f t="shared" si="229"/>
        <v>0</v>
      </c>
      <c r="BR135" s="1062"/>
      <c r="BS135" s="1079">
        <f t="shared" si="230"/>
        <v>0</v>
      </c>
      <c r="BT135" s="284" t="s">
        <v>419</v>
      </c>
    </row>
    <row r="136" spans="1:72" ht="18" hidden="1" customHeight="1" x14ac:dyDescent="0.2">
      <c r="A136" s="1057" t="s">
        <v>231</v>
      </c>
      <c r="B136" s="1058" t="s">
        <v>191</v>
      </c>
      <c r="C136" s="1098">
        <v>0</v>
      </c>
      <c r="D136" s="1017">
        <v>0</v>
      </c>
      <c r="E136" s="1017">
        <v>0</v>
      </c>
      <c r="F136" s="1017">
        <v>0</v>
      </c>
      <c r="G136" s="1100">
        <f t="shared" si="331"/>
        <v>0</v>
      </c>
      <c r="H136" s="1060">
        <v>0</v>
      </c>
      <c r="I136" s="1019">
        <v>0</v>
      </c>
      <c r="J136" s="1019">
        <v>0</v>
      </c>
      <c r="K136" s="1019">
        <v>0</v>
      </c>
      <c r="L136" s="1021">
        <f t="shared" si="358"/>
        <v>0</v>
      </c>
      <c r="M136" s="1106">
        <v>0</v>
      </c>
      <c r="N136" s="1022">
        <f>N137+N138+N139</f>
        <v>0</v>
      </c>
      <c r="O136" s="1022">
        <v>0</v>
      </c>
      <c r="P136" s="1022">
        <v>0</v>
      </c>
      <c r="Q136" s="1022">
        <v>0</v>
      </c>
      <c r="R136" s="1023">
        <f t="shared" si="225"/>
        <v>0</v>
      </c>
      <c r="S136" s="1098">
        <v>0</v>
      </c>
      <c r="T136" s="1017">
        <v>0</v>
      </c>
      <c r="U136" s="1017">
        <v>0</v>
      </c>
      <c r="V136" s="1017">
        <v>0</v>
      </c>
      <c r="W136" s="1100">
        <f t="shared" si="333"/>
        <v>0</v>
      </c>
      <c r="X136" s="1017">
        <v>0</v>
      </c>
      <c r="Y136" s="1017">
        <v>0</v>
      </c>
      <c r="Z136" s="1100">
        <f t="shared" si="297"/>
        <v>0</v>
      </c>
      <c r="AA136" s="1100">
        <f t="shared" si="226"/>
        <v>0</v>
      </c>
      <c r="AB136" s="1098">
        <v>0</v>
      </c>
      <c r="AC136" s="1017">
        <v>0</v>
      </c>
      <c r="AD136" s="1017">
        <v>0</v>
      </c>
      <c r="AE136" s="1017">
        <v>0</v>
      </c>
      <c r="AF136" s="1100">
        <f t="shared" si="368"/>
        <v>0</v>
      </c>
      <c r="AG136" s="1017">
        <v>0</v>
      </c>
      <c r="AH136" s="1017">
        <v>0</v>
      </c>
      <c r="AI136" s="1100">
        <f t="shared" si="365"/>
        <v>0</v>
      </c>
      <c r="AJ136" s="1100">
        <f t="shared" si="366"/>
        <v>0</v>
      </c>
      <c r="AK136" s="1098">
        <v>0</v>
      </c>
      <c r="AL136" s="1017">
        <v>0</v>
      </c>
      <c r="AM136" s="1017">
        <v>0</v>
      </c>
      <c r="AN136" s="1017">
        <v>0</v>
      </c>
      <c r="AO136" s="1100">
        <f t="shared" si="369"/>
        <v>0</v>
      </c>
      <c r="AP136" s="1101"/>
      <c r="AQ136" s="1024">
        <v>0</v>
      </c>
      <c r="AR136" s="1025">
        <v>0</v>
      </c>
      <c r="AS136" s="1025">
        <v>0</v>
      </c>
      <c r="AT136" s="1025">
        <v>0</v>
      </c>
      <c r="AU136" s="1017">
        <v>0</v>
      </c>
      <c r="AV136" s="1100">
        <f t="shared" ref="AV136:AV142" si="378">SUM(AJ136:AM136)</f>
        <v>0</v>
      </c>
      <c r="AW136" s="1100">
        <f t="shared" si="227"/>
        <v>0</v>
      </c>
      <c r="AX136" s="1022">
        <v>0</v>
      </c>
      <c r="AY136" s="1022">
        <v>0</v>
      </c>
      <c r="AZ136" s="1022">
        <v>0</v>
      </c>
      <c r="BA136" s="1027">
        <f>M136+N136+O136+AX136+AZ136</f>
        <v>0</v>
      </c>
      <c r="BB136" s="1017">
        <f>SUM(BB137:BB139)</f>
        <v>0</v>
      </c>
      <c r="BC136" s="1017">
        <f t="shared" ref="BC136:BE136" si="379">SUM(BC137:BC139)</f>
        <v>0</v>
      </c>
      <c r="BD136" s="1017">
        <f t="shared" si="379"/>
        <v>0</v>
      </c>
      <c r="BE136" s="1027">
        <f t="shared" si="379"/>
        <v>0</v>
      </c>
      <c r="BF136" s="1026">
        <v>0</v>
      </c>
      <c r="BG136" s="1022">
        <v>0</v>
      </c>
      <c r="BH136" s="1027">
        <v>0</v>
      </c>
      <c r="BI136" s="1026">
        <f>SUM(BI137:BI139)</f>
        <v>0</v>
      </c>
      <c r="BJ136" s="1022">
        <f>SUM(BJ137:BJ139)</f>
        <v>0</v>
      </c>
      <c r="BK136" s="1023"/>
      <c r="BL136" s="1026">
        <f>SUM(BL137:BL139)</f>
        <v>0</v>
      </c>
      <c r="BM136" s="1022">
        <f>SUM(BM137:BM139)</f>
        <v>0</v>
      </c>
      <c r="BN136" s="1023"/>
      <c r="BO136" s="1026">
        <v>0</v>
      </c>
      <c r="BP136" s="1028">
        <v>0</v>
      </c>
      <c r="BQ136" s="1008">
        <f t="shared" si="229"/>
        <v>0</v>
      </c>
      <c r="BR136" s="1062"/>
      <c r="BS136" s="1013">
        <f t="shared" si="230"/>
        <v>0</v>
      </c>
      <c r="BT136" s="284" t="s">
        <v>419</v>
      </c>
    </row>
    <row r="137" spans="1:72" ht="18" hidden="1" customHeight="1" x14ac:dyDescent="0.2">
      <c r="A137" s="1063" t="s">
        <v>232</v>
      </c>
      <c r="B137" s="1064" t="s">
        <v>233</v>
      </c>
      <c r="C137" s="1099">
        <v>0</v>
      </c>
      <c r="D137" s="1082">
        <v>0</v>
      </c>
      <c r="E137" s="1082">
        <v>0</v>
      </c>
      <c r="F137" s="1082">
        <v>0</v>
      </c>
      <c r="G137" s="1102">
        <f t="shared" si="331"/>
        <v>0</v>
      </c>
      <c r="H137" s="1068">
        <v>0</v>
      </c>
      <c r="I137" s="1069">
        <v>0</v>
      </c>
      <c r="J137" s="1069">
        <v>0</v>
      </c>
      <c r="K137" s="1069">
        <v>0</v>
      </c>
      <c r="L137" s="1070">
        <f t="shared" si="358"/>
        <v>0</v>
      </c>
      <c r="M137" s="1104">
        <v>0</v>
      </c>
      <c r="N137" s="1071">
        <v>0</v>
      </c>
      <c r="O137" s="1071">
        <v>0</v>
      </c>
      <c r="P137" s="1071">
        <v>0</v>
      </c>
      <c r="Q137" s="1071">
        <v>0</v>
      </c>
      <c r="R137" s="1072">
        <f t="shared" si="225"/>
        <v>0</v>
      </c>
      <c r="S137" s="1099">
        <v>0</v>
      </c>
      <c r="T137" s="1082">
        <v>0</v>
      </c>
      <c r="U137" s="1082">
        <v>0</v>
      </c>
      <c r="V137" s="1082">
        <v>0</v>
      </c>
      <c r="W137" s="1102">
        <f t="shared" si="333"/>
        <v>0</v>
      </c>
      <c r="X137" s="1082">
        <v>0</v>
      </c>
      <c r="Y137" s="1082">
        <v>0</v>
      </c>
      <c r="Z137" s="1102">
        <f t="shared" si="297"/>
        <v>0</v>
      </c>
      <c r="AA137" s="1102">
        <f t="shared" si="226"/>
        <v>0</v>
      </c>
      <c r="AB137" s="1099">
        <v>0</v>
      </c>
      <c r="AC137" s="1082">
        <v>0</v>
      </c>
      <c r="AD137" s="1082">
        <v>0</v>
      </c>
      <c r="AE137" s="1082">
        <v>0</v>
      </c>
      <c r="AF137" s="1102">
        <f t="shared" si="368"/>
        <v>0</v>
      </c>
      <c r="AG137" s="1082">
        <v>0</v>
      </c>
      <c r="AH137" s="1082">
        <v>0</v>
      </c>
      <c r="AI137" s="1102">
        <f t="shared" si="365"/>
        <v>0</v>
      </c>
      <c r="AJ137" s="1102">
        <f t="shared" si="366"/>
        <v>0</v>
      </c>
      <c r="AK137" s="1099">
        <f t="shared" ref="AK137:AK139" si="380">S137+AB137</f>
        <v>0</v>
      </c>
      <c r="AL137" s="1082">
        <f t="shared" ref="AL137:AL139" si="381">T137+AC137</f>
        <v>0</v>
      </c>
      <c r="AM137" s="1082">
        <f t="shared" ref="AM137:AM139" si="382">U137+AD137</f>
        <v>0</v>
      </c>
      <c r="AN137" s="1082">
        <f t="shared" ref="AN137:AN139" si="383">V137+AE137</f>
        <v>0</v>
      </c>
      <c r="AO137" s="1102">
        <f t="shared" si="369"/>
        <v>0</v>
      </c>
      <c r="AP137" s="1103"/>
      <c r="AQ137" s="1083">
        <v>0</v>
      </c>
      <c r="AR137" s="1084">
        <v>0</v>
      </c>
      <c r="AS137" s="1084">
        <v>0</v>
      </c>
      <c r="AT137" s="1084">
        <v>0</v>
      </c>
      <c r="AU137" s="1082">
        <v>0</v>
      </c>
      <c r="AV137" s="1102">
        <f t="shared" ref="AV137:AV139" si="384">SUM(AQ137:AU137)</f>
        <v>0</v>
      </c>
      <c r="AW137" s="1034">
        <f t="shared" si="227"/>
        <v>0</v>
      </c>
      <c r="AX137" s="1071">
        <v>0</v>
      </c>
      <c r="AY137" s="1071">
        <v>0</v>
      </c>
      <c r="AZ137" s="1071">
        <v>0</v>
      </c>
      <c r="BA137" s="1076">
        <f t="shared" ref="BA137:BA139" si="385">SUM(AX137:AZ137)</f>
        <v>0</v>
      </c>
      <c r="BB137" s="1082">
        <v>0</v>
      </c>
      <c r="BC137" s="1082">
        <v>0</v>
      </c>
      <c r="BD137" s="1082">
        <v>0</v>
      </c>
      <c r="BE137" s="1076">
        <f t="shared" si="228"/>
        <v>0</v>
      </c>
      <c r="BF137" s="1077">
        <v>0</v>
      </c>
      <c r="BG137" s="1071">
        <v>0</v>
      </c>
      <c r="BH137" s="1076">
        <v>0</v>
      </c>
      <c r="BI137" s="1077">
        <v>0</v>
      </c>
      <c r="BJ137" s="1071">
        <v>0</v>
      </c>
      <c r="BK137" s="1041">
        <f t="shared" ref="BK137:BK139" si="386">SUM(BI137:BJ137)</f>
        <v>0</v>
      </c>
      <c r="BL137" s="1077">
        <v>0</v>
      </c>
      <c r="BM137" s="1071">
        <v>0</v>
      </c>
      <c r="BN137" s="1041">
        <f t="shared" ref="BN137:BN139" si="387">SUM(BL137:BM137)</f>
        <v>0</v>
      </c>
      <c r="BO137" s="1077">
        <v>0</v>
      </c>
      <c r="BP137" s="1062">
        <v>0</v>
      </c>
      <c r="BQ137" s="1078">
        <f t="shared" si="229"/>
        <v>0</v>
      </c>
      <c r="BR137" s="1062"/>
      <c r="BS137" s="1079">
        <f t="shared" si="230"/>
        <v>0</v>
      </c>
      <c r="BT137" s="284" t="s">
        <v>419</v>
      </c>
    </row>
    <row r="138" spans="1:72" ht="18" hidden="1" customHeight="1" x14ac:dyDescent="0.2">
      <c r="A138" s="1063" t="s">
        <v>234</v>
      </c>
      <c r="B138" s="1064" t="s">
        <v>235</v>
      </c>
      <c r="C138" s="1099">
        <v>0</v>
      </c>
      <c r="D138" s="1082">
        <v>0</v>
      </c>
      <c r="E138" s="1082">
        <v>0</v>
      </c>
      <c r="F138" s="1082">
        <v>0</v>
      </c>
      <c r="G138" s="1102">
        <f t="shared" si="331"/>
        <v>0</v>
      </c>
      <c r="H138" s="1068">
        <v>0</v>
      </c>
      <c r="I138" s="1069">
        <v>0</v>
      </c>
      <c r="J138" s="1069">
        <v>0</v>
      </c>
      <c r="K138" s="1069">
        <v>0</v>
      </c>
      <c r="L138" s="1070">
        <f t="shared" si="358"/>
        <v>0</v>
      </c>
      <c r="M138" s="1104">
        <v>0</v>
      </c>
      <c r="N138" s="1071">
        <v>0</v>
      </c>
      <c r="O138" s="1071">
        <v>0</v>
      </c>
      <c r="P138" s="1071">
        <v>0</v>
      </c>
      <c r="Q138" s="1071">
        <v>0</v>
      </c>
      <c r="R138" s="1072">
        <f t="shared" si="225"/>
        <v>0</v>
      </c>
      <c r="S138" s="1099">
        <v>0</v>
      </c>
      <c r="T138" s="1082">
        <v>0</v>
      </c>
      <c r="U138" s="1082">
        <v>0</v>
      </c>
      <c r="V138" s="1082">
        <v>0</v>
      </c>
      <c r="W138" s="1102">
        <f t="shared" si="333"/>
        <v>0</v>
      </c>
      <c r="X138" s="1082">
        <v>0</v>
      </c>
      <c r="Y138" s="1082">
        <v>0</v>
      </c>
      <c r="Z138" s="1102">
        <f t="shared" si="297"/>
        <v>0</v>
      </c>
      <c r="AA138" s="1102">
        <f t="shared" si="226"/>
        <v>0</v>
      </c>
      <c r="AB138" s="1099">
        <v>0</v>
      </c>
      <c r="AC138" s="1082">
        <v>0</v>
      </c>
      <c r="AD138" s="1082">
        <v>0</v>
      </c>
      <c r="AE138" s="1082">
        <v>0</v>
      </c>
      <c r="AF138" s="1102">
        <f t="shared" si="368"/>
        <v>0</v>
      </c>
      <c r="AG138" s="1082">
        <v>0</v>
      </c>
      <c r="AH138" s="1082">
        <v>0</v>
      </c>
      <c r="AI138" s="1102">
        <f t="shared" si="365"/>
        <v>0</v>
      </c>
      <c r="AJ138" s="1102">
        <f t="shared" si="366"/>
        <v>0</v>
      </c>
      <c r="AK138" s="1099">
        <f t="shared" si="380"/>
        <v>0</v>
      </c>
      <c r="AL138" s="1082">
        <f t="shared" si="381"/>
        <v>0</v>
      </c>
      <c r="AM138" s="1082">
        <f t="shared" si="382"/>
        <v>0</v>
      </c>
      <c r="AN138" s="1082">
        <f t="shared" si="383"/>
        <v>0</v>
      </c>
      <c r="AO138" s="1102">
        <f t="shared" si="369"/>
        <v>0</v>
      </c>
      <c r="AP138" s="1103"/>
      <c r="AQ138" s="1083">
        <v>0</v>
      </c>
      <c r="AR138" s="1084">
        <v>0</v>
      </c>
      <c r="AS138" s="1084">
        <v>0</v>
      </c>
      <c r="AT138" s="1084">
        <v>0</v>
      </c>
      <c r="AU138" s="1082">
        <v>0</v>
      </c>
      <c r="AV138" s="1102">
        <f t="shared" si="384"/>
        <v>0</v>
      </c>
      <c r="AW138" s="1034">
        <f t="shared" si="227"/>
        <v>0</v>
      </c>
      <c r="AX138" s="1071">
        <v>0</v>
      </c>
      <c r="AY138" s="1071">
        <v>0</v>
      </c>
      <c r="AZ138" s="1071">
        <v>0</v>
      </c>
      <c r="BA138" s="1076">
        <f t="shared" si="385"/>
        <v>0</v>
      </c>
      <c r="BB138" s="1082">
        <v>0</v>
      </c>
      <c r="BC138" s="1082">
        <v>0</v>
      </c>
      <c r="BD138" s="1082">
        <v>0</v>
      </c>
      <c r="BE138" s="1076">
        <f t="shared" si="228"/>
        <v>0</v>
      </c>
      <c r="BF138" s="1077">
        <v>0</v>
      </c>
      <c r="BG138" s="1071">
        <v>0</v>
      </c>
      <c r="BH138" s="1076">
        <v>0</v>
      </c>
      <c r="BI138" s="1077">
        <v>0</v>
      </c>
      <c r="BJ138" s="1071">
        <v>0</v>
      </c>
      <c r="BK138" s="1041">
        <f t="shared" si="386"/>
        <v>0</v>
      </c>
      <c r="BL138" s="1077">
        <v>0</v>
      </c>
      <c r="BM138" s="1071">
        <v>0</v>
      </c>
      <c r="BN138" s="1041">
        <f t="shared" si="387"/>
        <v>0</v>
      </c>
      <c r="BO138" s="1077">
        <v>0</v>
      </c>
      <c r="BP138" s="1062">
        <v>0</v>
      </c>
      <c r="BQ138" s="1078">
        <f t="shared" si="229"/>
        <v>0</v>
      </c>
      <c r="BR138" s="1062"/>
      <c r="BS138" s="1079">
        <f t="shared" si="230"/>
        <v>0</v>
      </c>
      <c r="BT138" s="284" t="s">
        <v>419</v>
      </c>
    </row>
    <row r="139" spans="1:72" ht="18" hidden="1" customHeight="1" x14ac:dyDescent="0.2">
      <c r="A139" s="1063" t="s">
        <v>236</v>
      </c>
      <c r="B139" s="1064" t="s">
        <v>237</v>
      </c>
      <c r="C139" s="1099">
        <v>0</v>
      </c>
      <c r="D139" s="1082">
        <v>0</v>
      </c>
      <c r="E139" s="1082">
        <v>0</v>
      </c>
      <c r="F139" s="1082">
        <v>0</v>
      </c>
      <c r="G139" s="1102">
        <f t="shared" si="331"/>
        <v>0</v>
      </c>
      <c r="H139" s="1068">
        <v>0</v>
      </c>
      <c r="I139" s="1069">
        <v>0</v>
      </c>
      <c r="J139" s="1069">
        <v>0</v>
      </c>
      <c r="K139" s="1069">
        <v>0</v>
      </c>
      <c r="L139" s="1070">
        <f t="shared" si="358"/>
        <v>0</v>
      </c>
      <c r="M139" s="1104">
        <v>0</v>
      </c>
      <c r="N139" s="1071">
        <v>0</v>
      </c>
      <c r="O139" s="1071">
        <v>0</v>
      </c>
      <c r="P139" s="1071">
        <v>0</v>
      </c>
      <c r="Q139" s="1071">
        <v>0</v>
      </c>
      <c r="R139" s="1072">
        <f t="shared" si="225"/>
        <v>0</v>
      </c>
      <c r="S139" s="1099">
        <v>0</v>
      </c>
      <c r="T139" s="1082">
        <v>0</v>
      </c>
      <c r="U139" s="1082">
        <v>0</v>
      </c>
      <c r="V139" s="1082">
        <v>0</v>
      </c>
      <c r="W139" s="1102">
        <f t="shared" si="333"/>
        <v>0</v>
      </c>
      <c r="X139" s="1082">
        <v>0</v>
      </c>
      <c r="Y139" s="1082">
        <v>0</v>
      </c>
      <c r="Z139" s="1102">
        <f t="shared" si="297"/>
        <v>0</v>
      </c>
      <c r="AA139" s="1102">
        <f t="shared" ref="AA139:AA172" si="388">W139+Z139</f>
        <v>0</v>
      </c>
      <c r="AB139" s="1099">
        <v>0</v>
      </c>
      <c r="AC139" s="1082">
        <v>0</v>
      </c>
      <c r="AD139" s="1082">
        <v>0</v>
      </c>
      <c r="AE139" s="1082">
        <v>0</v>
      </c>
      <c r="AF139" s="1102">
        <f t="shared" si="368"/>
        <v>0</v>
      </c>
      <c r="AG139" s="1082">
        <v>0</v>
      </c>
      <c r="AH139" s="1082">
        <v>0</v>
      </c>
      <c r="AI139" s="1102">
        <f t="shared" si="365"/>
        <v>0</v>
      </c>
      <c r="AJ139" s="1102">
        <f t="shared" si="366"/>
        <v>0</v>
      </c>
      <c r="AK139" s="1099">
        <f t="shared" si="380"/>
        <v>0</v>
      </c>
      <c r="AL139" s="1082">
        <f t="shared" si="381"/>
        <v>0</v>
      </c>
      <c r="AM139" s="1082">
        <f t="shared" si="382"/>
        <v>0</v>
      </c>
      <c r="AN139" s="1082">
        <f t="shared" si="383"/>
        <v>0</v>
      </c>
      <c r="AO139" s="1102">
        <f t="shared" si="369"/>
        <v>0</v>
      </c>
      <c r="AP139" s="1103"/>
      <c r="AQ139" s="1083">
        <v>0</v>
      </c>
      <c r="AR139" s="1084">
        <v>0</v>
      </c>
      <c r="AS139" s="1084">
        <v>0</v>
      </c>
      <c r="AT139" s="1084">
        <v>0</v>
      </c>
      <c r="AU139" s="1082">
        <v>0</v>
      </c>
      <c r="AV139" s="1102">
        <f t="shared" si="384"/>
        <v>0</v>
      </c>
      <c r="AW139" s="1034">
        <f t="shared" ref="AW139:AW166" si="389">R139+AO139+AV139</f>
        <v>0</v>
      </c>
      <c r="AX139" s="1071">
        <v>0</v>
      </c>
      <c r="AY139" s="1071">
        <v>0</v>
      </c>
      <c r="AZ139" s="1071">
        <v>0</v>
      </c>
      <c r="BA139" s="1076">
        <f t="shared" si="385"/>
        <v>0</v>
      </c>
      <c r="BB139" s="1082">
        <v>0</v>
      </c>
      <c r="BC139" s="1082">
        <v>0</v>
      </c>
      <c r="BD139" s="1082">
        <v>0</v>
      </c>
      <c r="BE139" s="1076">
        <f t="shared" si="228"/>
        <v>0</v>
      </c>
      <c r="BF139" s="1077">
        <v>0</v>
      </c>
      <c r="BG139" s="1071">
        <v>0</v>
      </c>
      <c r="BH139" s="1076">
        <v>0</v>
      </c>
      <c r="BI139" s="1077">
        <v>0</v>
      </c>
      <c r="BJ139" s="1071">
        <v>0</v>
      </c>
      <c r="BK139" s="1041">
        <f t="shared" si="386"/>
        <v>0</v>
      </c>
      <c r="BL139" s="1077">
        <v>0</v>
      </c>
      <c r="BM139" s="1071">
        <v>0</v>
      </c>
      <c r="BN139" s="1041">
        <f t="shared" si="387"/>
        <v>0</v>
      </c>
      <c r="BO139" s="1077">
        <v>0</v>
      </c>
      <c r="BP139" s="1062">
        <v>0</v>
      </c>
      <c r="BQ139" s="1078">
        <f t="shared" si="229"/>
        <v>0</v>
      </c>
      <c r="BR139" s="1062"/>
      <c r="BS139" s="1079">
        <f t="shared" ref="BS139:BS166" si="390">G139+AW139+BA139+BE139+BK139+BN139+BQ139</f>
        <v>0</v>
      </c>
      <c r="BT139" s="284" t="s">
        <v>419</v>
      </c>
    </row>
    <row r="140" spans="1:72" ht="18" customHeight="1" x14ac:dyDescent="0.2">
      <c r="A140" s="1014">
        <v>614</v>
      </c>
      <c r="B140" s="1058" t="s">
        <v>866</v>
      </c>
      <c r="C140" s="1098">
        <v>0</v>
      </c>
      <c r="D140" s="1017">
        <v>0</v>
      </c>
      <c r="E140" s="1017">
        <v>0</v>
      </c>
      <c r="F140" s="1017">
        <v>0</v>
      </c>
      <c r="G140" s="1100">
        <f t="shared" ref="G140:G141" si="391">SUM(C140:F140)</f>
        <v>0</v>
      </c>
      <c r="H140" s="1060">
        <v>0</v>
      </c>
      <c r="I140" s="1019">
        <v>0</v>
      </c>
      <c r="J140" s="1019">
        <v>0</v>
      </c>
      <c r="K140" s="1019">
        <v>0</v>
      </c>
      <c r="L140" s="1021">
        <f t="shared" ref="L140:L141" si="392">SUM(H140:J140)</f>
        <v>0</v>
      </c>
      <c r="M140" s="1106">
        <f>M141+M142+M143+M144</f>
        <v>0</v>
      </c>
      <c r="N140" s="1022">
        <v>0</v>
      </c>
      <c r="O140" s="1022">
        <v>0</v>
      </c>
      <c r="P140" s="1022">
        <v>0</v>
      </c>
      <c r="Q140" s="1022">
        <v>0</v>
      </c>
      <c r="R140" s="1023">
        <f>N140+P140+Q140</f>
        <v>0</v>
      </c>
      <c r="S140" s="1098">
        <v>0</v>
      </c>
      <c r="T140" s="1017">
        <v>0</v>
      </c>
      <c r="U140" s="1017">
        <v>0</v>
      </c>
      <c r="V140" s="1017">
        <v>0</v>
      </c>
      <c r="W140" s="1100">
        <f t="shared" ref="W140:W141" si="393">SUM(S140:V140)</f>
        <v>0</v>
      </c>
      <c r="X140" s="1017">
        <v>0</v>
      </c>
      <c r="Y140" s="1017">
        <v>0</v>
      </c>
      <c r="Z140" s="1100">
        <f t="shared" ref="Z140:Z141" si="394">SUM(X140:Y140)</f>
        <v>0</v>
      </c>
      <c r="AA140" s="1100">
        <f t="shared" ref="AA140:AA141" si="395">W140+Z140</f>
        <v>0</v>
      </c>
      <c r="AB140" s="1098">
        <f>AB141</f>
        <v>468</v>
      </c>
      <c r="AC140" s="1017">
        <v>0</v>
      </c>
      <c r="AD140" s="1017">
        <v>0</v>
      </c>
      <c r="AE140" s="1017">
        <v>0</v>
      </c>
      <c r="AF140" s="1100">
        <f t="shared" ref="AF140:AF141" si="396">SUM(AB140:AE140)</f>
        <v>468</v>
      </c>
      <c r="AG140" s="1017">
        <v>0</v>
      </c>
      <c r="AH140" s="1017">
        <v>0</v>
      </c>
      <c r="AI140" s="1100">
        <f t="shared" ref="AI140:AI141" si="397">SUM(AG140:AH140)</f>
        <v>0</v>
      </c>
      <c r="AJ140" s="1100">
        <f>AF140+AI140</f>
        <v>468</v>
      </c>
      <c r="AK140" s="1098">
        <f>AK141</f>
        <v>468</v>
      </c>
      <c r="AL140" s="1017">
        <v>0</v>
      </c>
      <c r="AM140" s="1017">
        <v>0</v>
      </c>
      <c r="AN140" s="1017">
        <v>0</v>
      </c>
      <c r="AO140" s="1100">
        <f>SUM(AK140:AN140)</f>
        <v>468</v>
      </c>
      <c r="AP140" s="1101"/>
      <c r="AQ140" s="1024">
        <v>0</v>
      </c>
      <c r="AR140" s="1025">
        <v>0</v>
      </c>
      <c r="AS140" s="1025">
        <v>0</v>
      </c>
      <c r="AT140" s="1025">
        <v>0</v>
      </c>
      <c r="AU140" s="1017">
        <v>0</v>
      </c>
      <c r="AV140" s="1100">
        <v>0</v>
      </c>
      <c r="AW140" s="1100">
        <f>R140+AO140+AV140</f>
        <v>468</v>
      </c>
      <c r="AX140" s="1022">
        <v>0</v>
      </c>
      <c r="AY140" s="1022">
        <v>0</v>
      </c>
      <c r="AZ140" s="1022">
        <v>0</v>
      </c>
      <c r="BA140" s="1027">
        <v>0</v>
      </c>
      <c r="BB140" s="1017">
        <f>SUM(BB141:BB144)</f>
        <v>0</v>
      </c>
      <c r="BC140" s="1017">
        <f t="shared" ref="BC140:BE140" si="398">SUM(BC141:BC144)</f>
        <v>0</v>
      </c>
      <c r="BD140" s="1017">
        <f t="shared" si="398"/>
        <v>0</v>
      </c>
      <c r="BE140" s="1027">
        <f t="shared" si="398"/>
        <v>0</v>
      </c>
      <c r="BF140" s="1026">
        <v>0</v>
      </c>
      <c r="BG140" s="1022">
        <v>0</v>
      </c>
      <c r="BH140" s="1027">
        <v>0</v>
      </c>
      <c r="BI140" s="1026">
        <f>SUM(BI141:BI144)</f>
        <v>0</v>
      </c>
      <c r="BJ140" s="1022">
        <f>SUM(BJ141:BJ144)</f>
        <v>0</v>
      </c>
      <c r="BK140" s="1023"/>
      <c r="BL140" s="1026">
        <f>SUM(BL141:BL144)</f>
        <v>0</v>
      </c>
      <c r="BM140" s="1022">
        <f>SUM(BM141:BM144)</f>
        <v>0</v>
      </c>
      <c r="BN140" s="1023"/>
      <c r="BO140" s="1026">
        <v>0</v>
      </c>
      <c r="BP140" s="1028">
        <v>0</v>
      </c>
      <c r="BQ140" s="1008">
        <f>+BO140+BP140</f>
        <v>0</v>
      </c>
      <c r="BR140" s="1062"/>
      <c r="BS140" s="1013">
        <f>G140+AW140+BA140+BE140+BK140+BN140+BQ140</f>
        <v>468</v>
      </c>
      <c r="BT140" s="284" t="s">
        <v>419</v>
      </c>
    </row>
    <row r="141" spans="1:72" ht="18" customHeight="1" x14ac:dyDescent="0.2">
      <c r="A141" s="1050">
        <v>61403</v>
      </c>
      <c r="B141" s="1064" t="s">
        <v>867</v>
      </c>
      <c r="C141" s="1099">
        <v>0</v>
      </c>
      <c r="D141" s="1082">
        <v>0</v>
      </c>
      <c r="E141" s="1082">
        <v>0</v>
      </c>
      <c r="F141" s="1082">
        <v>0</v>
      </c>
      <c r="G141" s="1102">
        <f t="shared" si="391"/>
        <v>0</v>
      </c>
      <c r="H141" s="1068">
        <v>0</v>
      </c>
      <c r="I141" s="1069">
        <v>0</v>
      </c>
      <c r="J141" s="1069">
        <v>0</v>
      </c>
      <c r="K141" s="1069">
        <v>0</v>
      </c>
      <c r="L141" s="1070">
        <f t="shared" si="392"/>
        <v>0</v>
      </c>
      <c r="M141" s="1104">
        <v>0</v>
      </c>
      <c r="N141" s="1071">
        <v>0</v>
      </c>
      <c r="O141" s="1071">
        <v>0</v>
      </c>
      <c r="P141" s="1071">
        <v>0</v>
      </c>
      <c r="Q141" s="1071">
        <v>0</v>
      </c>
      <c r="R141" s="1072">
        <f t="shared" ref="R141" si="399">+P141+Q141</f>
        <v>0</v>
      </c>
      <c r="S141" s="1099">
        <v>0</v>
      </c>
      <c r="T141" s="1082">
        <v>0</v>
      </c>
      <c r="U141" s="1082">
        <v>0</v>
      </c>
      <c r="V141" s="1082">
        <v>0</v>
      </c>
      <c r="W141" s="1102">
        <f t="shared" si="393"/>
        <v>0</v>
      </c>
      <c r="X141" s="1082">
        <v>0</v>
      </c>
      <c r="Y141" s="1082">
        <v>0</v>
      </c>
      <c r="Z141" s="1102">
        <f t="shared" si="394"/>
        <v>0</v>
      </c>
      <c r="AA141" s="1102">
        <f t="shared" si="395"/>
        <v>0</v>
      </c>
      <c r="AB141" s="1099">
        <f>'F.P y DL'!C419</f>
        <v>468</v>
      </c>
      <c r="AC141" s="1082">
        <v>0</v>
      </c>
      <c r="AD141" s="1082">
        <v>0</v>
      </c>
      <c r="AE141" s="1082">
        <v>0</v>
      </c>
      <c r="AF141" s="1102">
        <f t="shared" si="396"/>
        <v>468</v>
      </c>
      <c r="AG141" s="1082">
        <v>0</v>
      </c>
      <c r="AH141" s="1082">
        <v>0</v>
      </c>
      <c r="AI141" s="1102">
        <f t="shared" si="397"/>
        <v>0</v>
      </c>
      <c r="AJ141" s="1102">
        <f t="shared" ref="AJ141" si="400">AF141+AI141</f>
        <v>468</v>
      </c>
      <c r="AK141" s="1099">
        <f t="shared" ref="AK141" si="401">S141+AB141</f>
        <v>468</v>
      </c>
      <c r="AL141" s="1082">
        <f t="shared" ref="AL141" si="402">T141+AC141</f>
        <v>0</v>
      </c>
      <c r="AM141" s="1082">
        <f t="shared" ref="AM141" si="403">U141+AD141</f>
        <v>0</v>
      </c>
      <c r="AN141" s="1082">
        <f t="shared" ref="AN141" si="404">V141+AE141</f>
        <v>0</v>
      </c>
      <c r="AO141" s="1102">
        <f t="shared" ref="AO141" si="405">SUM(AK141:AN141)</f>
        <v>468</v>
      </c>
      <c r="AP141" s="1103"/>
      <c r="AQ141" s="1083">
        <v>0</v>
      </c>
      <c r="AR141" s="1084">
        <v>0</v>
      </c>
      <c r="AS141" s="1084">
        <v>0</v>
      </c>
      <c r="AT141" s="1084">
        <v>0</v>
      </c>
      <c r="AU141" s="1082">
        <v>0</v>
      </c>
      <c r="AV141" s="1102">
        <f t="shared" ref="AV141" si="406">SUM(AQ141:AU141)</f>
        <v>0</v>
      </c>
      <c r="AW141" s="1034">
        <f t="shared" si="389"/>
        <v>468</v>
      </c>
      <c r="AX141" s="1071">
        <v>0</v>
      </c>
      <c r="AY141" s="1071">
        <v>0</v>
      </c>
      <c r="AZ141" s="1071">
        <v>0</v>
      </c>
      <c r="BA141" s="1076">
        <f t="shared" ref="BA141" si="407">SUM(AX141:AZ141)</f>
        <v>0</v>
      </c>
      <c r="BB141" s="1082">
        <v>0</v>
      </c>
      <c r="BC141" s="1082">
        <v>0</v>
      </c>
      <c r="BD141" s="1082">
        <v>0</v>
      </c>
      <c r="BE141" s="1076">
        <f t="shared" ref="BE141" si="408">+BB141+BC141</f>
        <v>0</v>
      </c>
      <c r="BF141" s="1077">
        <v>0</v>
      </c>
      <c r="BG141" s="1071">
        <v>0</v>
      </c>
      <c r="BH141" s="1076">
        <v>0</v>
      </c>
      <c r="BI141" s="1077">
        <v>0</v>
      </c>
      <c r="BJ141" s="1071">
        <v>0</v>
      </c>
      <c r="BK141" s="1041">
        <f t="shared" ref="BK141" si="409">SUM(BI141:BJ141)</f>
        <v>0</v>
      </c>
      <c r="BL141" s="1077">
        <v>0</v>
      </c>
      <c r="BM141" s="1071">
        <v>0</v>
      </c>
      <c r="BN141" s="1041">
        <f t="shared" ref="BN141" si="410">SUM(BL141:BM141)</f>
        <v>0</v>
      </c>
      <c r="BO141" s="1077">
        <v>0</v>
      </c>
      <c r="BP141" s="1062">
        <v>0</v>
      </c>
      <c r="BQ141" s="1078">
        <f t="shared" ref="BQ141" si="411">+BO141+BP141</f>
        <v>0</v>
      </c>
      <c r="BR141" s="1062"/>
      <c r="BS141" s="1079">
        <f>G141+AW141+BA141+BE141+BK141+BN141+BQ141</f>
        <v>468</v>
      </c>
      <c r="BT141" s="284" t="s">
        <v>419</v>
      </c>
    </row>
    <row r="142" spans="1:72" ht="18" customHeight="1" x14ac:dyDescent="0.2">
      <c r="A142" s="1014">
        <v>615</v>
      </c>
      <c r="B142" s="1058" t="s">
        <v>192</v>
      </c>
      <c r="C142" s="1098">
        <v>0</v>
      </c>
      <c r="D142" s="1017">
        <v>0</v>
      </c>
      <c r="E142" s="1017">
        <v>0</v>
      </c>
      <c r="F142" s="1017">
        <v>0</v>
      </c>
      <c r="G142" s="1100">
        <f t="shared" si="331"/>
        <v>0</v>
      </c>
      <c r="H142" s="1060">
        <v>0</v>
      </c>
      <c r="I142" s="1019">
        <v>0</v>
      </c>
      <c r="J142" s="1019">
        <v>0</v>
      </c>
      <c r="K142" s="1019">
        <v>0</v>
      </c>
      <c r="L142" s="1021">
        <f t="shared" si="358"/>
        <v>0</v>
      </c>
      <c r="M142" s="1106">
        <f>M143+M144+M145+M146</f>
        <v>0</v>
      </c>
      <c r="N142" s="1022">
        <f>SUM(N143:N146)</f>
        <v>3772.49</v>
      </c>
      <c r="O142" s="1022">
        <v>0</v>
      </c>
      <c r="P142" s="1022">
        <v>0</v>
      </c>
      <c r="Q142" s="1022">
        <v>0</v>
      </c>
      <c r="R142" s="1023">
        <f>N142+P142+Q142</f>
        <v>3772.49</v>
      </c>
      <c r="S142" s="1098">
        <v>0</v>
      </c>
      <c r="T142" s="1017">
        <v>0</v>
      </c>
      <c r="U142" s="1017">
        <v>0</v>
      </c>
      <c r="V142" s="1017">
        <v>0</v>
      </c>
      <c r="W142" s="1100">
        <f t="shared" si="333"/>
        <v>0</v>
      </c>
      <c r="X142" s="1017">
        <v>0</v>
      </c>
      <c r="Y142" s="1017">
        <v>0</v>
      </c>
      <c r="Z142" s="1100">
        <f t="shared" si="297"/>
        <v>0</v>
      </c>
      <c r="AA142" s="1100">
        <f t="shared" si="388"/>
        <v>0</v>
      </c>
      <c r="AB142" s="1098">
        <v>0</v>
      </c>
      <c r="AC142" s="1017">
        <v>0</v>
      </c>
      <c r="AD142" s="1017">
        <v>0</v>
      </c>
      <c r="AE142" s="1017">
        <v>0</v>
      </c>
      <c r="AF142" s="1100">
        <f t="shared" si="368"/>
        <v>0</v>
      </c>
      <c r="AG142" s="1017">
        <v>0</v>
      </c>
      <c r="AH142" s="1017">
        <v>0</v>
      </c>
      <c r="AI142" s="1100">
        <f t="shared" si="365"/>
        <v>0</v>
      </c>
      <c r="AJ142" s="1100">
        <f t="shared" si="366"/>
        <v>0</v>
      </c>
      <c r="AK142" s="1098">
        <v>0</v>
      </c>
      <c r="AL142" s="1017">
        <v>0</v>
      </c>
      <c r="AM142" s="1017">
        <v>0</v>
      </c>
      <c r="AN142" s="1017">
        <v>0</v>
      </c>
      <c r="AO142" s="1100">
        <f t="shared" si="369"/>
        <v>0</v>
      </c>
      <c r="AP142" s="1101"/>
      <c r="AQ142" s="1024">
        <v>0</v>
      </c>
      <c r="AR142" s="1025">
        <v>0</v>
      </c>
      <c r="AS142" s="1025">
        <v>0</v>
      </c>
      <c r="AT142" s="1025">
        <v>0</v>
      </c>
      <c r="AU142" s="1017">
        <v>0</v>
      </c>
      <c r="AV142" s="1100">
        <f t="shared" si="378"/>
        <v>0</v>
      </c>
      <c r="AW142" s="1100">
        <f t="shared" si="389"/>
        <v>3772.49</v>
      </c>
      <c r="AX142" s="1022">
        <v>0</v>
      </c>
      <c r="AY142" s="1022">
        <v>0</v>
      </c>
      <c r="AZ142" s="1022">
        <v>0</v>
      </c>
      <c r="BA142" s="1027">
        <v>0</v>
      </c>
      <c r="BB142" s="1017">
        <f>SUM(BB143:BB146)</f>
        <v>0</v>
      </c>
      <c r="BC142" s="1017">
        <f t="shared" ref="BC142:BE142" si="412">SUM(BC143:BC146)</f>
        <v>0</v>
      </c>
      <c r="BD142" s="1017">
        <f t="shared" si="412"/>
        <v>0</v>
      </c>
      <c r="BE142" s="1027">
        <f t="shared" si="412"/>
        <v>0</v>
      </c>
      <c r="BF142" s="1026">
        <v>0</v>
      </c>
      <c r="BG142" s="1022">
        <v>0</v>
      </c>
      <c r="BH142" s="1027">
        <v>0</v>
      </c>
      <c r="BI142" s="1026">
        <f>SUM(BI143:BI146)</f>
        <v>0</v>
      </c>
      <c r="BJ142" s="1022">
        <f>SUM(BJ143:BJ146)</f>
        <v>0</v>
      </c>
      <c r="BK142" s="1023"/>
      <c r="BL142" s="1026">
        <f>SUM(BL143:BL146)</f>
        <v>0</v>
      </c>
      <c r="BM142" s="1022">
        <f>SUM(BM143:BM146)</f>
        <v>0</v>
      </c>
      <c r="BN142" s="1023"/>
      <c r="BO142" s="1026">
        <v>0</v>
      </c>
      <c r="BP142" s="1028">
        <v>0</v>
      </c>
      <c r="BQ142" s="1008">
        <f>+BO142+BP142</f>
        <v>0</v>
      </c>
      <c r="BR142" s="1062"/>
      <c r="BS142" s="1013">
        <f t="shared" si="390"/>
        <v>3772.49</v>
      </c>
      <c r="BT142" s="284" t="s">
        <v>419</v>
      </c>
    </row>
    <row r="143" spans="1:72" ht="18" hidden="1" customHeight="1" x14ac:dyDescent="0.2">
      <c r="A143" s="1050">
        <v>61501</v>
      </c>
      <c r="B143" s="1064" t="s">
        <v>193</v>
      </c>
      <c r="C143" s="1099">
        <v>0</v>
      </c>
      <c r="D143" s="1082">
        <v>0</v>
      </c>
      <c r="E143" s="1082">
        <v>0</v>
      </c>
      <c r="F143" s="1082">
        <v>0</v>
      </c>
      <c r="G143" s="1102">
        <f t="shared" si="331"/>
        <v>0</v>
      </c>
      <c r="H143" s="1068">
        <v>0</v>
      </c>
      <c r="I143" s="1069">
        <v>0</v>
      </c>
      <c r="J143" s="1069">
        <v>0</v>
      </c>
      <c r="K143" s="1069">
        <v>0</v>
      </c>
      <c r="L143" s="1070">
        <f t="shared" si="358"/>
        <v>0</v>
      </c>
      <c r="M143" s="1104">
        <v>0</v>
      </c>
      <c r="N143" s="1071">
        <v>0</v>
      </c>
      <c r="O143" s="1071">
        <v>0</v>
      </c>
      <c r="P143" s="1071">
        <v>0</v>
      </c>
      <c r="Q143" s="1071">
        <v>0</v>
      </c>
      <c r="R143" s="1072">
        <f t="shared" si="225"/>
        <v>0</v>
      </c>
      <c r="S143" s="1099">
        <v>0</v>
      </c>
      <c r="T143" s="1082">
        <v>0</v>
      </c>
      <c r="U143" s="1082">
        <v>0</v>
      </c>
      <c r="V143" s="1082">
        <v>0</v>
      </c>
      <c r="W143" s="1102">
        <f t="shared" si="333"/>
        <v>0</v>
      </c>
      <c r="X143" s="1082">
        <v>0</v>
      </c>
      <c r="Y143" s="1082">
        <v>0</v>
      </c>
      <c r="Z143" s="1102">
        <f t="shared" si="297"/>
        <v>0</v>
      </c>
      <c r="AA143" s="1102">
        <f t="shared" si="388"/>
        <v>0</v>
      </c>
      <c r="AB143" s="1099">
        <v>0</v>
      </c>
      <c r="AC143" s="1082">
        <v>0</v>
      </c>
      <c r="AD143" s="1082">
        <v>0</v>
      </c>
      <c r="AE143" s="1082">
        <v>0</v>
      </c>
      <c r="AF143" s="1102">
        <f t="shared" si="368"/>
        <v>0</v>
      </c>
      <c r="AG143" s="1082">
        <v>0</v>
      </c>
      <c r="AH143" s="1082">
        <v>0</v>
      </c>
      <c r="AI143" s="1102">
        <f t="shared" si="365"/>
        <v>0</v>
      </c>
      <c r="AJ143" s="1102">
        <f t="shared" si="366"/>
        <v>0</v>
      </c>
      <c r="AK143" s="1099">
        <f t="shared" ref="AK143:AK146" si="413">S143+AB143</f>
        <v>0</v>
      </c>
      <c r="AL143" s="1082">
        <f t="shared" ref="AL143:AL146" si="414">T143+AC143</f>
        <v>0</v>
      </c>
      <c r="AM143" s="1082">
        <f t="shared" ref="AM143:AM146" si="415">U143+AD143</f>
        <v>0</v>
      </c>
      <c r="AN143" s="1082">
        <f t="shared" ref="AN143:AN146" si="416">V143+AE143</f>
        <v>0</v>
      </c>
      <c r="AO143" s="1102">
        <f t="shared" si="369"/>
        <v>0</v>
      </c>
      <c r="AP143" s="1103"/>
      <c r="AQ143" s="1083">
        <v>0</v>
      </c>
      <c r="AR143" s="1084">
        <v>0</v>
      </c>
      <c r="AS143" s="1084">
        <v>0</v>
      </c>
      <c r="AT143" s="1084">
        <v>0</v>
      </c>
      <c r="AU143" s="1082">
        <v>0</v>
      </c>
      <c r="AV143" s="1102">
        <f t="shared" ref="AV143:AV146" si="417">SUM(AQ143:AU143)</f>
        <v>0</v>
      </c>
      <c r="AW143" s="1034">
        <f t="shared" si="389"/>
        <v>0</v>
      </c>
      <c r="AX143" s="1071">
        <v>0</v>
      </c>
      <c r="AY143" s="1071">
        <v>0</v>
      </c>
      <c r="AZ143" s="1071">
        <v>0</v>
      </c>
      <c r="BA143" s="1076">
        <f t="shared" ref="BA143:BA146" si="418">SUM(AX143:AZ143)</f>
        <v>0</v>
      </c>
      <c r="BB143" s="1082">
        <v>0</v>
      </c>
      <c r="BC143" s="1082">
        <v>0</v>
      </c>
      <c r="BD143" s="1082">
        <v>0</v>
      </c>
      <c r="BE143" s="1076">
        <f t="shared" si="228"/>
        <v>0</v>
      </c>
      <c r="BF143" s="1077">
        <v>0</v>
      </c>
      <c r="BG143" s="1071">
        <v>0</v>
      </c>
      <c r="BH143" s="1076">
        <v>0</v>
      </c>
      <c r="BI143" s="1077">
        <v>0</v>
      </c>
      <c r="BJ143" s="1071">
        <v>0</v>
      </c>
      <c r="BK143" s="1041">
        <f t="shared" ref="BK143:BK146" si="419">SUM(BI143:BJ143)</f>
        <v>0</v>
      </c>
      <c r="BL143" s="1077">
        <v>0</v>
      </c>
      <c r="BM143" s="1071">
        <v>0</v>
      </c>
      <c r="BN143" s="1041">
        <f t="shared" ref="BN143:BN146" si="420">SUM(BL143:BM143)</f>
        <v>0</v>
      </c>
      <c r="BO143" s="1077">
        <v>0</v>
      </c>
      <c r="BP143" s="1062">
        <v>0</v>
      </c>
      <c r="BQ143" s="1078">
        <f t="shared" si="229"/>
        <v>0</v>
      </c>
      <c r="BR143" s="1062"/>
      <c r="BS143" s="1079">
        <f t="shared" si="390"/>
        <v>0</v>
      </c>
      <c r="BT143" s="284" t="s">
        <v>419</v>
      </c>
    </row>
    <row r="144" spans="1:72" ht="18" hidden="1" customHeight="1" x14ac:dyDescent="0.2">
      <c r="A144" s="1050">
        <v>61502</v>
      </c>
      <c r="B144" s="1064" t="s">
        <v>194</v>
      </c>
      <c r="C144" s="1099">
        <v>0</v>
      </c>
      <c r="D144" s="1082">
        <v>0</v>
      </c>
      <c r="E144" s="1082">
        <v>0</v>
      </c>
      <c r="F144" s="1082">
        <v>0</v>
      </c>
      <c r="G144" s="1102">
        <f t="shared" si="331"/>
        <v>0</v>
      </c>
      <c r="H144" s="1068">
        <v>0</v>
      </c>
      <c r="I144" s="1069">
        <v>0</v>
      </c>
      <c r="J144" s="1069">
        <v>0</v>
      </c>
      <c r="K144" s="1069">
        <v>0</v>
      </c>
      <c r="L144" s="1070">
        <f t="shared" si="358"/>
        <v>0</v>
      </c>
      <c r="M144" s="1104">
        <v>0</v>
      </c>
      <c r="N144" s="1071">
        <v>0</v>
      </c>
      <c r="O144" s="1071">
        <v>0</v>
      </c>
      <c r="P144" s="1071">
        <v>0</v>
      </c>
      <c r="Q144" s="1071">
        <v>0</v>
      </c>
      <c r="R144" s="1072">
        <f t="shared" ref="R144:R168" si="421">+P144+Q144</f>
        <v>0</v>
      </c>
      <c r="S144" s="1099">
        <v>0</v>
      </c>
      <c r="T144" s="1082">
        <v>0</v>
      </c>
      <c r="U144" s="1082">
        <v>0</v>
      </c>
      <c r="V144" s="1082">
        <v>0</v>
      </c>
      <c r="W144" s="1102">
        <f t="shared" si="333"/>
        <v>0</v>
      </c>
      <c r="X144" s="1082">
        <v>0</v>
      </c>
      <c r="Y144" s="1082">
        <v>0</v>
      </c>
      <c r="Z144" s="1102">
        <f t="shared" si="297"/>
        <v>0</v>
      </c>
      <c r="AA144" s="1102">
        <f t="shared" si="388"/>
        <v>0</v>
      </c>
      <c r="AB144" s="1099">
        <v>0</v>
      </c>
      <c r="AC144" s="1082">
        <v>0</v>
      </c>
      <c r="AD144" s="1082">
        <v>0</v>
      </c>
      <c r="AE144" s="1082">
        <v>0</v>
      </c>
      <c r="AF144" s="1102">
        <f t="shared" si="368"/>
        <v>0</v>
      </c>
      <c r="AG144" s="1082">
        <v>0</v>
      </c>
      <c r="AH144" s="1082">
        <v>0</v>
      </c>
      <c r="AI144" s="1102">
        <f t="shared" si="365"/>
        <v>0</v>
      </c>
      <c r="AJ144" s="1102">
        <f t="shared" si="366"/>
        <v>0</v>
      </c>
      <c r="AK144" s="1099">
        <f t="shared" si="413"/>
        <v>0</v>
      </c>
      <c r="AL144" s="1082">
        <f t="shared" si="414"/>
        <v>0</v>
      </c>
      <c r="AM144" s="1082">
        <f t="shared" si="415"/>
        <v>0</v>
      </c>
      <c r="AN144" s="1082">
        <f t="shared" si="416"/>
        <v>0</v>
      </c>
      <c r="AO144" s="1102">
        <f t="shared" si="369"/>
        <v>0</v>
      </c>
      <c r="AP144" s="1103"/>
      <c r="AQ144" s="1083">
        <v>0</v>
      </c>
      <c r="AR144" s="1084">
        <v>0</v>
      </c>
      <c r="AS144" s="1084">
        <v>0</v>
      </c>
      <c r="AT144" s="1084">
        <v>0</v>
      </c>
      <c r="AU144" s="1082">
        <v>0</v>
      </c>
      <c r="AV144" s="1102">
        <f t="shared" si="417"/>
        <v>0</v>
      </c>
      <c r="AW144" s="1034">
        <f t="shared" si="389"/>
        <v>0</v>
      </c>
      <c r="AX144" s="1071">
        <v>0</v>
      </c>
      <c r="AY144" s="1071">
        <v>0</v>
      </c>
      <c r="AZ144" s="1071">
        <v>0</v>
      </c>
      <c r="BA144" s="1076">
        <f t="shared" si="418"/>
        <v>0</v>
      </c>
      <c r="BB144" s="1082">
        <v>0</v>
      </c>
      <c r="BC144" s="1082">
        <v>0</v>
      </c>
      <c r="BD144" s="1082">
        <v>0</v>
      </c>
      <c r="BE144" s="1076">
        <f t="shared" ref="BE144:BE168" si="422">+BB144+BC144</f>
        <v>0</v>
      </c>
      <c r="BF144" s="1077">
        <v>0</v>
      </c>
      <c r="BG144" s="1071">
        <v>0</v>
      </c>
      <c r="BH144" s="1076">
        <v>0</v>
      </c>
      <c r="BI144" s="1077">
        <v>0</v>
      </c>
      <c r="BJ144" s="1071">
        <v>0</v>
      </c>
      <c r="BK144" s="1041">
        <f t="shared" si="419"/>
        <v>0</v>
      </c>
      <c r="BL144" s="1077">
        <v>0</v>
      </c>
      <c r="BM144" s="1071">
        <v>0</v>
      </c>
      <c r="BN144" s="1041">
        <f t="shared" si="420"/>
        <v>0</v>
      </c>
      <c r="BO144" s="1077">
        <v>0</v>
      </c>
      <c r="BP144" s="1062">
        <v>0</v>
      </c>
      <c r="BQ144" s="1078">
        <f t="shared" si="229"/>
        <v>0</v>
      </c>
      <c r="BR144" s="1062"/>
      <c r="BS144" s="1079">
        <f t="shared" si="390"/>
        <v>0</v>
      </c>
      <c r="BT144" s="284" t="s">
        <v>419</v>
      </c>
    </row>
    <row r="145" spans="1:72" ht="18" hidden="1" customHeight="1" x14ac:dyDescent="0.2">
      <c r="A145" s="1050">
        <v>61503</v>
      </c>
      <c r="B145" s="1064" t="s">
        <v>195</v>
      </c>
      <c r="C145" s="1099">
        <v>0</v>
      </c>
      <c r="D145" s="1082">
        <v>0</v>
      </c>
      <c r="E145" s="1082">
        <v>0</v>
      </c>
      <c r="F145" s="1082">
        <v>0</v>
      </c>
      <c r="G145" s="1102">
        <f t="shared" si="331"/>
        <v>0</v>
      </c>
      <c r="H145" s="1068">
        <v>0</v>
      </c>
      <c r="I145" s="1069">
        <v>0</v>
      </c>
      <c r="J145" s="1069">
        <v>0</v>
      </c>
      <c r="K145" s="1069">
        <v>0</v>
      </c>
      <c r="L145" s="1070">
        <f t="shared" si="358"/>
        <v>0</v>
      </c>
      <c r="M145" s="1104">
        <v>0</v>
      </c>
      <c r="N145" s="1071">
        <v>0</v>
      </c>
      <c r="O145" s="1071">
        <v>0</v>
      </c>
      <c r="P145" s="1071">
        <v>0</v>
      </c>
      <c r="Q145" s="1071">
        <v>0</v>
      </c>
      <c r="R145" s="1072">
        <f t="shared" si="421"/>
        <v>0</v>
      </c>
      <c r="S145" s="1099">
        <v>0</v>
      </c>
      <c r="T145" s="1082">
        <v>0</v>
      </c>
      <c r="U145" s="1082">
        <v>0</v>
      </c>
      <c r="V145" s="1082">
        <v>0</v>
      </c>
      <c r="W145" s="1102">
        <f t="shared" si="333"/>
        <v>0</v>
      </c>
      <c r="X145" s="1082">
        <v>0</v>
      </c>
      <c r="Y145" s="1082">
        <v>0</v>
      </c>
      <c r="Z145" s="1102">
        <f t="shared" si="297"/>
        <v>0</v>
      </c>
      <c r="AA145" s="1102">
        <f t="shared" si="388"/>
        <v>0</v>
      </c>
      <c r="AB145" s="1099">
        <v>0</v>
      </c>
      <c r="AC145" s="1082">
        <v>0</v>
      </c>
      <c r="AD145" s="1082">
        <v>0</v>
      </c>
      <c r="AE145" s="1082">
        <v>0</v>
      </c>
      <c r="AF145" s="1102">
        <f t="shared" si="368"/>
        <v>0</v>
      </c>
      <c r="AG145" s="1082">
        <v>0</v>
      </c>
      <c r="AH145" s="1082">
        <v>0</v>
      </c>
      <c r="AI145" s="1102">
        <f t="shared" si="365"/>
        <v>0</v>
      </c>
      <c r="AJ145" s="1102">
        <f t="shared" si="366"/>
        <v>0</v>
      </c>
      <c r="AK145" s="1099">
        <f t="shared" si="413"/>
        <v>0</v>
      </c>
      <c r="AL145" s="1082">
        <f t="shared" si="414"/>
        <v>0</v>
      </c>
      <c r="AM145" s="1082">
        <f t="shared" si="415"/>
        <v>0</v>
      </c>
      <c r="AN145" s="1082">
        <f t="shared" si="416"/>
        <v>0</v>
      </c>
      <c r="AO145" s="1102">
        <f t="shared" si="369"/>
        <v>0</v>
      </c>
      <c r="AP145" s="1103"/>
      <c r="AQ145" s="1083">
        <v>0</v>
      </c>
      <c r="AR145" s="1084">
        <v>0</v>
      </c>
      <c r="AS145" s="1084">
        <v>0</v>
      </c>
      <c r="AT145" s="1084">
        <v>0</v>
      </c>
      <c r="AU145" s="1082">
        <v>0</v>
      </c>
      <c r="AV145" s="1102">
        <f t="shared" si="417"/>
        <v>0</v>
      </c>
      <c r="AW145" s="1034">
        <f t="shared" si="389"/>
        <v>0</v>
      </c>
      <c r="AX145" s="1071">
        <v>0</v>
      </c>
      <c r="AY145" s="1071">
        <v>0</v>
      </c>
      <c r="AZ145" s="1071">
        <v>0</v>
      </c>
      <c r="BA145" s="1076">
        <f t="shared" si="418"/>
        <v>0</v>
      </c>
      <c r="BB145" s="1082">
        <v>0</v>
      </c>
      <c r="BC145" s="1082">
        <v>0</v>
      </c>
      <c r="BD145" s="1082">
        <v>0</v>
      </c>
      <c r="BE145" s="1076">
        <f t="shared" si="422"/>
        <v>0</v>
      </c>
      <c r="BF145" s="1077">
        <v>0</v>
      </c>
      <c r="BG145" s="1071">
        <v>0</v>
      </c>
      <c r="BH145" s="1076">
        <v>0</v>
      </c>
      <c r="BI145" s="1077">
        <v>0</v>
      </c>
      <c r="BJ145" s="1071">
        <v>0</v>
      </c>
      <c r="BK145" s="1041">
        <f t="shared" si="419"/>
        <v>0</v>
      </c>
      <c r="BL145" s="1077">
        <v>0</v>
      </c>
      <c r="BM145" s="1071">
        <v>0</v>
      </c>
      <c r="BN145" s="1041">
        <f t="shared" si="420"/>
        <v>0</v>
      </c>
      <c r="BO145" s="1077">
        <v>0</v>
      </c>
      <c r="BP145" s="1062">
        <v>0</v>
      </c>
      <c r="BQ145" s="1078">
        <f t="shared" si="229"/>
        <v>0</v>
      </c>
      <c r="BR145" s="1062"/>
      <c r="BS145" s="1079">
        <f t="shared" si="390"/>
        <v>0</v>
      </c>
      <c r="BT145" s="284" t="s">
        <v>419</v>
      </c>
    </row>
    <row r="146" spans="1:72" ht="18" customHeight="1" x14ac:dyDescent="0.2">
      <c r="A146" s="1050">
        <v>61599</v>
      </c>
      <c r="B146" s="1064" t="s">
        <v>196</v>
      </c>
      <c r="C146" s="1099">
        <v>0</v>
      </c>
      <c r="D146" s="1082">
        <v>0</v>
      </c>
      <c r="E146" s="1082">
        <v>0</v>
      </c>
      <c r="F146" s="1082">
        <v>0</v>
      </c>
      <c r="G146" s="1102">
        <f t="shared" si="331"/>
        <v>0</v>
      </c>
      <c r="H146" s="1068">
        <v>0</v>
      </c>
      <c r="I146" s="1069">
        <v>0</v>
      </c>
      <c r="J146" s="1069">
        <v>0</v>
      </c>
      <c r="K146" s="1069">
        <v>0</v>
      </c>
      <c r="L146" s="1070">
        <f t="shared" si="358"/>
        <v>0</v>
      </c>
      <c r="M146" s="1104">
        <v>0</v>
      </c>
      <c r="N146" s="1071">
        <f>'AG3'!E58</f>
        <v>3772.49</v>
      </c>
      <c r="O146" s="1071">
        <v>0</v>
      </c>
      <c r="P146" s="1071">
        <v>0</v>
      </c>
      <c r="Q146" s="1071">
        <v>0</v>
      </c>
      <c r="R146" s="1072">
        <f>N146+P146+Q146</f>
        <v>3772.49</v>
      </c>
      <c r="S146" s="1099">
        <v>0</v>
      </c>
      <c r="T146" s="1082">
        <v>0</v>
      </c>
      <c r="U146" s="1082">
        <v>0</v>
      </c>
      <c r="V146" s="1082">
        <v>0</v>
      </c>
      <c r="W146" s="1102">
        <f t="shared" si="333"/>
        <v>0</v>
      </c>
      <c r="X146" s="1082">
        <v>0</v>
      </c>
      <c r="Y146" s="1082">
        <v>0</v>
      </c>
      <c r="Z146" s="1102">
        <f t="shared" si="297"/>
        <v>0</v>
      </c>
      <c r="AA146" s="1102">
        <f t="shared" si="388"/>
        <v>0</v>
      </c>
      <c r="AB146" s="1099">
        <v>0</v>
      </c>
      <c r="AC146" s="1082">
        <v>0</v>
      </c>
      <c r="AD146" s="1082">
        <v>0</v>
      </c>
      <c r="AE146" s="1082">
        <v>0</v>
      </c>
      <c r="AF146" s="1102">
        <f t="shared" si="368"/>
        <v>0</v>
      </c>
      <c r="AG146" s="1082">
        <v>0</v>
      </c>
      <c r="AH146" s="1082">
        <v>0</v>
      </c>
      <c r="AI146" s="1102">
        <f t="shared" si="365"/>
        <v>0</v>
      </c>
      <c r="AJ146" s="1102">
        <f t="shared" si="366"/>
        <v>0</v>
      </c>
      <c r="AK146" s="1099">
        <f t="shared" si="413"/>
        <v>0</v>
      </c>
      <c r="AL146" s="1082">
        <f t="shared" si="414"/>
        <v>0</v>
      </c>
      <c r="AM146" s="1082">
        <f t="shared" si="415"/>
        <v>0</v>
      </c>
      <c r="AN146" s="1082">
        <f t="shared" si="416"/>
        <v>0</v>
      </c>
      <c r="AO146" s="1102">
        <f t="shared" si="369"/>
        <v>0</v>
      </c>
      <c r="AP146" s="1103"/>
      <c r="AQ146" s="1083">
        <v>0</v>
      </c>
      <c r="AR146" s="1084">
        <v>0</v>
      </c>
      <c r="AS146" s="1084">
        <v>0</v>
      </c>
      <c r="AT146" s="1084">
        <v>0</v>
      </c>
      <c r="AU146" s="1082">
        <v>0</v>
      </c>
      <c r="AV146" s="1102">
        <f t="shared" si="417"/>
        <v>0</v>
      </c>
      <c r="AW146" s="1034">
        <f t="shared" si="389"/>
        <v>3772.49</v>
      </c>
      <c r="AX146" s="1071">
        <v>0</v>
      </c>
      <c r="AY146" s="1071">
        <v>0</v>
      </c>
      <c r="AZ146" s="1071">
        <v>0</v>
      </c>
      <c r="BA146" s="1076">
        <f t="shared" si="418"/>
        <v>0</v>
      </c>
      <c r="BB146" s="1082">
        <v>0</v>
      </c>
      <c r="BC146" s="1082">
        <v>0</v>
      </c>
      <c r="BD146" s="1082">
        <v>0</v>
      </c>
      <c r="BE146" s="1076">
        <f t="shared" si="422"/>
        <v>0</v>
      </c>
      <c r="BF146" s="1077">
        <v>0</v>
      </c>
      <c r="BG146" s="1071">
        <v>0</v>
      </c>
      <c r="BH146" s="1076">
        <v>0</v>
      </c>
      <c r="BI146" s="1077">
        <v>0</v>
      </c>
      <c r="BJ146" s="1071">
        <v>0</v>
      </c>
      <c r="BK146" s="1041">
        <f t="shared" si="419"/>
        <v>0</v>
      </c>
      <c r="BL146" s="1077">
        <v>0</v>
      </c>
      <c r="BM146" s="1071">
        <v>0</v>
      </c>
      <c r="BN146" s="1041">
        <f t="shared" si="420"/>
        <v>0</v>
      </c>
      <c r="BO146" s="1077">
        <v>0</v>
      </c>
      <c r="BP146" s="1062">
        <v>0</v>
      </c>
      <c r="BQ146" s="1078">
        <f t="shared" si="229"/>
        <v>0</v>
      </c>
      <c r="BR146" s="1062"/>
      <c r="BS146" s="1079">
        <f t="shared" si="390"/>
        <v>3772.49</v>
      </c>
      <c r="BT146" s="284" t="s">
        <v>419</v>
      </c>
    </row>
    <row r="147" spans="1:72" s="140" customFormat="1" ht="18" customHeight="1" x14ac:dyDescent="0.2">
      <c r="A147" s="1014">
        <v>616</v>
      </c>
      <c r="B147" s="1058" t="s">
        <v>197</v>
      </c>
      <c r="C147" s="1098">
        <v>0</v>
      </c>
      <c r="D147" s="1017">
        <v>0</v>
      </c>
      <c r="E147" s="1017">
        <v>0</v>
      </c>
      <c r="F147" s="1017">
        <f>F149</f>
        <v>0</v>
      </c>
      <c r="G147" s="1100">
        <f t="shared" si="331"/>
        <v>0</v>
      </c>
      <c r="H147" s="1060">
        <v>0</v>
      </c>
      <c r="I147" s="1019">
        <v>0</v>
      </c>
      <c r="J147" s="1019">
        <v>0</v>
      </c>
      <c r="K147" s="1019">
        <v>0</v>
      </c>
      <c r="L147" s="1107">
        <f>K147</f>
        <v>0</v>
      </c>
      <c r="M147" s="1026">
        <f>M148+M149+M150+M151+M152+M153+M154+M155</f>
        <v>0</v>
      </c>
      <c r="N147" s="1022">
        <f>SUM(N148:N155)</f>
        <v>904.67</v>
      </c>
      <c r="O147" s="1022">
        <f>O148</f>
        <v>0</v>
      </c>
      <c r="P147" s="1022">
        <f>SUM(P148:P155)</f>
        <v>201.1</v>
      </c>
      <c r="Q147" s="1022">
        <v>0</v>
      </c>
      <c r="R147" s="1023">
        <f>+P147+Q147</f>
        <v>201.1</v>
      </c>
      <c r="S147" s="1098">
        <v>0</v>
      </c>
      <c r="T147" s="1017">
        <v>0</v>
      </c>
      <c r="U147" s="1017">
        <v>0</v>
      </c>
      <c r="V147" s="1017">
        <f>V149</f>
        <v>0</v>
      </c>
      <c r="W147" s="1100">
        <f t="shared" si="333"/>
        <v>0</v>
      </c>
      <c r="X147" s="1017">
        <v>0</v>
      </c>
      <c r="Y147" s="1017">
        <f>SUM(Y148:Y155)</f>
        <v>0</v>
      </c>
      <c r="Z147" s="1100">
        <f t="shared" si="297"/>
        <v>0</v>
      </c>
      <c r="AA147" s="1100">
        <f t="shared" si="388"/>
        <v>0</v>
      </c>
      <c r="AB147" s="1098">
        <v>0</v>
      </c>
      <c r="AC147" s="1017">
        <v>0</v>
      </c>
      <c r="AD147" s="1017">
        <v>0</v>
      </c>
      <c r="AE147" s="1017">
        <f>AE149</f>
        <v>0</v>
      </c>
      <c r="AF147" s="1100">
        <f t="shared" si="368"/>
        <v>0</v>
      </c>
      <c r="AG147" s="1017">
        <v>0</v>
      </c>
      <c r="AH147" s="1017">
        <v>0</v>
      </c>
      <c r="AI147" s="1100">
        <f t="shared" si="365"/>
        <v>0</v>
      </c>
      <c r="AJ147" s="1100">
        <f t="shared" si="366"/>
        <v>0</v>
      </c>
      <c r="AK147" s="1098">
        <v>0</v>
      </c>
      <c r="AL147" s="1017">
        <v>0</v>
      </c>
      <c r="AM147" s="1017">
        <v>0</v>
      </c>
      <c r="AN147" s="1017">
        <f>AN149</f>
        <v>0</v>
      </c>
      <c r="AO147" s="1100">
        <f t="shared" si="369"/>
        <v>0</v>
      </c>
      <c r="AP147" s="1101"/>
      <c r="AQ147" s="1024">
        <v>0</v>
      </c>
      <c r="AR147" s="1025">
        <f t="shared" ref="AR147:AT147" si="423">AR149</f>
        <v>0</v>
      </c>
      <c r="AS147" s="1025">
        <f t="shared" si="423"/>
        <v>0</v>
      </c>
      <c r="AT147" s="1025">
        <f t="shared" si="423"/>
        <v>0</v>
      </c>
      <c r="AU147" s="1017">
        <f>SUM(AU148:AU155)</f>
        <v>0</v>
      </c>
      <c r="AV147" s="1100">
        <f>SUM(AQ147:AU147)</f>
        <v>0</v>
      </c>
      <c r="AW147" s="1100">
        <f t="shared" si="389"/>
        <v>201.1</v>
      </c>
      <c r="AX147" s="1022">
        <v>0</v>
      </c>
      <c r="AY147" s="1022">
        <v>0</v>
      </c>
      <c r="AZ147" s="1022">
        <v>0</v>
      </c>
      <c r="BA147" s="1027">
        <v>0</v>
      </c>
      <c r="BB147" s="1017">
        <f>SUM(BB148:BB155)</f>
        <v>0</v>
      </c>
      <c r="BC147" s="1017">
        <f t="shared" ref="BC147:BE147" si="424">SUM(BC148:BC155)</f>
        <v>0</v>
      </c>
      <c r="BD147" s="1017">
        <f t="shared" si="424"/>
        <v>0</v>
      </c>
      <c r="BE147" s="1105">
        <f t="shared" si="424"/>
        <v>0</v>
      </c>
      <c r="BF147" s="1026">
        <v>0</v>
      </c>
      <c r="BG147" s="1022">
        <v>0</v>
      </c>
      <c r="BH147" s="1027">
        <v>0</v>
      </c>
      <c r="BI147" s="1026">
        <f>SUM(BI148:BI155)</f>
        <v>0</v>
      </c>
      <c r="BJ147" s="1022">
        <f>BJ148+BJ149+BJ150+BJ151+BJ152+BJ153+BJ154+BJ155</f>
        <v>840</v>
      </c>
      <c r="BK147" s="1023">
        <f>SUM(BI147:BJ147)</f>
        <v>840</v>
      </c>
      <c r="BL147" s="1026">
        <f>SUM(BL148:BL155)</f>
        <v>0</v>
      </c>
      <c r="BM147" s="1022">
        <f>BM148+BM149+BM150+BM151+BM152+BM153+BM154+BM155</f>
        <v>0</v>
      </c>
      <c r="BN147" s="1023">
        <f>SUM(BL147:BM147)</f>
        <v>0</v>
      </c>
      <c r="BO147" s="1026">
        <f>SUM(BO148:BO155)</f>
        <v>47075.040000000001</v>
      </c>
      <c r="BP147" s="1028">
        <f>SUM(BP148:BP155)</f>
        <v>0</v>
      </c>
      <c r="BQ147" s="1008">
        <f>+BO147+BP147</f>
        <v>47075.040000000001</v>
      </c>
      <c r="BR147" s="1028">
        <f>BR148+BR149+BR150+BR151+BR152+BR153+BR154+BR155</f>
        <v>0</v>
      </c>
      <c r="BS147" s="1013">
        <f t="shared" si="390"/>
        <v>48116.14</v>
      </c>
      <c r="BT147" s="284" t="s">
        <v>419</v>
      </c>
    </row>
    <row r="148" spans="1:72" ht="18" hidden="1" customHeight="1" x14ac:dyDescent="0.2">
      <c r="A148" s="1050">
        <v>61601</v>
      </c>
      <c r="B148" s="1064" t="s">
        <v>198</v>
      </c>
      <c r="C148" s="1099">
        <v>0</v>
      </c>
      <c r="D148" s="1082">
        <v>0</v>
      </c>
      <c r="E148" s="1082">
        <v>0</v>
      </c>
      <c r="F148" s="1082">
        <v>0</v>
      </c>
      <c r="G148" s="1102">
        <f t="shared" si="331"/>
        <v>0</v>
      </c>
      <c r="H148" s="1068">
        <v>0</v>
      </c>
      <c r="I148" s="1069">
        <v>0</v>
      </c>
      <c r="J148" s="1069">
        <v>0</v>
      </c>
      <c r="K148" s="1069">
        <v>0</v>
      </c>
      <c r="L148" s="1108">
        <f t="shared" si="358"/>
        <v>0</v>
      </c>
      <c r="M148" s="1109">
        <v>0</v>
      </c>
      <c r="N148" s="1110">
        <v>0</v>
      </c>
      <c r="O148" s="1110">
        <v>0</v>
      </c>
      <c r="P148" s="1071">
        <v>0</v>
      </c>
      <c r="Q148" s="1071">
        <v>0</v>
      </c>
      <c r="R148" s="1072">
        <f>+P148+Q148</f>
        <v>0</v>
      </c>
      <c r="S148" s="1099">
        <v>0</v>
      </c>
      <c r="T148" s="1082">
        <v>0</v>
      </c>
      <c r="U148" s="1082">
        <v>0</v>
      </c>
      <c r="V148" s="1082">
        <v>0</v>
      </c>
      <c r="W148" s="1102">
        <f t="shared" si="333"/>
        <v>0</v>
      </c>
      <c r="X148" s="1082">
        <v>0</v>
      </c>
      <c r="Y148" s="1082">
        <v>0</v>
      </c>
      <c r="Z148" s="1102">
        <f t="shared" si="297"/>
        <v>0</v>
      </c>
      <c r="AA148" s="1102">
        <f t="shared" si="388"/>
        <v>0</v>
      </c>
      <c r="AB148" s="1099">
        <v>0</v>
      </c>
      <c r="AC148" s="1082">
        <v>0</v>
      </c>
      <c r="AD148" s="1082">
        <v>0</v>
      </c>
      <c r="AE148" s="1082">
        <v>0</v>
      </c>
      <c r="AF148" s="1102">
        <f t="shared" si="368"/>
        <v>0</v>
      </c>
      <c r="AG148" s="1082">
        <v>0</v>
      </c>
      <c r="AH148" s="1082">
        <v>0</v>
      </c>
      <c r="AI148" s="1102">
        <f t="shared" si="365"/>
        <v>0</v>
      </c>
      <c r="AJ148" s="1102">
        <f t="shared" si="366"/>
        <v>0</v>
      </c>
      <c r="AK148" s="1099">
        <f t="shared" ref="AK148:AK155" si="425">S148+AB148</f>
        <v>0</v>
      </c>
      <c r="AL148" s="1082">
        <f t="shared" ref="AL148:AL155" si="426">T148+AC148</f>
        <v>0</v>
      </c>
      <c r="AM148" s="1082">
        <f t="shared" ref="AM148:AM155" si="427">U148+AD148</f>
        <v>0</v>
      </c>
      <c r="AN148" s="1082">
        <f t="shared" ref="AN148:AN155" si="428">V148+AE148</f>
        <v>0</v>
      </c>
      <c r="AO148" s="1102">
        <f t="shared" si="369"/>
        <v>0</v>
      </c>
      <c r="AP148" s="1103"/>
      <c r="AQ148" s="1083">
        <v>0</v>
      </c>
      <c r="AR148" s="1084">
        <v>0</v>
      </c>
      <c r="AS148" s="1084">
        <v>0</v>
      </c>
      <c r="AT148" s="1084">
        <v>0</v>
      </c>
      <c r="AU148" s="1082">
        <v>0</v>
      </c>
      <c r="AV148" s="1102">
        <f t="shared" ref="AV148:AV155" si="429">SUM(AQ148:AU148)</f>
        <v>0</v>
      </c>
      <c r="AW148" s="1034">
        <f t="shared" si="389"/>
        <v>0</v>
      </c>
      <c r="AX148" s="1110">
        <v>0</v>
      </c>
      <c r="AY148" s="1110">
        <v>0</v>
      </c>
      <c r="AZ148" s="1110">
        <v>0</v>
      </c>
      <c r="BA148" s="1076">
        <f t="shared" ref="BA148:BA155" si="430">SUM(AX148:AZ148)</f>
        <v>0</v>
      </c>
      <c r="BB148" s="1082">
        <v>0</v>
      </c>
      <c r="BC148" s="1082">
        <v>0</v>
      </c>
      <c r="BD148" s="1082">
        <v>0</v>
      </c>
      <c r="BE148" s="1076">
        <f t="shared" si="422"/>
        <v>0</v>
      </c>
      <c r="BF148" s="1077">
        <v>0</v>
      </c>
      <c r="BG148" s="1071">
        <v>0</v>
      </c>
      <c r="BH148" s="1076">
        <v>0</v>
      </c>
      <c r="BI148" s="1077">
        <v>0</v>
      </c>
      <c r="BJ148" s="1071">
        <v>0</v>
      </c>
      <c r="BK148" s="1072">
        <f t="shared" ref="BK148:BK154" si="431">SUM(BI148:BJ148)</f>
        <v>0</v>
      </c>
      <c r="BL148" s="1077">
        <v>0</v>
      </c>
      <c r="BM148" s="1071">
        <v>0</v>
      </c>
      <c r="BN148" s="1072">
        <f t="shared" ref="BN148:BN154" si="432">SUM(BL148:BM148)</f>
        <v>0</v>
      </c>
      <c r="BO148" s="1077">
        <v>0</v>
      </c>
      <c r="BP148" s="1062">
        <v>0</v>
      </c>
      <c r="BQ148" s="1078">
        <v>0</v>
      </c>
      <c r="BR148" s="1062"/>
      <c r="BS148" s="1079">
        <f t="shared" si="390"/>
        <v>0</v>
      </c>
      <c r="BT148" s="284" t="s">
        <v>419</v>
      </c>
    </row>
    <row r="149" spans="1:72" ht="18" hidden="1" customHeight="1" x14ac:dyDescent="0.2">
      <c r="A149" s="1050">
        <v>61602</v>
      </c>
      <c r="B149" s="1064" t="s">
        <v>199</v>
      </c>
      <c r="C149" s="1065">
        <v>0</v>
      </c>
      <c r="D149" s="1082">
        <v>0</v>
      </c>
      <c r="E149" s="1082">
        <v>0</v>
      </c>
      <c r="F149" s="1082">
        <v>0</v>
      </c>
      <c r="G149" s="1102">
        <f t="shared" si="331"/>
        <v>0</v>
      </c>
      <c r="H149" s="1068">
        <v>0</v>
      </c>
      <c r="I149" s="1069">
        <v>0</v>
      </c>
      <c r="J149" s="1069">
        <v>0</v>
      </c>
      <c r="K149" s="1069">
        <v>0</v>
      </c>
      <c r="L149" s="1070">
        <f>K149</f>
        <v>0</v>
      </c>
      <c r="M149" s="1111">
        <v>0</v>
      </c>
      <c r="N149" s="1110">
        <v>0</v>
      </c>
      <c r="O149" s="1110">
        <v>0</v>
      </c>
      <c r="P149" s="1071">
        <v>0</v>
      </c>
      <c r="Q149" s="1071">
        <v>0</v>
      </c>
      <c r="R149" s="1072">
        <f>+P149+Q149</f>
        <v>0</v>
      </c>
      <c r="S149" s="1065">
        <v>0</v>
      </c>
      <c r="T149" s="1082">
        <v>0</v>
      </c>
      <c r="U149" s="1082">
        <v>0</v>
      </c>
      <c r="V149" s="1082">
        <v>0</v>
      </c>
      <c r="W149" s="1102">
        <f t="shared" si="333"/>
        <v>0</v>
      </c>
      <c r="X149" s="1082">
        <v>0</v>
      </c>
      <c r="Y149" s="1082">
        <v>0</v>
      </c>
      <c r="Z149" s="1102">
        <f t="shared" si="297"/>
        <v>0</v>
      </c>
      <c r="AA149" s="1102">
        <f t="shared" si="388"/>
        <v>0</v>
      </c>
      <c r="AB149" s="1065">
        <v>0</v>
      </c>
      <c r="AC149" s="1082">
        <v>0</v>
      </c>
      <c r="AD149" s="1082">
        <v>0</v>
      </c>
      <c r="AE149" s="1082">
        <v>0</v>
      </c>
      <c r="AF149" s="1102">
        <f t="shared" si="368"/>
        <v>0</v>
      </c>
      <c r="AG149" s="1082">
        <v>0</v>
      </c>
      <c r="AH149" s="1082">
        <v>0</v>
      </c>
      <c r="AI149" s="1102">
        <f t="shared" si="365"/>
        <v>0</v>
      </c>
      <c r="AJ149" s="1102">
        <f t="shared" si="366"/>
        <v>0</v>
      </c>
      <c r="AK149" s="1065">
        <f t="shared" si="425"/>
        <v>0</v>
      </c>
      <c r="AL149" s="1082">
        <f t="shared" si="426"/>
        <v>0</v>
      </c>
      <c r="AM149" s="1082">
        <f t="shared" si="427"/>
        <v>0</v>
      </c>
      <c r="AN149" s="1082">
        <f t="shared" si="428"/>
        <v>0</v>
      </c>
      <c r="AO149" s="1102">
        <f t="shared" si="369"/>
        <v>0</v>
      </c>
      <c r="AP149" s="1103"/>
      <c r="AQ149" s="1083">
        <v>0</v>
      </c>
      <c r="AR149" s="1084">
        <v>0</v>
      </c>
      <c r="AS149" s="1084">
        <v>0</v>
      </c>
      <c r="AT149" s="1084">
        <v>0</v>
      </c>
      <c r="AU149" s="1082">
        <v>0</v>
      </c>
      <c r="AV149" s="1102">
        <f t="shared" si="429"/>
        <v>0</v>
      </c>
      <c r="AW149" s="1034">
        <f t="shared" si="389"/>
        <v>0</v>
      </c>
      <c r="AX149" s="1110">
        <v>0</v>
      </c>
      <c r="AY149" s="1110">
        <v>0</v>
      </c>
      <c r="AZ149" s="1110">
        <v>0</v>
      </c>
      <c r="BA149" s="1076">
        <f t="shared" si="430"/>
        <v>0</v>
      </c>
      <c r="BB149" s="1082">
        <v>0</v>
      </c>
      <c r="BC149" s="1082">
        <v>0</v>
      </c>
      <c r="BD149" s="1082">
        <v>0</v>
      </c>
      <c r="BE149" s="1076">
        <f t="shared" si="422"/>
        <v>0</v>
      </c>
      <c r="BF149" s="1077">
        <v>0</v>
      </c>
      <c r="BG149" s="1071">
        <v>0</v>
      </c>
      <c r="BH149" s="1076">
        <v>0</v>
      </c>
      <c r="BI149" s="1077">
        <v>0</v>
      </c>
      <c r="BJ149" s="1071">
        <v>0</v>
      </c>
      <c r="BK149" s="1072">
        <f t="shared" si="431"/>
        <v>0</v>
      </c>
      <c r="BL149" s="1077">
        <v>0</v>
      </c>
      <c r="BM149" s="1071">
        <v>0</v>
      </c>
      <c r="BN149" s="1072">
        <f t="shared" si="432"/>
        <v>0</v>
      </c>
      <c r="BO149" s="1077">
        <v>0</v>
      </c>
      <c r="BP149" s="1062">
        <v>0</v>
      </c>
      <c r="BQ149" s="1078">
        <v>0</v>
      </c>
      <c r="BR149" s="1062"/>
      <c r="BS149" s="1079">
        <f t="shared" si="390"/>
        <v>0</v>
      </c>
      <c r="BT149" s="284" t="s">
        <v>419</v>
      </c>
    </row>
    <row r="150" spans="1:72" ht="18" hidden="1" customHeight="1" x14ac:dyDescent="0.2">
      <c r="A150" s="1050">
        <v>61603</v>
      </c>
      <c r="B150" s="1064" t="s">
        <v>200</v>
      </c>
      <c r="C150" s="1099">
        <v>0</v>
      </c>
      <c r="D150" s="1082">
        <v>0</v>
      </c>
      <c r="E150" s="1082">
        <v>0</v>
      </c>
      <c r="F150" s="1082">
        <v>0</v>
      </c>
      <c r="G150" s="1102">
        <f t="shared" si="331"/>
        <v>0</v>
      </c>
      <c r="H150" s="1068">
        <v>0</v>
      </c>
      <c r="I150" s="1069">
        <v>0</v>
      </c>
      <c r="J150" s="1069">
        <v>0</v>
      </c>
      <c r="K150" s="1069">
        <v>0</v>
      </c>
      <c r="L150" s="1070">
        <f t="shared" si="358"/>
        <v>0</v>
      </c>
      <c r="M150" s="1111">
        <v>0</v>
      </c>
      <c r="N150" s="1110">
        <v>0</v>
      </c>
      <c r="O150" s="1110">
        <v>0</v>
      </c>
      <c r="P150" s="1071">
        <v>0</v>
      </c>
      <c r="Q150" s="1071">
        <v>0</v>
      </c>
      <c r="R150" s="1072">
        <f t="shared" si="421"/>
        <v>0</v>
      </c>
      <c r="S150" s="1099">
        <v>0</v>
      </c>
      <c r="T150" s="1082">
        <v>0</v>
      </c>
      <c r="U150" s="1082">
        <v>0</v>
      </c>
      <c r="V150" s="1082">
        <v>0</v>
      </c>
      <c r="W150" s="1102">
        <f t="shared" si="333"/>
        <v>0</v>
      </c>
      <c r="X150" s="1082">
        <v>0</v>
      </c>
      <c r="Y150" s="1082">
        <v>0</v>
      </c>
      <c r="Z150" s="1102">
        <f t="shared" si="297"/>
        <v>0</v>
      </c>
      <c r="AA150" s="1102">
        <f t="shared" si="388"/>
        <v>0</v>
      </c>
      <c r="AB150" s="1099">
        <v>0</v>
      </c>
      <c r="AC150" s="1082">
        <v>0</v>
      </c>
      <c r="AD150" s="1082">
        <v>0</v>
      </c>
      <c r="AE150" s="1082">
        <v>0</v>
      </c>
      <c r="AF150" s="1102">
        <f t="shared" si="368"/>
        <v>0</v>
      </c>
      <c r="AG150" s="1082">
        <v>0</v>
      </c>
      <c r="AH150" s="1082">
        <v>0</v>
      </c>
      <c r="AI150" s="1102">
        <f t="shared" si="365"/>
        <v>0</v>
      </c>
      <c r="AJ150" s="1102">
        <f t="shared" si="366"/>
        <v>0</v>
      </c>
      <c r="AK150" s="1099">
        <f t="shared" si="425"/>
        <v>0</v>
      </c>
      <c r="AL150" s="1082">
        <f t="shared" si="426"/>
        <v>0</v>
      </c>
      <c r="AM150" s="1082">
        <f t="shared" si="427"/>
        <v>0</v>
      </c>
      <c r="AN150" s="1082">
        <f t="shared" si="428"/>
        <v>0</v>
      </c>
      <c r="AO150" s="1102">
        <f t="shared" si="369"/>
        <v>0</v>
      </c>
      <c r="AP150" s="1103"/>
      <c r="AQ150" s="1083">
        <v>0</v>
      </c>
      <c r="AR150" s="1084">
        <v>0</v>
      </c>
      <c r="AS150" s="1084">
        <v>0</v>
      </c>
      <c r="AT150" s="1084">
        <v>0</v>
      </c>
      <c r="AU150" s="1082">
        <v>0</v>
      </c>
      <c r="AV150" s="1102">
        <f t="shared" si="429"/>
        <v>0</v>
      </c>
      <c r="AW150" s="1034">
        <f t="shared" si="389"/>
        <v>0</v>
      </c>
      <c r="AX150" s="1110">
        <v>0</v>
      </c>
      <c r="AY150" s="1110">
        <v>0</v>
      </c>
      <c r="AZ150" s="1110">
        <v>0</v>
      </c>
      <c r="BA150" s="1076">
        <f t="shared" si="430"/>
        <v>0</v>
      </c>
      <c r="BB150" s="1082">
        <v>0</v>
      </c>
      <c r="BC150" s="1082">
        <v>0</v>
      </c>
      <c r="BD150" s="1082">
        <v>0</v>
      </c>
      <c r="BE150" s="1076">
        <f t="shared" si="422"/>
        <v>0</v>
      </c>
      <c r="BF150" s="1077">
        <v>0</v>
      </c>
      <c r="BG150" s="1071">
        <v>0</v>
      </c>
      <c r="BH150" s="1076">
        <v>0</v>
      </c>
      <c r="BI150" s="1077">
        <v>0</v>
      </c>
      <c r="BJ150" s="1071">
        <v>0</v>
      </c>
      <c r="BK150" s="1072">
        <f t="shared" si="431"/>
        <v>0</v>
      </c>
      <c r="BL150" s="1077">
        <v>0</v>
      </c>
      <c r="BM150" s="1071">
        <v>0</v>
      </c>
      <c r="BN150" s="1072">
        <f t="shared" si="432"/>
        <v>0</v>
      </c>
      <c r="BO150" s="1077">
        <v>0</v>
      </c>
      <c r="BP150" s="1062">
        <v>0</v>
      </c>
      <c r="BQ150" s="1078">
        <f>+BO150+BP150</f>
        <v>0</v>
      </c>
      <c r="BR150" s="1062"/>
      <c r="BS150" s="1079">
        <f t="shared" si="390"/>
        <v>0</v>
      </c>
      <c r="BT150" s="284" t="s">
        <v>419</v>
      </c>
    </row>
    <row r="151" spans="1:72" ht="18" hidden="1" customHeight="1" x14ac:dyDescent="0.2">
      <c r="A151" s="1050">
        <v>61604</v>
      </c>
      <c r="B151" s="1064" t="s">
        <v>201</v>
      </c>
      <c r="C151" s="1099">
        <v>0</v>
      </c>
      <c r="D151" s="1082">
        <v>0</v>
      </c>
      <c r="E151" s="1082">
        <v>0</v>
      </c>
      <c r="F151" s="1082">
        <v>0</v>
      </c>
      <c r="G151" s="1102">
        <f t="shared" si="331"/>
        <v>0</v>
      </c>
      <c r="H151" s="1068">
        <v>0</v>
      </c>
      <c r="I151" s="1069">
        <v>0</v>
      </c>
      <c r="J151" s="1069">
        <v>0</v>
      </c>
      <c r="K151" s="1069">
        <v>0</v>
      </c>
      <c r="L151" s="1070">
        <f t="shared" si="358"/>
        <v>0</v>
      </c>
      <c r="M151" s="1112">
        <v>0</v>
      </c>
      <c r="N151" s="1110">
        <v>0</v>
      </c>
      <c r="O151" s="1110">
        <v>0</v>
      </c>
      <c r="P151" s="1071">
        <v>0</v>
      </c>
      <c r="Q151" s="1071">
        <v>0</v>
      </c>
      <c r="R151" s="1072">
        <f t="shared" si="421"/>
        <v>0</v>
      </c>
      <c r="S151" s="1099">
        <v>0</v>
      </c>
      <c r="T151" s="1082">
        <v>0</v>
      </c>
      <c r="U151" s="1082">
        <v>0</v>
      </c>
      <c r="V151" s="1082">
        <v>0</v>
      </c>
      <c r="W151" s="1102">
        <f t="shared" si="333"/>
        <v>0</v>
      </c>
      <c r="X151" s="1082">
        <v>0</v>
      </c>
      <c r="Y151" s="1082">
        <v>0</v>
      </c>
      <c r="Z151" s="1102">
        <f t="shared" si="297"/>
        <v>0</v>
      </c>
      <c r="AA151" s="1102">
        <f t="shared" si="388"/>
        <v>0</v>
      </c>
      <c r="AB151" s="1099">
        <v>0</v>
      </c>
      <c r="AC151" s="1082">
        <v>0</v>
      </c>
      <c r="AD151" s="1082">
        <v>0</v>
      </c>
      <c r="AE151" s="1082">
        <v>0</v>
      </c>
      <c r="AF151" s="1102">
        <f t="shared" si="368"/>
        <v>0</v>
      </c>
      <c r="AG151" s="1082">
        <v>0</v>
      </c>
      <c r="AH151" s="1082">
        <v>0</v>
      </c>
      <c r="AI151" s="1102">
        <f t="shared" si="365"/>
        <v>0</v>
      </c>
      <c r="AJ151" s="1102">
        <f t="shared" si="366"/>
        <v>0</v>
      </c>
      <c r="AK151" s="1099">
        <f t="shared" si="425"/>
        <v>0</v>
      </c>
      <c r="AL151" s="1082">
        <f t="shared" si="426"/>
        <v>0</v>
      </c>
      <c r="AM151" s="1082">
        <f t="shared" si="427"/>
        <v>0</v>
      </c>
      <c r="AN151" s="1082">
        <f t="shared" si="428"/>
        <v>0</v>
      </c>
      <c r="AO151" s="1102">
        <f t="shared" si="369"/>
        <v>0</v>
      </c>
      <c r="AP151" s="1103"/>
      <c r="AQ151" s="1083">
        <v>0</v>
      </c>
      <c r="AR151" s="1084">
        <v>0</v>
      </c>
      <c r="AS151" s="1084">
        <v>0</v>
      </c>
      <c r="AT151" s="1084">
        <v>0</v>
      </c>
      <c r="AU151" s="1082">
        <v>0</v>
      </c>
      <c r="AV151" s="1102">
        <f t="shared" si="429"/>
        <v>0</v>
      </c>
      <c r="AW151" s="1034">
        <f t="shared" si="389"/>
        <v>0</v>
      </c>
      <c r="AX151" s="1110">
        <v>0</v>
      </c>
      <c r="AY151" s="1110">
        <v>0</v>
      </c>
      <c r="AZ151" s="1110">
        <v>0</v>
      </c>
      <c r="BA151" s="1076">
        <f t="shared" si="430"/>
        <v>0</v>
      </c>
      <c r="BB151" s="1082">
        <v>0</v>
      </c>
      <c r="BC151" s="1082">
        <v>0</v>
      </c>
      <c r="BD151" s="1082">
        <v>0</v>
      </c>
      <c r="BE151" s="1076">
        <f t="shared" si="422"/>
        <v>0</v>
      </c>
      <c r="BF151" s="1077">
        <v>0</v>
      </c>
      <c r="BG151" s="1071">
        <v>0</v>
      </c>
      <c r="BH151" s="1076">
        <v>0</v>
      </c>
      <c r="BI151" s="1077">
        <v>0</v>
      </c>
      <c r="BJ151" s="1071">
        <v>0</v>
      </c>
      <c r="BK151" s="1072">
        <f t="shared" si="431"/>
        <v>0</v>
      </c>
      <c r="BL151" s="1077">
        <v>0</v>
      </c>
      <c r="BM151" s="1071">
        <v>0</v>
      </c>
      <c r="BN151" s="1072">
        <f t="shared" si="432"/>
        <v>0</v>
      </c>
      <c r="BO151" s="1077">
        <v>0</v>
      </c>
      <c r="BP151" s="1062">
        <v>0</v>
      </c>
      <c r="BQ151" s="1078">
        <v>0</v>
      </c>
      <c r="BR151" s="1062"/>
      <c r="BS151" s="1079">
        <f t="shared" si="390"/>
        <v>0</v>
      </c>
      <c r="BT151" s="284" t="s">
        <v>419</v>
      </c>
    </row>
    <row r="152" spans="1:72" ht="18" hidden="1" customHeight="1" x14ac:dyDescent="0.2">
      <c r="A152" s="1050">
        <v>61606</v>
      </c>
      <c r="B152" s="1064" t="s">
        <v>202</v>
      </c>
      <c r="C152" s="1099">
        <v>0</v>
      </c>
      <c r="D152" s="1082">
        <v>0</v>
      </c>
      <c r="E152" s="1082">
        <v>0</v>
      </c>
      <c r="F152" s="1082">
        <v>0</v>
      </c>
      <c r="G152" s="1102">
        <f t="shared" si="331"/>
        <v>0</v>
      </c>
      <c r="H152" s="1068">
        <v>0</v>
      </c>
      <c r="I152" s="1069">
        <v>0</v>
      </c>
      <c r="J152" s="1069">
        <v>0</v>
      </c>
      <c r="K152" s="1069">
        <v>0</v>
      </c>
      <c r="L152" s="1070">
        <f t="shared" si="358"/>
        <v>0</v>
      </c>
      <c r="M152" s="1112">
        <v>0</v>
      </c>
      <c r="N152" s="1110">
        <v>0</v>
      </c>
      <c r="O152" s="1110">
        <v>0</v>
      </c>
      <c r="P152" s="1071">
        <v>0</v>
      </c>
      <c r="Q152" s="1071">
        <v>0</v>
      </c>
      <c r="R152" s="1072">
        <f t="shared" si="421"/>
        <v>0</v>
      </c>
      <c r="S152" s="1099">
        <v>0</v>
      </c>
      <c r="T152" s="1082">
        <v>0</v>
      </c>
      <c r="U152" s="1082">
        <v>0</v>
      </c>
      <c r="V152" s="1082">
        <v>0</v>
      </c>
      <c r="W152" s="1102">
        <f t="shared" si="333"/>
        <v>0</v>
      </c>
      <c r="X152" s="1082">
        <v>0</v>
      </c>
      <c r="Y152" s="1082">
        <v>0</v>
      </c>
      <c r="Z152" s="1102">
        <f t="shared" si="297"/>
        <v>0</v>
      </c>
      <c r="AA152" s="1102">
        <f t="shared" si="388"/>
        <v>0</v>
      </c>
      <c r="AB152" s="1099">
        <v>0</v>
      </c>
      <c r="AC152" s="1082">
        <v>0</v>
      </c>
      <c r="AD152" s="1082">
        <v>0</v>
      </c>
      <c r="AE152" s="1082">
        <v>0</v>
      </c>
      <c r="AF152" s="1102">
        <f t="shared" si="368"/>
        <v>0</v>
      </c>
      <c r="AG152" s="1082">
        <v>0</v>
      </c>
      <c r="AH152" s="1082">
        <v>0</v>
      </c>
      <c r="AI152" s="1102">
        <f t="shared" si="365"/>
        <v>0</v>
      </c>
      <c r="AJ152" s="1102">
        <f t="shared" si="366"/>
        <v>0</v>
      </c>
      <c r="AK152" s="1099">
        <f t="shared" si="425"/>
        <v>0</v>
      </c>
      <c r="AL152" s="1082">
        <f t="shared" si="426"/>
        <v>0</v>
      </c>
      <c r="AM152" s="1082">
        <f t="shared" si="427"/>
        <v>0</v>
      </c>
      <c r="AN152" s="1082">
        <f t="shared" si="428"/>
        <v>0</v>
      </c>
      <c r="AO152" s="1102">
        <f t="shared" si="369"/>
        <v>0</v>
      </c>
      <c r="AP152" s="1103"/>
      <c r="AQ152" s="1083">
        <v>0</v>
      </c>
      <c r="AR152" s="1084">
        <v>0</v>
      </c>
      <c r="AS152" s="1084">
        <v>0</v>
      </c>
      <c r="AT152" s="1084">
        <v>0</v>
      </c>
      <c r="AU152" s="1082">
        <v>0</v>
      </c>
      <c r="AV152" s="1102">
        <f t="shared" si="429"/>
        <v>0</v>
      </c>
      <c r="AW152" s="1034">
        <f t="shared" si="389"/>
        <v>0</v>
      </c>
      <c r="AX152" s="1110">
        <v>0</v>
      </c>
      <c r="AY152" s="1110">
        <v>0</v>
      </c>
      <c r="AZ152" s="1110">
        <v>0</v>
      </c>
      <c r="BA152" s="1076">
        <f t="shared" si="430"/>
        <v>0</v>
      </c>
      <c r="BB152" s="1082">
        <v>0</v>
      </c>
      <c r="BC152" s="1082">
        <v>0</v>
      </c>
      <c r="BD152" s="1082">
        <v>0</v>
      </c>
      <c r="BE152" s="1076">
        <f t="shared" si="422"/>
        <v>0</v>
      </c>
      <c r="BF152" s="1077">
        <v>0</v>
      </c>
      <c r="BG152" s="1071">
        <v>0</v>
      </c>
      <c r="BH152" s="1076">
        <v>0</v>
      </c>
      <c r="BI152" s="1077">
        <v>0</v>
      </c>
      <c r="BJ152" s="1071">
        <v>0</v>
      </c>
      <c r="BK152" s="1072">
        <f t="shared" si="431"/>
        <v>0</v>
      </c>
      <c r="BL152" s="1077">
        <v>0</v>
      </c>
      <c r="BM152" s="1071">
        <v>0</v>
      </c>
      <c r="BN152" s="1072">
        <f t="shared" si="432"/>
        <v>0</v>
      </c>
      <c r="BO152" s="1077">
        <v>0</v>
      </c>
      <c r="BP152" s="1062">
        <v>0</v>
      </c>
      <c r="BQ152" s="1078">
        <v>0</v>
      </c>
      <c r="BR152" s="1062"/>
      <c r="BS152" s="1079">
        <f t="shared" si="390"/>
        <v>0</v>
      </c>
      <c r="BT152" s="284" t="s">
        <v>419</v>
      </c>
    </row>
    <row r="153" spans="1:72" ht="18" hidden="1" customHeight="1" x14ac:dyDescent="0.2">
      <c r="A153" s="1050">
        <v>61607</v>
      </c>
      <c r="B153" s="1051" t="s">
        <v>203</v>
      </c>
      <c r="C153" s="1099">
        <v>0</v>
      </c>
      <c r="D153" s="1082">
        <v>0</v>
      </c>
      <c r="E153" s="1082">
        <v>0</v>
      </c>
      <c r="F153" s="1082">
        <v>0</v>
      </c>
      <c r="G153" s="1102">
        <f t="shared" si="331"/>
        <v>0</v>
      </c>
      <c r="H153" s="1068">
        <v>0</v>
      </c>
      <c r="I153" s="1069">
        <v>0</v>
      </c>
      <c r="J153" s="1069">
        <v>0</v>
      </c>
      <c r="K153" s="1069">
        <v>0</v>
      </c>
      <c r="L153" s="1070">
        <f t="shared" si="358"/>
        <v>0</v>
      </c>
      <c r="M153" s="1112">
        <v>0</v>
      </c>
      <c r="N153" s="1110">
        <v>0</v>
      </c>
      <c r="O153" s="1110">
        <v>0</v>
      </c>
      <c r="P153" s="1071">
        <v>0</v>
      </c>
      <c r="Q153" s="1071">
        <v>0</v>
      </c>
      <c r="R153" s="1072">
        <f t="shared" si="421"/>
        <v>0</v>
      </c>
      <c r="S153" s="1099">
        <v>0</v>
      </c>
      <c r="T153" s="1082">
        <v>0</v>
      </c>
      <c r="U153" s="1082">
        <v>0</v>
      </c>
      <c r="V153" s="1082">
        <v>0</v>
      </c>
      <c r="W153" s="1102">
        <f t="shared" si="333"/>
        <v>0</v>
      </c>
      <c r="X153" s="1082">
        <v>0</v>
      </c>
      <c r="Y153" s="1082">
        <v>0</v>
      </c>
      <c r="Z153" s="1102">
        <f t="shared" si="297"/>
        <v>0</v>
      </c>
      <c r="AA153" s="1102">
        <f t="shared" si="388"/>
        <v>0</v>
      </c>
      <c r="AB153" s="1099">
        <v>0</v>
      </c>
      <c r="AC153" s="1082">
        <v>0</v>
      </c>
      <c r="AD153" s="1082">
        <v>0</v>
      </c>
      <c r="AE153" s="1082">
        <v>0</v>
      </c>
      <c r="AF153" s="1102">
        <f t="shared" si="368"/>
        <v>0</v>
      </c>
      <c r="AG153" s="1082">
        <v>0</v>
      </c>
      <c r="AH153" s="1082">
        <v>0</v>
      </c>
      <c r="AI153" s="1102">
        <f t="shared" si="365"/>
        <v>0</v>
      </c>
      <c r="AJ153" s="1102">
        <f t="shared" si="366"/>
        <v>0</v>
      </c>
      <c r="AK153" s="1099">
        <f t="shared" si="425"/>
        <v>0</v>
      </c>
      <c r="AL153" s="1082">
        <f t="shared" si="426"/>
        <v>0</v>
      </c>
      <c r="AM153" s="1082">
        <f t="shared" si="427"/>
        <v>0</v>
      </c>
      <c r="AN153" s="1082">
        <f t="shared" si="428"/>
        <v>0</v>
      </c>
      <c r="AO153" s="1102">
        <f t="shared" si="369"/>
        <v>0</v>
      </c>
      <c r="AP153" s="1103"/>
      <c r="AQ153" s="1083">
        <v>0</v>
      </c>
      <c r="AR153" s="1084">
        <v>0</v>
      </c>
      <c r="AS153" s="1084">
        <v>0</v>
      </c>
      <c r="AT153" s="1084">
        <v>0</v>
      </c>
      <c r="AU153" s="1082">
        <v>0</v>
      </c>
      <c r="AV153" s="1102">
        <f t="shared" si="429"/>
        <v>0</v>
      </c>
      <c r="AW153" s="1034">
        <f t="shared" si="389"/>
        <v>0</v>
      </c>
      <c r="AX153" s="1110">
        <v>0</v>
      </c>
      <c r="AY153" s="1110">
        <v>0</v>
      </c>
      <c r="AZ153" s="1110">
        <v>0</v>
      </c>
      <c r="BA153" s="1076">
        <f t="shared" si="430"/>
        <v>0</v>
      </c>
      <c r="BB153" s="1082">
        <v>0</v>
      </c>
      <c r="BC153" s="1082">
        <v>0</v>
      </c>
      <c r="BD153" s="1082">
        <v>0</v>
      </c>
      <c r="BE153" s="1076">
        <f t="shared" si="422"/>
        <v>0</v>
      </c>
      <c r="BF153" s="1077">
        <v>0</v>
      </c>
      <c r="BG153" s="1071">
        <v>0</v>
      </c>
      <c r="BH153" s="1076">
        <v>0</v>
      </c>
      <c r="BI153" s="1077">
        <v>0</v>
      </c>
      <c r="BJ153" s="1071">
        <v>0</v>
      </c>
      <c r="BK153" s="1072">
        <f t="shared" si="431"/>
        <v>0</v>
      </c>
      <c r="BL153" s="1077">
        <v>0</v>
      </c>
      <c r="BM153" s="1071">
        <v>0</v>
      </c>
      <c r="BN153" s="1072">
        <f t="shared" si="432"/>
        <v>0</v>
      </c>
      <c r="BO153" s="1077">
        <v>0</v>
      </c>
      <c r="BP153" s="1062">
        <v>0</v>
      </c>
      <c r="BQ153" s="1078">
        <v>0</v>
      </c>
      <c r="BR153" s="1062"/>
      <c r="BS153" s="1079">
        <f t="shared" si="390"/>
        <v>0</v>
      </c>
      <c r="BT153" s="284" t="s">
        <v>419</v>
      </c>
    </row>
    <row r="154" spans="1:72" ht="18" hidden="1" customHeight="1" x14ac:dyDescent="0.2">
      <c r="A154" s="1050">
        <v>61608</v>
      </c>
      <c r="B154" s="1051" t="s">
        <v>204</v>
      </c>
      <c r="C154" s="1099">
        <v>0</v>
      </c>
      <c r="D154" s="1082">
        <v>0</v>
      </c>
      <c r="E154" s="1082">
        <v>0</v>
      </c>
      <c r="F154" s="1082">
        <v>0</v>
      </c>
      <c r="G154" s="1102">
        <f t="shared" si="331"/>
        <v>0</v>
      </c>
      <c r="H154" s="1068">
        <v>0</v>
      </c>
      <c r="I154" s="1069">
        <v>0</v>
      </c>
      <c r="J154" s="1069">
        <v>0</v>
      </c>
      <c r="K154" s="1069">
        <v>0</v>
      </c>
      <c r="L154" s="1070">
        <f t="shared" si="358"/>
        <v>0</v>
      </c>
      <c r="M154" s="1112">
        <v>0</v>
      </c>
      <c r="N154" s="1110">
        <v>0</v>
      </c>
      <c r="O154" s="1110">
        <v>0</v>
      </c>
      <c r="P154" s="1071">
        <v>0</v>
      </c>
      <c r="Q154" s="1071">
        <v>0</v>
      </c>
      <c r="R154" s="1072">
        <f t="shared" si="421"/>
        <v>0</v>
      </c>
      <c r="S154" s="1099">
        <v>0</v>
      </c>
      <c r="T154" s="1082">
        <v>0</v>
      </c>
      <c r="U154" s="1082">
        <v>0</v>
      </c>
      <c r="V154" s="1082">
        <v>0</v>
      </c>
      <c r="W154" s="1102">
        <f t="shared" si="333"/>
        <v>0</v>
      </c>
      <c r="X154" s="1082">
        <v>0</v>
      </c>
      <c r="Y154" s="1082">
        <v>0</v>
      </c>
      <c r="Z154" s="1102">
        <f t="shared" si="297"/>
        <v>0</v>
      </c>
      <c r="AA154" s="1102">
        <f t="shared" si="388"/>
        <v>0</v>
      </c>
      <c r="AB154" s="1099">
        <v>0</v>
      </c>
      <c r="AC154" s="1082">
        <v>0</v>
      </c>
      <c r="AD154" s="1082">
        <v>0</v>
      </c>
      <c r="AE154" s="1082">
        <v>0</v>
      </c>
      <c r="AF154" s="1102">
        <f t="shared" si="368"/>
        <v>0</v>
      </c>
      <c r="AG154" s="1082">
        <v>0</v>
      </c>
      <c r="AH154" s="1082">
        <v>0</v>
      </c>
      <c r="AI154" s="1102">
        <f t="shared" si="365"/>
        <v>0</v>
      </c>
      <c r="AJ154" s="1102">
        <f t="shared" si="366"/>
        <v>0</v>
      </c>
      <c r="AK154" s="1099">
        <f t="shared" si="425"/>
        <v>0</v>
      </c>
      <c r="AL154" s="1082">
        <f t="shared" si="426"/>
        <v>0</v>
      </c>
      <c r="AM154" s="1082">
        <f t="shared" si="427"/>
        <v>0</v>
      </c>
      <c r="AN154" s="1082">
        <f t="shared" si="428"/>
        <v>0</v>
      </c>
      <c r="AO154" s="1102">
        <f t="shared" si="369"/>
        <v>0</v>
      </c>
      <c r="AP154" s="1103"/>
      <c r="AQ154" s="1083">
        <v>0</v>
      </c>
      <c r="AR154" s="1084">
        <v>0</v>
      </c>
      <c r="AS154" s="1084">
        <v>0</v>
      </c>
      <c r="AT154" s="1084">
        <v>0</v>
      </c>
      <c r="AU154" s="1082">
        <v>0</v>
      </c>
      <c r="AV154" s="1102">
        <f t="shared" si="429"/>
        <v>0</v>
      </c>
      <c r="AW154" s="1034">
        <f t="shared" si="389"/>
        <v>0</v>
      </c>
      <c r="AX154" s="1110">
        <v>0</v>
      </c>
      <c r="AY154" s="1110">
        <v>0</v>
      </c>
      <c r="AZ154" s="1110">
        <v>0</v>
      </c>
      <c r="BA154" s="1076">
        <f t="shared" si="430"/>
        <v>0</v>
      </c>
      <c r="BB154" s="1082">
        <v>0</v>
      </c>
      <c r="BC154" s="1082">
        <v>0</v>
      </c>
      <c r="BD154" s="1082">
        <v>0</v>
      </c>
      <c r="BE154" s="1076">
        <f t="shared" si="422"/>
        <v>0</v>
      </c>
      <c r="BF154" s="1077">
        <v>0</v>
      </c>
      <c r="BG154" s="1071">
        <v>0</v>
      </c>
      <c r="BH154" s="1076">
        <v>0</v>
      </c>
      <c r="BI154" s="1077">
        <v>0</v>
      </c>
      <c r="BJ154" s="1071">
        <v>0</v>
      </c>
      <c r="BK154" s="1072">
        <f t="shared" si="431"/>
        <v>0</v>
      </c>
      <c r="BL154" s="1077">
        <v>0</v>
      </c>
      <c r="BM154" s="1071">
        <v>0</v>
      </c>
      <c r="BN154" s="1072">
        <f t="shared" si="432"/>
        <v>0</v>
      </c>
      <c r="BO154" s="1077">
        <v>0</v>
      </c>
      <c r="BP154" s="1062">
        <v>0</v>
      </c>
      <c r="BQ154" s="1078">
        <v>0</v>
      </c>
      <c r="BR154" s="1062"/>
      <c r="BS154" s="1079">
        <f t="shared" si="390"/>
        <v>0</v>
      </c>
      <c r="BT154" s="284" t="s">
        <v>419</v>
      </c>
    </row>
    <row r="155" spans="1:72" ht="18" customHeight="1" x14ac:dyDescent="0.2">
      <c r="A155" s="1050">
        <v>61699</v>
      </c>
      <c r="B155" s="1051" t="s">
        <v>205</v>
      </c>
      <c r="C155" s="1099">
        <v>0</v>
      </c>
      <c r="D155" s="1082">
        <v>0</v>
      </c>
      <c r="E155" s="1082">
        <v>0</v>
      </c>
      <c r="F155" s="1082">
        <v>0</v>
      </c>
      <c r="G155" s="1102">
        <f t="shared" si="331"/>
        <v>0</v>
      </c>
      <c r="H155" s="1068">
        <v>0</v>
      </c>
      <c r="I155" s="1069">
        <v>0</v>
      </c>
      <c r="J155" s="1069">
        <v>0</v>
      </c>
      <c r="K155" s="1069">
        <v>0</v>
      </c>
      <c r="L155" s="1070">
        <f t="shared" si="358"/>
        <v>0</v>
      </c>
      <c r="M155" s="1112">
        <v>0</v>
      </c>
      <c r="N155" s="1110">
        <f>'AG3'!E64</f>
        <v>904.67</v>
      </c>
      <c r="O155" s="1110">
        <v>0</v>
      </c>
      <c r="P155" s="1071">
        <f>'AG3'!F64</f>
        <v>201.1</v>
      </c>
      <c r="Q155" s="1071">
        <v>0</v>
      </c>
      <c r="R155" s="1072">
        <f>N155+P155+Q155</f>
        <v>1105.77</v>
      </c>
      <c r="S155" s="1099">
        <v>0</v>
      </c>
      <c r="T155" s="1082">
        <v>0</v>
      </c>
      <c r="U155" s="1082">
        <v>0</v>
      </c>
      <c r="V155" s="1082">
        <v>0</v>
      </c>
      <c r="W155" s="1102">
        <f t="shared" si="333"/>
        <v>0</v>
      </c>
      <c r="X155" s="1082">
        <v>0</v>
      </c>
      <c r="Y155" s="1082">
        <f>'AG3'!M64</f>
        <v>0</v>
      </c>
      <c r="Z155" s="1102">
        <f t="shared" si="297"/>
        <v>0</v>
      </c>
      <c r="AA155" s="1102">
        <f t="shared" si="388"/>
        <v>0</v>
      </c>
      <c r="AB155" s="1099">
        <v>0</v>
      </c>
      <c r="AC155" s="1082">
        <v>0</v>
      </c>
      <c r="AD155" s="1082">
        <v>0</v>
      </c>
      <c r="AE155" s="1082">
        <v>0</v>
      </c>
      <c r="AF155" s="1102">
        <f t="shared" si="368"/>
        <v>0</v>
      </c>
      <c r="AG155" s="1082">
        <v>0</v>
      </c>
      <c r="AH155" s="1082">
        <v>0</v>
      </c>
      <c r="AI155" s="1102">
        <f t="shared" si="365"/>
        <v>0</v>
      </c>
      <c r="AJ155" s="1102">
        <f t="shared" si="366"/>
        <v>0</v>
      </c>
      <c r="AK155" s="1099">
        <f t="shared" si="425"/>
        <v>0</v>
      </c>
      <c r="AL155" s="1082">
        <f t="shared" si="426"/>
        <v>0</v>
      </c>
      <c r="AM155" s="1082">
        <f t="shared" si="427"/>
        <v>0</v>
      </c>
      <c r="AN155" s="1082">
        <f t="shared" si="428"/>
        <v>0</v>
      </c>
      <c r="AO155" s="1102">
        <f t="shared" si="369"/>
        <v>0</v>
      </c>
      <c r="AP155" s="1103"/>
      <c r="AQ155" s="1083">
        <v>0</v>
      </c>
      <c r="AR155" s="1084">
        <v>0</v>
      </c>
      <c r="AS155" s="1084">
        <v>0</v>
      </c>
      <c r="AT155" s="1084">
        <v>0</v>
      </c>
      <c r="AU155" s="1082">
        <v>0</v>
      </c>
      <c r="AV155" s="1102">
        <f t="shared" si="429"/>
        <v>0</v>
      </c>
      <c r="AW155" s="1034">
        <f t="shared" si="389"/>
        <v>1105.77</v>
      </c>
      <c r="AX155" s="1110">
        <v>0</v>
      </c>
      <c r="AY155" s="1110">
        <v>0</v>
      </c>
      <c r="AZ155" s="1110">
        <v>0</v>
      </c>
      <c r="BA155" s="1076">
        <f t="shared" si="430"/>
        <v>0</v>
      </c>
      <c r="BB155" s="1082">
        <v>0</v>
      </c>
      <c r="BC155" s="1082">
        <v>0</v>
      </c>
      <c r="BD155" s="1082">
        <v>0</v>
      </c>
      <c r="BE155" s="1076">
        <f>+BB155+BC155+BD155</f>
        <v>0</v>
      </c>
      <c r="BF155" s="1077">
        <v>0</v>
      </c>
      <c r="BG155" s="1071">
        <v>0</v>
      </c>
      <c r="BH155" s="1076">
        <v>0</v>
      </c>
      <c r="BI155" s="1077">
        <v>0</v>
      </c>
      <c r="BJ155" s="1071">
        <f>'AG3'!S64</f>
        <v>840</v>
      </c>
      <c r="BK155" s="1072">
        <f>SUM(BI155:BJ155)</f>
        <v>840</v>
      </c>
      <c r="BL155" s="1077">
        <v>0</v>
      </c>
      <c r="BM155" s="1071">
        <v>0</v>
      </c>
      <c r="BN155" s="1072">
        <f>SUM(BL155:BM155)</f>
        <v>0</v>
      </c>
      <c r="BO155" s="1077">
        <f>'AG3'!U64</f>
        <v>47075.040000000001</v>
      </c>
      <c r="BP155" s="1062">
        <v>0</v>
      </c>
      <c r="BQ155" s="1078">
        <f>+BO155+BP155</f>
        <v>47075.040000000001</v>
      </c>
      <c r="BR155" s="1062"/>
      <c r="BS155" s="1079">
        <f t="shared" si="390"/>
        <v>49020.81</v>
      </c>
      <c r="BT155" s="284" t="s">
        <v>419</v>
      </c>
    </row>
    <row r="156" spans="1:72" ht="18" customHeight="1" x14ac:dyDescent="0.2">
      <c r="A156" s="1050"/>
      <c r="B156" s="1051"/>
      <c r="C156" s="1099"/>
      <c r="D156" s="1082"/>
      <c r="E156" s="1082"/>
      <c r="F156" s="1082"/>
      <c r="G156" s="1100"/>
      <c r="H156" s="1068"/>
      <c r="I156" s="1069"/>
      <c r="J156" s="1069"/>
      <c r="K156" s="1069"/>
      <c r="L156" s="1021"/>
      <c r="M156" s="1062"/>
      <c r="N156" s="1071"/>
      <c r="O156" s="1071"/>
      <c r="P156" s="1071"/>
      <c r="Q156" s="1071"/>
      <c r="R156" s="1072"/>
      <c r="S156" s="1099"/>
      <c r="T156" s="1082"/>
      <c r="U156" s="1082"/>
      <c r="V156" s="1082"/>
      <c r="W156" s="1100"/>
      <c r="X156" s="1082"/>
      <c r="Y156" s="1082"/>
      <c r="Z156" s="1100"/>
      <c r="AA156" s="1100"/>
      <c r="AB156" s="1099"/>
      <c r="AC156" s="1082"/>
      <c r="AD156" s="1082"/>
      <c r="AE156" s="1082"/>
      <c r="AF156" s="1100"/>
      <c r="AG156" s="1082"/>
      <c r="AH156" s="1082"/>
      <c r="AI156" s="1100"/>
      <c r="AJ156" s="1100"/>
      <c r="AK156" s="1099"/>
      <c r="AL156" s="1082"/>
      <c r="AM156" s="1082"/>
      <c r="AN156" s="1082"/>
      <c r="AO156" s="1100"/>
      <c r="AP156" s="1101"/>
      <c r="AQ156" s="1083"/>
      <c r="AR156" s="1084"/>
      <c r="AS156" s="1084"/>
      <c r="AT156" s="1084"/>
      <c r="AU156" s="1082"/>
      <c r="AV156" s="1100"/>
      <c r="AW156" s="1100"/>
      <c r="AX156" s="1071"/>
      <c r="AY156" s="1071"/>
      <c r="AZ156" s="1071"/>
      <c r="BA156" s="1076"/>
      <c r="BB156" s="1082"/>
      <c r="BC156" s="1082"/>
      <c r="BD156" s="1017"/>
      <c r="BE156" s="1076"/>
      <c r="BF156" s="1077"/>
      <c r="BG156" s="1071"/>
      <c r="BH156" s="1076"/>
      <c r="BI156" s="1077"/>
      <c r="BJ156" s="1071"/>
      <c r="BK156" s="1023"/>
      <c r="BL156" s="1077"/>
      <c r="BM156" s="1071"/>
      <c r="BN156" s="1023"/>
      <c r="BO156" s="1077"/>
      <c r="BP156" s="1062"/>
      <c r="BQ156" s="1078"/>
      <c r="BR156" s="1062"/>
      <c r="BS156" s="1079"/>
      <c r="BT156" s="284" t="s">
        <v>419</v>
      </c>
    </row>
    <row r="157" spans="1:72" s="140" customFormat="1" ht="23.25" customHeight="1" x14ac:dyDescent="0.2">
      <c r="A157" s="1014">
        <v>71</v>
      </c>
      <c r="B157" s="1113" t="s">
        <v>769</v>
      </c>
      <c r="C157" s="1098">
        <v>0</v>
      </c>
      <c r="D157" s="1017">
        <v>0</v>
      </c>
      <c r="E157" s="1017">
        <v>0</v>
      </c>
      <c r="F157" s="1017">
        <v>0</v>
      </c>
      <c r="G157" s="1100">
        <v>0</v>
      </c>
      <c r="H157" s="1060">
        <v>0</v>
      </c>
      <c r="I157" s="1019">
        <v>0</v>
      </c>
      <c r="J157" s="1019">
        <v>0</v>
      </c>
      <c r="K157" s="1019">
        <v>0</v>
      </c>
      <c r="L157" s="1021">
        <f t="shared" si="358"/>
        <v>0</v>
      </c>
      <c r="M157" s="1028">
        <f>M158</f>
        <v>0</v>
      </c>
      <c r="N157" s="1022">
        <v>0</v>
      </c>
      <c r="O157" s="1022">
        <v>0</v>
      </c>
      <c r="P157" s="1022">
        <v>0</v>
      </c>
      <c r="Q157" s="1022">
        <v>0</v>
      </c>
      <c r="R157" s="1023">
        <f t="shared" si="421"/>
        <v>0</v>
      </c>
      <c r="S157" s="1098">
        <v>0</v>
      </c>
      <c r="T157" s="1017">
        <v>0</v>
      </c>
      <c r="U157" s="1017">
        <v>0</v>
      </c>
      <c r="V157" s="1017">
        <v>0</v>
      </c>
      <c r="W157" s="1100">
        <v>0</v>
      </c>
      <c r="X157" s="1017">
        <v>0</v>
      </c>
      <c r="Y157" s="1017">
        <v>0</v>
      </c>
      <c r="Z157" s="1100">
        <f t="shared" si="297"/>
        <v>0</v>
      </c>
      <c r="AA157" s="1100">
        <f t="shared" si="388"/>
        <v>0</v>
      </c>
      <c r="AB157" s="1098">
        <v>0</v>
      </c>
      <c r="AC157" s="1017">
        <v>0</v>
      </c>
      <c r="AD157" s="1017">
        <v>0</v>
      </c>
      <c r="AE157" s="1017">
        <v>0</v>
      </c>
      <c r="AF157" s="1100">
        <v>0</v>
      </c>
      <c r="AG157" s="1017">
        <v>0</v>
      </c>
      <c r="AH157" s="1017">
        <v>0</v>
      </c>
      <c r="AI157" s="1100">
        <f t="shared" ref="AI157:AI161" si="433">SUM(AG157:AH157)</f>
        <v>0</v>
      </c>
      <c r="AJ157" s="1100">
        <f t="shared" ref="AJ157:AJ161" si="434">AF157+AI157</f>
        <v>0</v>
      </c>
      <c r="AK157" s="1098">
        <v>0</v>
      </c>
      <c r="AL157" s="1017">
        <v>0</v>
      </c>
      <c r="AM157" s="1017">
        <v>0</v>
      </c>
      <c r="AN157" s="1017">
        <v>0</v>
      </c>
      <c r="AO157" s="1100">
        <v>0</v>
      </c>
      <c r="AP157" s="1101"/>
      <c r="AQ157" s="1024">
        <v>0</v>
      </c>
      <c r="AR157" s="1025">
        <v>0</v>
      </c>
      <c r="AS157" s="1025">
        <v>0</v>
      </c>
      <c r="AT157" s="1025">
        <v>0</v>
      </c>
      <c r="AU157" s="1017">
        <v>0</v>
      </c>
      <c r="AV157" s="1100">
        <v>0</v>
      </c>
      <c r="AW157" s="1100">
        <f t="shared" si="389"/>
        <v>0</v>
      </c>
      <c r="AX157" s="1022">
        <f>AX158</f>
        <v>230867.48</v>
      </c>
      <c r="AY157" s="1022">
        <f>AY158</f>
        <v>0</v>
      </c>
      <c r="AZ157" s="1022">
        <f>AZ158</f>
        <v>0</v>
      </c>
      <c r="BA157" s="1027">
        <f>M157+N157+O157+AX157+AZ157+AY157</f>
        <v>230867.48</v>
      </c>
      <c r="BB157" s="1017">
        <f>BB158</f>
        <v>0</v>
      </c>
      <c r="BC157" s="1017">
        <f t="shared" ref="BC157:BE157" si="435">BC158</f>
        <v>0</v>
      </c>
      <c r="BD157" s="1017">
        <f t="shared" si="435"/>
        <v>0</v>
      </c>
      <c r="BE157" s="1027">
        <f t="shared" si="435"/>
        <v>0</v>
      </c>
      <c r="BF157" s="1026">
        <v>0</v>
      </c>
      <c r="BG157" s="1022">
        <v>0</v>
      </c>
      <c r="BH157" s="1027">
        <v>0</v>
      </c>
      <c r="BI157" s="1026">
        <f>SUM(BI158:BI161)</f>
        <v>0</v>
      </c>
      <c r="BJ157" s="1022">
        <f t="shared" ref="BJ157:BK157" si="436">SUM(BJ158:BJ161)</f>
        <v>0</v>
      </c>
      <c r="BK157" s="1023">
        <f t="shared" si="436"/>
        <v>0</v>
      </c>
      <c r="BL157" s="1026">
        <f>SUM(BL158:BL161)</f>
        <v>0</v>
      </c>
      <c r="BM157" s="1022">
        <f t="shared" ref="BM157" si="437">SUM(BM158:BM161)</f>
        <v>0</v>
      </c>
      <c r="BN157" s="1023">
        <f t="shared" ref="BN157" si="438">SUM(BN158:BN161)</f>
        <v>0</v>
      </c>
      <c r="BO157" s="1026">
        <v>0</v>
      </c>
      <c r="BP157" s="1028">
        <v>0</v>
      </c>
      <c r="BQ157" s="1008">
        <f>+BO157+BP157</f>
        <v>0</v>
      </c>
      <c r="BR157" s="1028"/>
      <c r="BS157" s="1013">
        <f t="shared" si="390"/>
        <v>230867.48</v>
      </c>
      <c r="BT157" s="993" t="s">
        <v>419</v>
      </c>
    </row>
    <row r="158" spans="1:72" ht="18" customHeight="1" x14ac:dyDescent="0.2">
      <c r="A158" s="1014">
        <v>713</v>
      </c>
      <c r="B158" s="1080" t="s">
        <v>214</v>
      </c>
      <c r="C158" s="1098">
        <v>0</v>
      </c>
      <c r="D158" s="1017">
        <v>0</v>
      </c>
      <c r="E158" s="1017">
        <v>0</v>
      </c>
      <c r="F158" s="1017">
        <v>0</v>
      </c>
      <c r="G158" s="1100">
        <v>0</v>
      </c>
      <c r="H158" s="1060">
        <v>0</v>
      </c>
      <c r="I158" s="1019">
        <v>0</v>
      </c>
      <c r="J158" s="1019">
        <v>0</v>
      </c>
      <c r="K158" s="1019">
        <v>0</v>
      </c>
      <c r="L158" s="1021">
        <f t="shared" si="358"/>
        <v>0</v>
      </c>
      <c r="M158" s="1028">
        <v>0</v>
      </c>
      <c r="N158" s="1022"/>
      <c r="O158" s="1022">
        <v>0</v>
      </c>
      <c r="P158" s="1022">
        <v>0</v>
      </c>
      <c r="Q158" s="1022">
        <v>0</v>
      </c>
      <c r="R158" s="1023">
        <f t="shared" si="421"/>
        <v>0</v>
      </c>
      <c r="S158" s="1098">
        <v>0</v>
      </c>
      <c r="T158" s="1017">
        <v>0</v>
      </c>
      <c r="U158" s="1017">
        <v>0</v>
      </c>
      <c r="V158" s="1017">
        <v>0</v>
      </c>
      <c r="W158" s="1100">
        <v>0</v>
      </c>
      <c r="X158" s="1017">
        <v>0</v>
      </c>
      <c r="Y158" s="1017">
        <v>0</v>
      </c>
      <c r="Z158" s="1100">
        <f t="shared" si="297"/>
        <v>0</v>
      </c>
      <c r="AA158" s="1100">
        <f t="shared" si="388"/>
        <v>0</v>
      </c>
      <c r="AB158" s="1098">
        <v>0</v>
      </c>
      <c r="AC158" s="1017">
        <v>0</v>
      </c>
      <c r="AD158" s="1017">
        <v>0</v>
      </c>
      <c r="AE158" s="1017">
        <v>0</v>
      </c>
      <c r="AF158" s="1100">
        <v>0</v>
      </c>
      <c r="AG158" s="1017">
        <v>0</v>
      </c>
      <c r="AH158" s="1017">
        <v>0</v>
      </c>
      <c r="AI158" s="1100">
        <f t="shared" si="433"/>
        <v>0</v>
      </c>
      <c r="AJ158" s="1100">
        <f t="shared" si="434"/>
        <v>0</v>
      </c>
      <c r="AK158" s="1098">
        <v>0</v>
      </c>
      <c r="AL158" s="1017">
        <v>0</v>
      </c>
      <c r="AM158" s="1017">
        <v>0</v>
      </c>
      <c r="AN158" s="1017">
        <v>0</v>
      </c>
      <c r="AO158" s="1100">
        <v>0</v>
      </c>
      <c r="AP158" s="1101"/>
      <c r="AQ158" s="1024">
        <v>0</v>
      </c>
      <c r="AR158" s="1025">
        <v>0</v>
      </c>
      <c r="AS158" s="1025">
        <v>0</v>
      </c>
      <c r="AT158" s="1025">
        <v>0</v>
      </c>
      <c r="AU158" s="1017">
        <v>0</v>
      </c>
      <c r="AV158" s="1100">
        <v>0</v>
      </c>
      <c r="AW158" s="1100">
        <f t="shared" si="389"/>
        <v>0</v>
      </c>
      <c r="AX158" s="1022">
        <f>SUM(AX159:AX161)</f>
        <v>230867.48</v>
      </c>
      <c r="AY158" s="1022">
        <f>SUM(AY159:AY161)</f>
        <v>0</v>
      </c>
      <c r="AZ158" s="1022">
        <f>SUM(AZ159:AZ161)</f>
        <v>0</v>
      </c>
      <c r="BA158" s="1027">
        <f>M158+N158+O158+AX158+AZ158+AY158</f>
        <v>230867.48</v>
      </c>
      <c r="BB158" s="1017">
        <f>SUM(BB159:BB161)</f>
        <v>0</v>
      </c>
      <c r="BC158" s="1017">
        <f t="shared" ref="BC158:BE158" si="439">SUM(BC159:BC161)</f>
        <v>0</v>
      </c>
      <c r="BD158" s="1017">
        <f t="shared" si="439"/>
        <v>0</v>
      </c>
      <c r="BE158" s="1027">
        <f t="shared" si="439"/>
        <v>0</v>
      </c>
      <c r="BF158" s="1026">
        <v>0</v>
      </c>
      <c r="BG158" s="1022">
        <v>0</v>
      </c>
      <c r="BH158" s="1027">
        <v>0</v>
      </c>
      <c r="BI158" s="1026">
        <v>0</v>
      </c>
      <c r="BJ158" s="1071">
        <v>0</v>
      </c>
      <c r="BK158" s="1072">
        <v>0</v>
      </c>
      <c r="BL158" s="1026">
        <v>0</v>
      </c>
      <c r="BM158" s="1071">
        <v>0</v>
      </c>
      <c r="BN158" s="1072">
        <v>0</v>
      </c>
      <c r="BO158" s="1077">
        <v>0</v>
      </c>
      <c r="BP158" s="1062">
        <v>0</v>
      </c>
      <c r="BQ158" s="1008">
        <f t="shared" ref="BQ158:BQ160" si="440">+BO158+BP158</f>
        <v>0</v>
      </c>
      <c r="BR158" s="1062"/>
      <c r="BS158" s="1013">
        <f>G158+AW158+BA158+BE158+BK158+BN158+BQ158</f>
        <v>230867.48</v>
      </c>
      <c r="BT158" s="284" t="s">
        <v>419</v>
      </c>
    </row>
    <row r="159" spans="1:72" ht="18" customHeight="1" x14ac:dyDescent="0.2">
      <c r="A159" s="1050">
        <v>71303</v>
      </c>
      <c r="B159" s="1051" t="s">
        <v>85</v>
      </c>
      <c r="C159" s="1099">
        <v>0</v>
      </c>
      <c r="D159" s="1082">
        <v>0</v>
      </c>
      <c r="E159" s="1082">
        <v>0</v>
      </c>
      <c r="F159" s="1082">
        <v>0</v>
      </c>
      <c r="G159" s="1102">
        <v>0</v>
      </c>
      <c r="H159" s="1068">
        <v>0</v>
      </c>
      <c r="I159" s="1069">
        <v>0</v>
      </c>
      <c r="J159" s="1069">
        <v>0</v>
      </c>
      <c r="K159" s="1069">
        <v>0</v>
      </c>
      <c r="L159" s="1070">
        <f t="shared" si="358"/>
        <v>0</v>
      </c>
      <c r="M159" s="1062">
        <v>0</v>
      </c>
      <c r="N159" s="1071">
        <v>0</v>
      </c>
      <c r="O159" s="1071">
        <v>0</v>
      </c>
      <c r="P159" s="1071">
        <v>0</v>
      </c>
      <c r="Q159" s="1071">
        <v>0</v>
      </c>
      <c r="R159" s="1072">
        <f t="shared" si="421"/>
        <v>0</v>
      </c>
      <c r="S159" s="1099">
        <v>0</v>
      </c>
      <c r="T159" s="1082">
        <v>0</v>
      </c>
      <c r="U159" s="1082">
        <v>0</v>
      </c>
      <c r="V159" s="1082">
        <v>0</v>
      </c>
      <c r="W159" s="1102">
        <v>0</v>
      </c>
      <c r="X159" s="1082">
        <v>0</v>
      </c>
      <c r="Y159" s="1082">
        <v>0</v>
      </c>
      <c r="Z159" s="1102">
        <f t="shared" si="297"/>
        <v>0</v>
      </c>
      <c r="AA159" s="1102">
        <f t="shared" si="388"/>
        <v>0</v>
      </c>
      <c r="AB159" s="1099">
        <v>0</v>
      </c>
      <c r="AC159" s="1082">
        <v>0</v>
      </c>
      <c r="AD159" s="1082">
        <v>0</v>
      </c>
      <c r="AE159" s="1082">
        <v>0</v>
      </c>
      <c r="AF159" s="1102">
        <v>0</v>
      </c>
      <c r="AG159" s="1082">
        <v>0</v>
      </c>
      <c r="AH159" s="1082">
        <v>0</v>
      </c>
      <c r="AI159" s="1102">
        <f t="shared" si="433"/>
        <v>0</v>
      </c>
      <c r="AJ159" s="1102">
        <f t="shared" si="434"/>
        <v>0</v>
      </c>
      <c r="AK159" s="1099">
        <f t="shared" ref="AK159:AK161" si="441">S159+AB159</f>
        <v>0</v>
      </c>
      <c r="AL159" s="1082">
        <f t="shared" ref="AL159:AL161" si="442">T159+AC159</f>
        <v>0</v>
      </c>
      <c r="AM159" s="1082">
        <f t="shared" ref="AM159:AM161" si="443">U159+AD159</f>
        <v>0</v>
      </c>
      <c r="AN159" s="1082">
        <f t="shared" ref="AN159:AN161" si="444">V159+AE159</f>
        <v>0</v>
      </c>
      <c r="AO159" s="1102">
        <v>0</v>
      </c>
      <c r="AP159" s="1103"/>
      <c r="AQ159" s="1083">
        <v>0</v>
      </c>
      <c r="AR159" s="1084">
        <v>0</v>
      </c>
      <c r="AS159" s="1084">
        <v>0</v>
      </c>
      <c r="AT159" s="1084">
        <v>0</v>
      </c>
      <c r="AU159" s="1082">
        <v>0</v>
      </c>
      <c r="AV159" s="1102">
        <f t="shared" ref="AV159:AV160" si="445">SUM(AQ159:AU159)</f>
        <v>0</v>
      </c>
      <c r="AW159" s="1034">
        <f t="shared" si="389"/>
        <v>0</v>
      </c>
      <c r="AX159" s="1071">
        <v>0</v>
      </c>
      <c r="AY159" s="1071">
        <v>0</v>
      </c>
      <c r="AZ159" s="1071">
        <v>0</v>
      </c>
      <c r="BA159" s="1076">
        <f>SUM(AX159:AZ159)</f>
        <v>0</v>
      </c>
      <c r="BB159" s="1082">
        <v>0</v>
      </c>
      <c r="BC159" s="1082">
        <v>0</v>
      </c>
      <c r="BD159" s="1082">
        <v>0</v>
      </c>
      <c r="BE159" s="1076">
        <f t="shared" si="422"/>
        <v>0</v>
      </c>
      <c r="BF159" s="1077">
        <v>0</v>
      </c>
      <c r="BG159" s="1071">
        <v>0</v>
      </c>
      <c r="BH159" s="1076">
        <v>0</v>
      </c>
      <c r="BI159" s="1077">
        <v>0</v>
      </c>
      <c r="BJ159" s="1071">
        <v>0</v>
      </c>
      <c r="BK159" s="1072">
        <v>0</v>
      </c>
      <c r="BL159" s="1077">
        <v>0</v>
      </c>
      <c r="BM159" s="1071">
        <v>0</v>
      </c>
      <c r="BN159" s="1072">
        <v>0</v>
      </c>
      <c r="BO159" s="1077">
        <v>0</v>
      </c>
      <c r="BP159" s="1062">
        <v>0</v>
      </c>
      <c r="BQ159" s="1078">
        <f t="shared" si="440"/>
        <v>0</v>
      </c>
      <c r="BR159" s="1062"/>
      <c r="BS159" s="1079">
        <f t="shared" si="390"/>
        <v>0</v>
      </c>
      <c r="BT159" s="284" t="s">
        <v>419</v>
      </c>
    </row>
    <row r="160" spans="1:72" ht="18" customHeight="1" x14ac:dyDescent="0.2">
      <c r="A160" s="1050">
        <v>71304</v>
      </c>
      <c r="B160" s="1051" t="s">
        <v>86</v>
      </c>
      <c r="C160" s="1099">
        <v>0</v>
      </c>
      <c r="D160" s="1082">
        <v>0</v>
      </c>
      <c r="E160" s="1082">
        <v>0</v>
      </c>
      <c r="F160" s="1082">
        <v>0</v>
      </c>
      <c r="G160" s="1102">
        <v>0</v>
      </c>
      <c r="H160" s="1068">
        <v>0</v>
      </c>
      <c r="I160" s="1069">
        <v>0</v>
      </c>
      <c r="J160" s="1069">
        <v>0</v>
      </c>
      <c r="K160" s="1069">
        <v>0</v>
      </c>
      <c r="L160" s="1070">
        <f t="shared" si="358"/>
        <v>0</v>
      </c>
      <c r="M160" s="1062">
        <v>0</v>
      </c>
      <c r="N160" s="1071">
        <v>0</v>
      </c>
      <c r="O160" s="1071">
        <v>0</v>
      </c>
      <c r="P160" s="1071">
        <v>0</v>
      </c>
      <c r="Q160" s="1071">
        <v>0</v>
      </c>
      <c r="R160" s="1072">
        <f t="shared" si="421"/>
        <v>0</v>
      </c>
      <c r="S160" s="1099">
        <v>0</v>
      </c>
      <c r="T160" s="1082">
        <v>0</v>
      </c>
      <c r="U160" s="1082">
        <v>0</v>
      </c>
      <c r="V160" s="1082">
        <v>0</v>
      </c>
      <c r="W160" s="1102">
        <v>0</v>
      </c>
      <c r="X160" s="1082">
        <v>0</v>
      </c>
      <c r="Y160" s="1082">
        <v>0</v>
      </c>
      <c r="Z160" s="1102">
        <f t="shared" si="297"/>
        <v>0</v>
      </c>
      <c r="AA160" s="1102">
        <f t="shared" si="388"/>
        <v>0</v>
      </c>
      <c r="AB160" s="1099">
        <v>0</v>
      </c>
      <c r="AC160" s="1082">
        <v>0</v>
      </c>
      <c r="AD160" s="1082">
        <v>0</v>
      </c>
      <c r="AE160" s="1082">
        <v>0</v>
      </c>
      <c r="AF160" s="1102">
        <v>0</v>
      </c>
      <c r="AG160" s="1082">
        <v>0</v>
      </c>
      <c r="AH160" s="1082">
        <v>0</v>
      </c>
      <c r="AI160" s="1102">
        <f t="shared" si="433"/>
        <v>0</v>
      </c>
      <c r="AJ160" s="1102">
        <f t="shared" si="434"/>
        <v>0</v>
      </c>
      <c r="AK160" s="1099">
        <f t="shared" si="441"/>
        <v>0</v>
      </c>
      <c r="AL160" s="1082">
        <f t="shared" si="442"/>
        <v>0</v>
      </c>
      <c r="AM160" s="1082">
        <f t="shared" si="443"/>
        <v>0</v>
      </c>
      <c r="AN160" s="1082">
        <f t="shared" si="444"/>
        <v>0</v>
      </c>
      <c r="AO160" s="1102">
        <v>0</v>
      </c>
      <c r="AP160" s="1103"/>
      <c r="AQ160" s="1083">
        <v>0</v>
      </c>
      <c r="AR160" s="1084">
        <v>0</v>
      </c>
      <c r="AS160" s="1084">
        <v>0</v>
      </c>
      <c r="AT160" s="1084">
        <v>0</v>
      </c>
      <c r="AU160" s="1082">
        <v>0</v>
      </c>
      <c r="AV160" s="1102">
        <f t="shared" si="445"/>
        <v>0</v>
      </c>
      <c r="AW160" s="1034">
        <f t="shared" si="389"/>
        <v>0</v>
      </c>
      <c r="AX160" s="1071">
        <f>'AG5'!H27</f>
        <v>230867.48</v>
      </c>
      <c r="AY160" s="1071">
        <v>0</v>
      </c>
      <c r="AZ160" s="1071">
        <v>0</v>
      </c>
      <c r="BA160" s="1076">
        <f t="shared" ref="BA160:BA161" si="446">SUM(AX160:AZ160)</f>
        <v>230867.48</v>
      </c>
      <c r="BB160" s="1082">
        <v>0</v>
      </c>
      <c r="BC160" s="1082">
        <v>0</v>
      </c>
      <c r="BD160" s="1082">
        <v>0</v>
      </c>
      <c r="BE160" s="1076">
        <f t="shared" si="422"/>
        <v>0</v>
      </c>
      <c r="BF160" s="1077">
        <v>0</v>
      </c>
      <c r="BG160" s="1071">
        <v>0</v>
      </c>
      <c r="BH160" s="1076">
        <v>0</v>
      </c>
      <c r="BI160" s="1077">
        <v>0</v>
      </c>
      <c r="BJ160" s="1071">
        <v>0</v>
      </c>
      <c r="BK160" s="1072">
        <v>0</v>
      </c>
      <c r="BL160" s="1077">
        <v>0</v>
      </c>
      <c r="BM160" s="1071">
        <v>0</v>
      </c>
      <c r="BN160" s="1072">
        <v>0</v>
      </c>
      <c r="BO160" s="1077">
        <v>0</v>
      </c>
      <c r="BP160" s="1062">
        <v>0</v>
      </c>
      <c r="BQ160" s="1078">
        <f t="shared" si="440"/>
        <v>0</v>
      </c>
      <c r="BR160" s="1062"/>
      <c r="BS160" s="1079">
        <f t="shared" si="390"/>
        <v>230867.48</v>
      </c>
      <c r="BT160" s="284" t="s">
        <v>419</v>
      </c>
    </row>
    <row r="161" spans="1:72" ht="18" hidden="1" customHeight="1" x14ac:dyDescent="0.2">
      <c r="A161" s="1050">
        <v>71308</v>
      </c>
      <c r="B161" s="1051" t="s">
        <v>229</v>
      </c>
      <c r="C161" s="1099">
        <v>0</v>
      </c>
      <c r="D161" s="1082">
        <v>0</v>
      </c>
      <c r="E161" s="1082">
        <v>0</v>
      </c>
      <c r="F161" s="1082">
        <v>0</v>
      </c>
      <c r="G161" s="1102">
        <v>0</v>
      </c>
      <c r="H161" s="1114">
        <v>0</v>
      </c>
      <c r="I161" s="1069">
        <v>0</v>
      </c>
      <c r="J161" s="1108">
        <v>0</v>
      </c>
      <c r="K161" s="1069">
        <v>0</v>
      </c>
      <c r="L161" s="1115">
        <f t="shared" si="358"/>
        <v>0</v>
      </c>
      <c r="M161" s="1062">
        <v>0</v>
      </c>
      <c r="N161" s="1062">
        <v>0</v>
      </c>
      <c r="O161" s="1071">
        <v>0</v>
      </c>
      <c r="P161" s="1071">
        <v>0</v>
      </c>
      <c r="Q161" s="1071">
        <v>0</v>
      </c>
      <c r="R161" s="1072">
        <f t="shared" si="421"/>
        <v>0</v>
      </c>
      <c r="S161" s="1099">
        <v>0</v>
      </c>
      <c r="T161" s="1082">
        <v>0</v>
      </c>
      <c r="U161" s="1082">
        <v>0</v>
      </c>
      <c r="V161" s="1082">
        <v>0</v>
      </c>
      <c r="W161" s="1102">
        <v>0</v>
      </c>
      <c r="X161" s="1082">
        <v>0</v>
      </c>
      <c r="Y161" s="1082">
        <v>0</v>
      </c>
      <c r="Z161" s="1102">
        <f t="shared" si="297"/>
        <v>0</v>
      </c>
      <c r="AA161" s="1102">
        <f t="shared" si="388"/>
        <v>0</v>
      </c>
      <c r="AB161" s="1099">
        <v>0</v>
      </c>
      <c r="AC161" s="1082">
        <v>0</v>
      </c>
      <c r="AD161" s="1082">
        <v>0</v>
      </c>
      <c r="AE161" s="1082">
        <v>0</v>
      </c>
      <c r="AF161" s="1102">
        <v>0</v>
      </c>
      <c r="AG161" s="1082">
        <v>0</v>
      </c>
      <c r="AH161" s="1082">
        <v>0</v>
      </c>
      <c r="AI161" s="1102">
        <f t="shared" si="433"/>
        <v>0</v>
      </c>
      <c r="AJ161" s="1102">
        <f t="shared" si="434"/>
        <v>0</v>
      </c>
      <c r="AK161" s="1099">
        <f t="shared" si="441"/>
        <v>0</v>
      </c>
      <c r="AL161" s="1082">
        <f t="shared" si="442"/>
        <v>0</v>
      </c>
      <c r="AM161" s="1082">
        <f t="shared" si="443"/>
        <v>0</v>
      </c>
      <c r="AN161" s="1082">
        <f t="shared" si="444"/>
        <v>0</v>
      </c>
      <c r="AO161" s="1102">
        <v>0</v>
      </c>
      <c r="AP161" s="1103"/>
      <c r="AQ161" s="1083">
        <v>0</v>
      </c>
      <c r="AR161" s="1084">
        <v>0</v>
      </c>
      <c r="AS161" s="1084">
        <v>0</v>
      </c>
      <c r="AT161" s="1084">
        <v>0</v>
      </c>
      <c r="AU161" s="1082">
        <v>0</v>
      </c>
      <c r="AV161" s="1102">
        <f>SUM(AQ161:AU161)</f>
        <v>0</v>
      </c>
      <c r="AW161" s="1034">
        <f t="shared" si="389"/>
        <v>0</v>
      </c>
      <c r="AX161" s="1071">
        <v>0</v>
      </c>
      <c r="AY161" s="1116">
        <v>0</v>
      </c>
      <c r="AZ161" s="1116">
        <v>0</v>
      </c>
      <c r="BA161" s="1076">
        <f t="shared" si="446"/>
        <v>0</v>
      </c>
      <c r="BB161" s="1082">
        <v>0</v>
      </c>
      <c r="BC161" s="1082">
        <v>0</v>
      </c>
      <c r="BD161" s="1082">
        <v>0</v>
      </c>
      <c r="BE161" s="1076">
        <f t="shared" si="422"/>
        <v>0</v>
      </c>
      <c r="BF161" s="1077">
        <v>0</v>
      </c>
      <c r="BG161" s="1071">
        <v>0</v>
      </c>
      <c r="BH161" s="1076">
        <v>0</v>
      </c>
      <c r="BI161" s="1077">
        <v>0</v>
      </c>
      <c r="BJ161" s="1071">
        <v>0</v>
      </c>
      <c r="BK161" s="1072">
        <v>0</v>
      </c>
      <c r="BL161" s="1077">
        <v>0</v>
      </c>
      <c r="BM161" s="1071">
        <v>0</v>
      </c>
      <c r="BN161" s="1072">
        <v>0</v>
      </c>
      <c r="BO161" s="1077">
        <v>0</v>
      </c>
      <c r="BP161" s="1062">
        <v>0</v>
      </c>
      <c r="BQ161" s="1072">
        <v>0</v>
      </c>
      <c r="BR161" s="1062"/>
      <c r="BS161" s="1079">
        <f t="shared" si="390"/>
        <v>0</v>
      </c>
      <c r="BT161" s="284" t="s">
        <v>419</v>
      </c>
    </row>
    <row r="162" spans="1:72" ht="18" customHeight="1" x14ac:dyDescent="0.2">
      <c r="A162" s="1050"/>
      <c r="B162" s="1051"/>
      <c r="C162" s="1099"/>
      <c r="D162" s="1082"/>
      <c r="E162" s="1082"/>
      <c r="F162" s="1082"/>
      <c r="G162" s="1100"/>
      <c r="H162" s="1114"/>
      <c r="I162" s="1069"/>
      <c r="J162" s="1108"/>
      <c r="K162" s="1069"/>
      <c r="L162" s="1117"/>
      <c r="M162" s="1062"/>
      <c r="N162" s="1062"/>
      <c r="O162" s="1071"/>
      <c r="P162" s="1071"/>
      <c r="Q162" s="1071"/>
      <c r="R162" s="1072"/>
      <c r="S162" s="1099"/>
      <c r="T162" s="1082"/>
      <c r="U162" s="1082"/>
      <c r="V162" s="1082"/>
      <c r="W162" s="1100"/>
      <c r="X162" s="1082"/>
      <c r="Y162" s="1082"/>
      <c r="Z162" s="1100"/>
      <c r="AA162" s="1100"/>
      <c r="AB162" s="1099"/>
      <c r="AC162" s="1082"/>
      <c r="AD162" s="1082"/>
      <c r="AE162" s="1082"/>
      <c r="AF162" s="1100"/>
      <c r="AG162" s="1082"/>
      <c r="AH162" s="1082"/>
      <c r="AI162" s="1100"/>
      <c r="AJ162" s="1100"/>
      <c r="AK162" s="1099"/>
      <c r="AL162" s="1082"/>
      <c r="AM162" s="1082"/>
      <c r="AN162" s="1082"/>
      <c r="AO162" s="1100"/>
      <c r="AP162" s="1101"/>
      <c r="AQ162" s="1083"/>
      <c r="AR162" s="1084"/>
      <c r="AS162" s="1084"/>
      <c r="AT162" s="1084"/>
      <c r="AU162" s="1082"/>
      <c r="AV162" s="1100"/>
      <c r="AW162" s="1100"/>
      <c r="AX162" s="1071"/>
      <c r="AY162" s="1116"/>
      <c r="AZ162" s="1116"/>
      <c r="BA162" s="1076"/>
      <c r="BB162" s="1082"/>
      <c r="BC162" s="1082"/>
      <c r="BD162" s="1017"/>
      <c r="BE162" s="1076"/>
      <c r="BF162" s="1077">
        <v>0</v>
      </c>
      <c r="BG162" s="1071">
        <v>0</v>
      </c>
      <c r="BH162" s="1076">
        <v>0</v>
      </c>
      <c r="BI162" s="1077"/>
      <c r="BJ162" s="1071"/>
      <c r="BK162" s="1072"/>
      <c r="BL162" s="1077"/>
      <c r="BM162" s="1071"/>
      <c r="BN162" s="1072"/>
      <c r="BO162" s="1077"/>
      <c r="BP162" s="1062"/>
      <c r="BQ162" s="1078"/>
      <c r="BR162" s="1062"/>
      <c r="BS162" s="1079"/>
      <c r="BT162" s="284" t="s">
        <v>419</v>
      </c>
    </row>
    <row r="163" spans="1:72" s="140" customFormat="1" ht="18" customHeight="1" x14ac:dyDescent="0.2">
      <c r="A163" s="1014">
        <v>72</v>
      </c>
      <c r="B163" s="1080" t="s">
        <v>13</v>
      </c>
      <c r="C163" s="1098">
        <f>C164</f>
        <v>61546.59</v>
      </c>
      <c r="D163" s="1017">
        <f t="shared" ref="D163:F164" si="447">D164</f>
        <v>0</v>
      </c>
      <c r="E163" s="1017">
        <f t="shared" si="447"/>
        <v>0</v>
      </c>
      <c r="F163" s="1017">
        <f t="shared" si="447"/>
        <v>0</v>
      </c>
      <c r="G163" s="1100">
        <f>C163+D163+E163+F163</f>
        <v>61546.59</v>
      </c>
      <c r="H163" s="1018">
        <f>H164</f>
        <v>0</v>
      </c>
      <c r="I163" s="1019">
        <f t="shared" ref="I163:I164" si="448">I164</f>
        <v>0</v>
      </c>
      <c r="J163" s="1107">
        <f t="shared" ref="J163:J164" si="449">J164</f>
        <v>0</v>
      </c>
      <c r="K163" s="1019">
        <f t="shared" ref="K163:K164" si="450">K164</f>
        <v>0</v>
      </c>
      <c r="L163" s="1117">
        <f>H163+I163+J163+K163</f>
        <v>0</v>
      </c>
      <c r="M163" s="1028">
        <f>M164</f>
        <v>0</v>
      </c>
      <c r="N163" s="1028">
        <f>N164</f>
        <v>810</v>
      </c>
      <c r="O163" s="1022">
        <f>O164</f>
        <v>0</v>
      </c>
      <c r="P163" s="1022">
        <v>0</v>
      </c>
      <c r="Q163" s="1022">
        <v>0</v>
      </c>
      <c r="R163" s="1023">
        <f t="shared" ref="R163:R164" si="451">N163+P163+Q163</f>
        <v>810</v>
      </c>
      <c r="S163" s="1098">
        <f>S164</f>
        <v>0</v>
      </c>
      <c r="T163" s="1017">
        <f t="shared" ref="T163:Y164" si="452">T164</f>
        <v>0</v>
      </c>
      <c r="U163" s="1017">
        <f t="shared" si="452"/>
        <v>0</v>
      </c>
      <c r="V163" s="1017">
        <f t="shared" si="452"/>
        <v>0</v>
      </c>
      <c r="W163" s="1100">
        <f>S163+T163+U163+V163</f>
        <v>0</v>
      </c>
      <c r="X163" s="1017">
        <f t="shared" si="452"/>
        <v>0</v>
      </c>
      <c r="Y163" s="1017">
        <f t="shared" si="452"/>
        <v>31739.56</v>
      </c>
      <c r="Z163" s="1100">
        <f t="shared" si="297"/>
        <v>31739.56</v>
      </c>
      <c r="AA163" s="1100">
        <f t="shared" si="388"/>
        <v>31739.56</v>
      </c>
      <c r="AB163" s="1098">
        <f>AB164</f>
        <v>0</v>
      </c>
      <c r="AC163" s="1017">
        <f t="shared" ref="AC163:AH164" si="453">AC164</f>
        <v>0</v>
      </c>
      <c r="AD163" s="1017">
        <f t="shared" si="453"/>
        <v>0</v>
      </c>
      <c r="AE163" s="1017">
        <f t="shared" si="453"/>
        <v>0</v>
      </c>
      <c r="AF163" s="1100">
        <f>AB163+AC163+AD163+AE163</f>
        <v>0</v>
      </c>
      <c r="AG163" s="1017">
        <f t="shared" si="453"/>
        <v>0</v>
      </c>
      <c r="AH163" s="1017">
        <f t="shared" si="453"/>
        <v>0</v>
      </c>
      <c r="AI163" s="1100">
        <f t="shared" ref="AI163:AI166" si="454">SUM(AG163:AH163)</f>
        <v>0</v>
      </c>
      <c r="AJ163" s="1100">
        <f t="shared" ref="AJ163:AJ166" si="455">AF163+AI163</f>
        <v>0</v>
      </c>
      <c r="AK163" s="1098">
        <f>AK164</f>
        <v>0</v>
      </c>
      <c r="AL163" s="1017">
        <f t="shared" ref="AL163:AT164" si="456">AL164</f>
        <v>0</v>
      </c>
      <c r="AM163" s="1017">
        <f t="shared" si="456"/>
        <v>0</v>
      </c>
      <c r="AN163" s="1017">
        <f t="shared" si="456"/>
        <v>0</v>
      </c>
      <c r="AO163" s="1100">
        <f>AK163+AL163+AM163+AN163</f>
        <v>0</v>
      </c>
      <c r="AP163" s="1101"/>
      <c r="AQ163" s="1025">
        <f t="shared" si="456"/>
        <v>14515.26</v>
      </c>
      <c r="AR163" s="1025">
        <f t="shared" si="456"/>
        <v>5597.39</v>
      </c>
      <c r="AS163" s="1025">
        <f t="shared" si="456"/>
        <v>0</v>
      </c>
      <c r="AT163" s="1025">
        <f t="shared" si="456"/>
        <v>0</v>
      </c>
      <c r="AU163" s="1017">
        <f>AU164</f>
        <v>11626.91</v>
      </c>
      <c r="AV163" s="1100">
        <f>SUM(AQ163:AU163)</f>
        <v>31739.56</v>
      </c>
      <c r="AW163" s="1100">
        <f t="shared" si="389"/>
        <v>32549.56</v>
      </c>
      <c r="AX163" s="1022">
        <v>0</v>
      </c>
      <c r="AY163" s="1118">
        <v>0</v>
      </c>
      <c r="AZ163" s="1118">
        <v>0</v>
      </c>
      <c r="BA163" s="1118">
        <v>0</v>
      </c>
      <c r="BB163" s="1017">
        <f>BB164</f>
        <v>0</v>
      </c>
      <c r="BC163" s="1017">
        <f t="shared" ref="BC163" si="457">BC164</f>
        <v>0</v>
      </c>
      <c r="BD163" s="1017">
        <f>BD164</f>
        <v>0</v>
      </c>
      <c r="BE163" s="1105">
        <f>BE164</f>
        <v>0</v>
      </c>
      <c r="BF163" s="1026">
        <v>0</v>
      </c>
      <c r="BG163" s="1022">
        <v>0</v>
      </c>
      <c r="BH163" s="1027">
        <v>0</v>
      </c>
      <c r="BI163" s="1026">
        <f>BI164</f>
        <v>0</v>
      </c>
      <c r="BJ163" s="1022">
        <f t="shared" ref="BJ163:BK164" si="458">BJ164</f>
        <v>0</v>
      </c>
      <c r="BK163" s="1023">
        <f t="shared" si="458"/>
        <v>0</v>
      </c>
      <c r="BL163" s="1026">
        <f>BL164</f>
        <v>91.38000000000001</v>
      </c>
      <c r="BM163" s="1022">
        <f t="shared" ref="BM163" si="459">BM164</f>
        <v>0</v>
      </c>
      <c r="BN163" s="1023">
        <f>SUM(BL163:BM163)</f>
        <v>91.38000000000001</v>
      </c>
      <c r="BO163" s="1026">
        <f>BO164</f>
        <v>0</v>
      </c>
      <c r="BP163" s="1028">
        <f t="shared" ref="BP163" si="460">BP164</f>
        <v>0</v>
      </c>
      <c r="BQ163" s="1023">
        <f>SUM(BO163:BP163)</f>
        <v>0</v>
      </c>
      <c r="BR163" s="1028"/>
      <c r="BS163" s="1013">
        <f t="shared" si="390"/>
        <v>94187.53</v>
      </c>
      <c r="BT163" s="993" t="s">
        <v>419</v>
      </c>
    </row>
    <row r="164" spans="1:72" s="140" customFormat="1" ht="22.5" x14ac:dyDescent="0.2">
      <c r="A164" s="1014">
        <v>721</v>
      </c>
      <c r="B164" s="1119" t="s">
        <v>547</v>
      </c>
      <c r="C164" s="1098">
        <f>C165</f>
        <v>61546.59</v>
      </c>
      <c r="D164" s="1017">
        <f t="shared" si="447"/>
        <v>0</v>
      </c>
      <c r="E164" s="1017">
        <f t="shared" si="447"/>
        <v>0</v>
      </c>
      <c r="F164" s="1017">
        <f t="shared" si="447"/>
        <v>0</v>
      </c>
      <c r="G164" s="1100">
        <f t="shared" ref="G164" si="461">C164+D164+E164+F164</f>
        <v>61546.59</v>
      </c>
      <c r="H164" s="1018">
        <f>H165</f>
        <v>0</v>
      </c>
      <c r="I164" s="1019">
        <f t="shared" si="448"/>
        <v>0</v>
      </c>
      <c r="J164" s="1107">
        <f t="shared" si="449"/>
        <v>0</v>
      </c>
      <c r="K164" s="1019">
        <f t="shared" si="450"/>
        <v>0</v>
      </c>
      <c r="L164" s="1117">
        <f t="shared" ref="L164" si="462">H164+I164+J164+K164</f>
        <v>0</v>
      </c>
      <c r="M164" s="1028">
        <f>M165</f>
        <v>0</v>
      </c>
      <c r="N164" s="1028">
        <f>SUM(N165:N166)</f>
        <v>810</v>
      </c>
      <c r="O164" s="1022">
        <f>O166</f>
        <v>0</v>
      </c>
      <c r="P164" s="1022">
        <v>0</v>
      </c>
      <c r="Q164" s="1022">
        <v>0</v>
      </c>
      <c r="R164" s="1023">
        <f t="shared" si="451"/>
        <v>810</v>
      </c>
      <c r="S164" s="1098">
        <f>S165</f>
        <v>0</v>
      </c>
      <c r="T164" s="1017">
        <f t="shared" si="452"/>
        <v>0</v>
      </c>
      <c r="U164" s="1017">
        <f t="shared" si="452"/>
        <v>0</v>
      </c>
      <c r="V164" s="1017">
        <f t="shared" si="452"/>
        <v>0</v>
      </c>
      <c r="W164" s="1100">
        <f t="shared" ref="W164" si="463">S164+T164+U164+V164</f>
        <v>0</v>
      </c>
      <c r="X164" s="1017">
        <f t="shared" si="452"/>
        <v>0</v>
      </c>
      <c r="Y164" s="1017">
        <f>SUM(Y165:Y166)</f>
        <v>31739.56</v>
      </c>
      <c r="Z164" s="1100">
        <f t="shared" si="297"/>
        <v>31739.56</v>
      </c>
      <c r="AA164" s="1100">
        <f t="shared" si="388"/>
        <v>31739.56</v>
      </c>
      <c r="AB164" s="1098">
        <f>AB165</f>
        <v>0</v>
      </c>
      <c r="AC164" s="1017">
        <f t="shared" si="453"/>
        <v>0</v>
      </c>
      <c r="AD164" s="1017">
        <f t="shared" si="453"/>
        <v>0</v>
      </c>
      <c r="AE164" s="1017">
        <f t="shared" si="453"/>
        <v>0</v>
      </c>
      <c r="AF164" s="1100">
        <f t="shared" ref="AF164" si="464">AB164+AC164+AD164+AE164</f>
        <v>0</v>
      </c>
      <c r="AG164" s="1017">
        <f t="shared" si="453"/>
        <v>0</v>
      </c>
      <c r="AH164" s="1017">
        <f t="shared" si="453"/>
        <v>0</v>
      </c>
      <c r="AI164" s="1100">
        <f t="shared" si="454"/>
        <v>0</v>
      </c>
      <c r="AJ164" s="1100">
        <f t="shared" si="455"/>
        <v>0</v>
      </c>
      <c r="AK164" s="1098">
        <f>AK165</f>
        <v>0</v>
      </c>
      <c r="AL164" s="1017">
        <f t="shared" si="456"/>
        <v>0</v>
      </c>
      <c r="AM164" s="1017">
        <f t="shared" si="456"/>
        <v>0</v>
      </c>
      <c r="AN164" s="1017">
        <f t="shared" si="456"/>
        <v>0</v>
      </c>
      <c r="AO164" s="1100">
        <f t="shared" ref="AO164" si="465">AK164+AL164+AM164+AN164</f>
        <v>0</v>
      </c>
      <c r="AP164" s="1101"/>
      <c r="AQ164" s="1025">
        <f>AQ165+AQ166</f>
        <v>14515.26</v>
      </c>
      <c r="AR164" s="1025">
        <f>AR165+AR166</f>
        <v>5597.39</v>
      </c>
      <c r="AS164" s="1025">
        <f t="shared" si="456"/>
        <v>0</v>
      </c>
      <c r="AT164" s="1025">
        <f t="shared" si="456"/>
        <v>0</v>
      </c>
      <c r="AU164" s="1017">
        <f>SUM(AU165:AU166)</f>
        <v>11626.91</v>
      </c>
      <c r="AV164" s="1100">
        <f>SUM(AQ164:AU164)</f>
        <v>31739.56</v>
      </c>
      <c r="AW164" s="1100">
        <f t="shared" si="389"/>
        <v>32549.56</v>
      </c>
      <c r="AX164" s="1022">
        <v>0</v>
      </c>
      <c r="AY164" s="1118">
        <v>0</v>
      </c>
      <c r="AZ164" s="1118">
        <v>0</v>
      </c>
      <c r="BA164" s="1118">
        <v>0</v>
      </c>
      <c r="BB164" s="1017">
        <f>SUM(BB165:BB166)</f>
        <v>0</v>
      </c>
      <c r="BC164" s="1017">
        <f t="shared" ref="BC164:BE164" si="466">SUM(BC165:BC166)</f>
        <v>0</v>
      </c>
      <c r="BD164" s="1017">
        <f t="shared" si="466"/>
        <v>0</v>
      </c>
      <c r="BE164" s="1027">
        <f t="shared" si="466"/>
        <v>0</v>
      </c>
      <c r="BF164" s="1026">
        <v>0</v>
      </c>
      <c r="BG164" s="1022">
        <v>0</v>
      </c>
      <c r="BH164" s="1027">
        <v>0</v>
      </c>
      <c r="BI164" s="1026">
        <f>BI165</f>
        <v>0</v>
      </c>
      <c r="BJ164" s="1022">
        <f t="shared" si="458"/>
        <v>0</v>
      </c>
      <c r="BK164" s="1023">
        <f t="shared" si="458"/>
        <v>0</v>
      </c>
      <c r="BL164" s="1026">
        <f>SUM(BL165:BL166)</f>
        <v>91.38000000000001</v>
      </c>
      <c r="BM164" s="1022">
        <f t="shared" ref="BM164" si="467">SUM(BM165:BM166)</f>
        <v>0</v>
      </c>
      <c r="BN164" s="1023">
        <f>SUM(BL164:BM164)</f>
        <v>91.38000000000001</v>
      </c>
      <c r="BO164" s="1026">
        <f>SUM(BO165:BO166)</f>
        <v>0</v>
      </c>
      <c r="BP164" s="1028">
        <f t="shared" ref="BP164" si="468">SUM(BP165:BP166)</f>
        <v>0</v>
      </c>
      <c r="BQ164" s="1023">
        <f>SUM(BO164:BP164)</f>
        <v>0</v>
      </c>
      <c r="BR164" s="1028"/>
      <c r="BS164" s="1013">
        <f t="shared" si="390"/>
        <v>94187.53</v>
      </c>
      <c r="BT164" s="284" t="s">
        <v>419</v>
      </c>
    </row>
    <row r="165" spans="1:72" ht="30.75" customHeight="1" x14ac:dyDescent="0.2">
      <c r="A165" s="1050">
        <v>72101</v>
      </c>
      <c r="B165" s="1120" t="s">
        <v>764</v>
      </c>
      <c r="C165" s="1099">
        <f>'F.P y DL'!C540</f>
        <v>61546.59</v>
      </c>
      <c r="D165" s="1082">
        <v>0</v>
      </c>
      <c r="E165" s="1082">
        <v>0</v>
      </c>
      <c r="F165" s="1082">
        <v>0</v>
      </c>
      <c r="G165" s="1102">
        <f>C165+D165+E165+F165</f>
        <v>61546.59</v>
      </c>
      <c r="H165" s="1114">
        <f>'F.P y DL'!C95</f>
        <v>0</v>
      </c>
      <c r="I165" s="1069">
        <v>0</v>
      </c>
      <c r="J165" s="1108">
        <v>0</v>
      </c>
      <c r="K165" s="1069">
        <v>0</v>
      </c>
      <c r="L165" s="1115">
        <f t="shared" si="358"/>
        <v>0</v>
      </c>
      <c r="M165" s="1062">
        <v>0</v>
      </c>
      <c r="N165" s="1062">
        <v>0</v>
      </c>
      <c r="O165" s="1071">
        <v>0</v>
      </c>
      <c r="P165" s="1071">
        <v>0</v>
      </c>
      <c r="Q165" s="1071">
        <v>0</v>
      </c>
      <c r="R165" s="1072">
        <f t="shared" si="421"/>
        <v>0</v>
      </c>
      <c r="S165" s="1099">
        <f>'F.P y DL'!C203</f>
        <v>0</v>
      </c>
      <c r="T165" s="1082">
        <v>0</v>
      </c>
      <c r="U165" s="1082">
        <v>0</v>
      </c>
      <c r="V165" s="1082">
        <v>0</v>
      </c>
      <c r="W165" s="1102">
        <f>S165+T165+U165+V165</f>
        <v>0</v>
      </c>
      <c r="X165" s="1082">
        <v>0</v>
      </c>
      <c r="Y165" s="1082">
        <v>0</v>
      </c>
      <c r="Z165" s="1102">
        <f t="shared" si="297"/>
        <v>0</v>
      </c>
      <c r="AA165" s="1102">
        <f t="shared" si="388"/>
        <v>0</v>
      </c>
      <c r="AB165" s="1099">
        <f>'F.P y DL'!L203</f>
        <v>0</v>
      </c>
      <c r="AC165" s="1082">
        <v>0</v>
      </c>
      <c r="AD165" s="1082">
        <v>0</v>
      </c>
      <c r="AE165" s="1082">
        <v>0</v>
      </c>
      <c r="AF165" s="1102">
        <f>AB165+AC165+AD165+AE165</f>
        <v>0</v>
      </c>
      <c r="AG165" s="1082">
        <v>0</v>
      </c>
      <c r="AH165" s="1082">
        <v>0</v>
      </c>
      <c r="AI165" s="1102">
        <f t="shared" si="454"/>
        <v>0</v>
      </c>
      <c r="AJ165" s="1102">
        <f t="shared" si="455"/>
        <v>0</v>
      </c>
      <c r="AK165" s="1099">
        <f t="shared" ref="AK165:AK166" si="469">S165+AB165</f>
        <v>0</v>
      </c>
      <c r="AL165" s="1082">
        <f t="shared" ref="AL165:AL166" si="470">T165+AC165</f>
        <v>0</v>
      </c>
      <c r="AM165" s="1082">
        <f t="shared" ref="AM165:AM166" si="471">U165+AD165</f>
        <v>0</v>
      </c>
      <c r="AN165" s="1082">
        <f t="shared" ref="AN165:AN166" si="472">V165+AE165</f>
        <v>0</v>
      </c>
      <c r="AO165" s="1102">
        <f>AK165+AL165+AM165+AN165</f>
        <v>0</v>
      </c>
      <c r="AP165" s="1103"/>
      <c r="AQ165" s="1083">
        <v>0</v>
      </c>
      <c r="AR165" s="1084">
        <v>0</v>
      </c>
      <c r="AS165" s="1084">
        <v>0</v>
      </c>
      <c r="AT165" s="1084">
        <v>0</v>
      </c>
      <c r="AU165" s="1082">
        <v>0</v>
      </c>
      <c r="AV165" s="1102">
        <f t="shared" ref="AV165:AV166" si="473">SUM(AQ165:AU165)</f>
        <v>0</v>
      </c>
      <c r="AW165" s="1034">
        <f t="shared" si="389"/>
        <v>0</v>
      </c>
      <c r="AX165" s="1071">
        <v>0</v>
      </c>
      <c r="AY165" s="1116">
        <v>0</v>
      </c>
      <c r="AZ165" s="1116">
        <v>0</v>
      </c>
      <c r="BA165" s="1076">
        <f t="shared" ref="BA165:BA166" si="474">SUM(AX165:AZ165)</f>
        <v>0</v>
      </c>
      <c r="BB165" s="1082">
        <v>0</v>
      </c>
      <c r="BC165" s="1082">
        <v>0</v>
      </c>
      <c r="BD165" s="1082">
        <v>0</v>
      </c>
      <c r="BE165" s="1076">
        <f>BB165+BC165+BD165</f>
        <v>0</v>
      </c>
      <c r="BF165" s="1077">
        <v>0</v>
      </c>
      <c r="BG165" s="1071">
        <v>0</v>
      </c>
      <c r="BH165" s="1076">
        <v>0</v>
      </c>
      <c r="BI165" s="1077">
        <f>'AG3'!S66</f>
        <v>0</v>
      </c>
      <c r="BJ165" s="1071">
        <v>0</v>
      </c>
      <c r="BK165" s="1072">
        <v>0</v>
      </c>
      <c r="BL165" s="1077">
        <v>0</v>
      </c>
      <c r="BM165" s="1071">
        <v>0</v>
      </c>
      <c r="BN165" s="1072">
        <f>SUM(BL165:BM165)</f>
        <v>0</v>
      </c>
      <c r="BO165" s="1077">
        <v>0</v>
      </c>
      <c r="BP165" s="1062">
        <v>0</v>
      </c>
      <c r="BQ165" s="1078">
        <f>+BO165+BP165</f>
        <v>0</v>
      </c>
      <c r="BR165" s="1062"/>
      <c r="BS165" s="1079">
        <f t="shared" si="390"/>
        <v>61546.59</v>
      </c>
      <c r="BT165" s="284" t="s">
        <v>419</v>
      </c>
    </row>
    <row r="166" spans="1:72" ht="23.25" thickBot="1" x14ac:dyDescent="0.25">
      <c r="A166" s="1121">
        <v>72201</v>
      </c>
      <c r="B166" s="1120" t="s">
        <v>765</v>
      </c>
      <c r="C166" s="1099">
        <v>0</v>
      </c>
      <c r="D166" s="1082">
        <v>0</v>
      </c>
      <c r="E166" s="1082">
        <v>0</v>
      </c>
      <c r="F166" s="1082">
        <v>0</v>
      </c>
      <c r="G166" s="1102">
        <f t="shared" ref="G166" si="475">C166+D166+E166+F166</f>
        <v>0</v>
      </c>
      <c r="H166" s="1114">
        <f>'F.P y DL'!C96</f>
        <v>0</v>
      </c>
      <c r="I166" s="1069">
        <v>0</v>
      </c>
      <c r="J166" s="1108">
        <v>0</v>
      </c>
      <c r="K166" s="1069">
        <v>0</v>
      </c>
      <c r="L166" s="1115">
        <f t="shared" ref="L166" si="476">SUM(H166:J166)</f>
        <v>0</v>
      </c>
      <c r="M166" s="1062">
        <f>'AG3'!E68</f>
        <v>0</v>
      </c>
      <c r="N166" s="1062">
        <f>'AG3'!E67</f>
        <v>810</v>
      </c>
      <c r="O166" s="1071">
        <v>0</v>
      </c>
      <c r="P166" s="1071">
        <v>0</v>
      </c>
      <c r="Q166" s="1071">
        <v>0</v>
      </c>
      <c r="R166" s="1072">
        <f>N166+P166+Q166</f>
        <v>810</v>
      </c>
      <c r="S166" s="1099">
        <v>0</v>
      </c>
      <c r="T166" s="1082">
        <v>0</v>
      </c>
      <c r="U166" s="1082">
        <v>0</v>
      </c>
      <c r="V166" s="1082">
        <v>0</v>
      </c>
      <c r="W166" s="1102">
        <f t="shared" ref="W166" si="477">S166+T166+U166+V166</f>
        <v>0</v>
      </c>
      <c r="X166" s="1082">
        <v>0</v>
      </c>
      <c r="Y166" s="1082">
        <f>'AG3'!M67</f>
        <v>31739.56</v>
      </c>
      <c r="Z166" s="1102">
        <f t="shared" ref="Z166:Z172" si="478">SUM(X166:Y166)</f>
        <v>31739.56</v>
      </c>
      <c r="AA166" s="1102">
        <f t="shared" si="388"/>
        <v>31739.56</v>
      </c>
      <c r="AB166" s="1099">
        <v>0</v>
      </c>
      <c r="AC166" s="1082">
        <v>0</v>
      </c>
      <c r="AD166" s="1082">
        <v>0</v>
      </c>
      <c r="AE166" s="1082">
        <v>0</v>
      </c>
      <c r="AF166" s="1102">
        <f t="shared" ref="AF166" si="479">AB166+AC166+AD166+AE166</f>
        <v>0</v>
      </c>
      <c r="AG166" s="1082">
        <v>0</v>
      </c>
      <c r="AH166" s="1082">
        <v>0</v>
      </c>
      <c r="AI166" s="1102">
        <f t="shared" si="454"/>
        <v>0</v>
      </c>
      <c r="AJ166" s="1102">
        <f t="shared" si="455"/>
        <v>0</v>
      </c>
      <c r="AK166" s="1099">
        <f t="shared" si="469"/>
        <v>0</v>
      </c>
      <c r="AL166" s="1082">
        <f t="shared" si="470"/>
        <v>0</v>
      </c>
      <c r="AM166" s="1082">
        <f t="shared" si="471"/>
        <v>0</v>
      </c>
      <c r="AN166" s="1082">
        <f t="shared" si="472"/>
        <v>0</v>
      </c>
      <c r="AO166" s="1102">
        <f t="shared" ref="AO166" si="480">AK166+AL166+AM166+AN166</f>
        <v>0</v>
      </c>
      <c r="AP166" s="1103"/>
      <c r="AQ166" s="1083">
        <f>'AG3'!H67</f>
        <v>14515.26</v>
      </c>
      <c r="AR166" s="1084">
        <f>'AG3'!I67</f>
        <v>5597.39</v>
      </c>
      <c r="AS166" s="1084">
        <v>0</v>
      </c>
      <c r="AT166" s="1084">
        <v>0</v>
      </c>
      <c r="AU166" s="1082">
        <f>'AG3'!L67</f>
        <v>11626.91</v>
      </c>
      <c r="AV166" s="1102">
        <f t="shared" si="473"/>
        <v>31739.56</v>
      </c>
      <c r="AW166" s="1034">
        <f t="shared" si="389"/>
        <v>32549.56</v>
      </c>
      <c r="AX166" s="1071">
        <v>0</v>
      </c>
      <c r="AY166" s="1116">
        <v>0</v>
      </c>
      <c r="AZ166" s="1116">
        <v>0</v>
      </c>
      <c r="BA166" s="1076">
        <f t="shared" si="474"/>
        <v>0</v>
      </c>
      <c r="BB166" s="1082">
        <v>0</v>
      </c>
      <c r="BC166" s="1082">
        <v>0</v>
      </c>
      <c r="BD166" s="1082">
        <v>0</v>
      </c>
      <c r="BE166" s="1076">
        <f t="shared" si="422"/>
        <v>0</v>
      </c>
      <c r="BF166" s="1077">
        <v>0</v>
      </c>
      <c r="BG166" s="1071">
        <v>0</v>
      </c>
      <c r="BH166" s="1076">
        <v>0</v>
      </c>
      <c r="BI166" s="1077">
        <v>0</v>
      </c>
      <c r="BJ166" s="1071">
        <v>0</v>
      </c>
      <c r="BK166" s="1072">
        <v>0</v>
      </c>
      <c r="BL166" s="1077">
        <f>'AG3'!T67</f>
        <v>91.38000000000001</v>
      </c>
      <c r="BM166" s="1071">
        <v>0</v>
      </c>
      <c r="BN166" s="1072">
        <f>SUM(BL166:BM166)</f>
        <v>91.38000000000001</v>
      </c>
      <c r="BO166" s="1077">
        <f>'AG3'!U67</f>
        <v>0</v>
      </c>
      <c r="BP166" s="1062">
        <v>0</v>
      </c>
      <c r="BQ166" s="1078">
        <f>+BO166+BP166</f>
        <v>0</v>
      </c>
      <c r="BR166" s="1062"/>
      <c r="BS166" s="1079">
        <f t="shared" si="390"/>
        <v>32640.940000000002</v>
      </c>
      <c r="BT166" s="284" t="s">
        <v>419</v>
      </c>
    </row>
    <row r="167" spans="1:72" ht="21" hidden="1" customHeight="1" x14ac:dyDescent="0.2">
      <c r="A167" s="1122"/>
      <c r="C167" s="1099"/>
      <c r="D167" s="1082"/>
      <c r="E167" s="1082"/>
      <c r="F167" s="1082"/>
      <c r="G167" s="1100"/>
      <c r="H167" s="1114"/>
      <c r="I167" s="1069"/>
      <c r="J167" s="1108"/>
      <c r="K167" s="1069"/>
      <c r="L167" s="1117"/>
      <c r="M167" s="1062"/>
      <c r="N167" s="1062"/>
      <c r="O167" s="1071"/>
      <c r="P167" s="1071"/>
      <c r="Q167" s="1071"/>
      <c r="R167" s="1072"/>
      <c r="S167" s="1099"/>
      <c r="T167" s="1082"/>
      <c r="U167" s="1082"/>
      <c r="V167" s="1082"/>
      <c r="W167" s="1100"/>
      <c r="X167" s="1082"/>
      <c r="Y167" s="1082"/>
      <c r="Z167" s="1100"/>
      <c r="AA167" s="1100"/>
      <c r="AB167" s="1099"/>
      <c r="AC167" s="1082"/>
      <c r="AD167" s="1082"/>
      <c r="AE167" s="1082"/>
      <c r="AF167" s="1100"/>
      <c r="AG167" s="1082"/>
      <c r="AH167" s="1082"/>
      <c r="AI167" s="1100"/>
      <c r="AJ167" s="1100"/>
      <c r="AK167" s="1099"/>
      <c r="AL167" s="1082"/>
      <c r="AM167" s="1082"/>
      <c r="AN167" s="1082"/>
      <c r="AO167" s="1100"/>
      <c r="AP167" s="1101"/>
      <c r="AQ167" s="1083"/>
      <c r="AR167" s="1084"/>
      <c r="AS167" s="1084"/>
      <c r="AT167" s="1084"/>
      <c r="AU167" s="1082"/>
      <c r="AV167" s="1100"/>
      <c r="AW167" s="1100"/>
      <c r="AX167" s="1071"/>
      <c r="AY167" s="1116"/>
      <c r="AZ167" s="1116"/>
      <c r="BA167" s="1076"/>
      <c r="BB167" s="1082"/>
      <c r="BC167" s="1082"/>
      <c r="BD167" s="1017"/>
      <c r="BE167" s="1076"/>
      <c r="BF167" s="1077"/>
      <c r="BG167" s="1071"/>
      <c r="BH167" s="1076"/>
      <c r="BI167" s="1077"/>
      <c r="BJ167" s="1071"/>
      <c r="BK167" s="1072"/>
      <c r="BL167" s="1077"/>
      <c r="BM167" s="1071"/>
      <c r="BN167" s="1072"/>
      <c r="BO167" s="1077"/>
      <c r="BP167" s="1062"/>
      <c r="BQ167" s="1078"/>
      <c r="BR167" s="1062"/>
      <c r="BS167" s="1013"/>
      <c r="BT167" s="284" t="s">
        <v>419</v>
      </c>
    </row>
    <row r="168" spans="1:72" ht="18" hidden="1" customHeight="1" thickTop="1" thickBot="1" x14ac:dyDescent="0.25">
      <c r="A168" s="1123">
        <v>99</v>
      </c>
      <c r="B168" s="1124"/>
      <c r="C168" s="1099"/>
      <c r="D168" s="1082"/>
      <c r="E168" s="1082"/>
      <c r="F168" s="1082"/>
      <c r="G168" s="1100"/>
      <c r="H168" s="1114"/>
      <c r="I168" s="1069"/>
      <c r="J168" s="1108"/>
      <c r="K168" s="1069"/>
      <c r="L168" s="1117">
        <f t="shared" si="358"/>
        <v>0</v>
      </c>
      <c r="M168" s="1062"/>
      <c r="N168" s="1062"/>
      <c r="O168" s="1071"/>
      <c r="P168" s="1071"/>
      <c r="Q168" s="1071"/>
      <c r="R168" s="1072">
        <f t="shared" si="421"/>
        <v>0</v>
      </c>
      <c r="S168" s="1099"/>
      <c r="T168" s="1082"/>
      <c r="U168" s="1082"/>
      <c r="V168" s="1082"/>
      <c r="W168" s="1100"/>
      <c r="X168" s="1082"/>
      <c r="Y168" s="1082"/>
      <c r="Z168" s="1100">
        <f t="shared" si="478"/>
        <v>0</v>
      </c>
      <c r="AA168" s="1100">
        <f t="shared" si="388"/>
        <v>0</v>
      </c>
      <c r="AB168" s="1099"/>
      <c r="AC168" s="1082"/>
      <c r="AD168" s="1082"/>
      <c r="AE168" s="1082"/>
      <c r="AF168" s="1100"/>
      <c r="AG168" s="1082"/>
      <c r="AH168" s="1082"/>
      <c r="AI168" s="1100">
        <f t="shared" ref="AI168:AI172" si="481">SUM(AG168:AH168)</f>
        <v>0</v>
      </c>
      <c r="AJ168" s="1100">
        <f t="shared" ref="AJ168:AJ172" si="482">AF168+AI168</f>
        <v>0</v>
      </c>
      <c r="AK168" s="1099"/>
      <c r="AL168" s="1082"/>
      <c r="AM168" s="1082"/>
      <c r="AN168" s="1082"/>
      <c r="AO168" s="1100"/>
      <c r="AP168" s="1101"/>
      <c r="AQ168" s="1083"/>
      <c r="AR168" s="1084"/>
      <c r="AS168" s="1084"/>
      <c r="AT168" s="1084"/>
      <c r="AU168" s="1082"/>
      <c r="AV168" s="1100"/>
      <c r="AW168" s="1100">
        <f t="shared" ref="AW168:AW171" si="483">AO168+AV168</f>
        <v>0</v>
      </c>
      <c r="AX168" s="1071"/>
      <c r="AY168" s="1116"/>
      <c r="AZ168" s="1116"/>
      <c r="BA168" s="1076">
        <f>M168+N168+O168+AX168</f>
        <v>0</v>
      </c>
      <c r="BB168" s="1082"/>
      <c r="BC168" s="1082"/>
      <c r="BD168" s="1017"/>
      <c r="BE168" s="1076">
        <f t="shared" si="422"/>
        <v>0</v>
      </c>
      <c r="BF168" s="1077"/>
      <c r="BG168" s="1071"/>
      <c r="BH168" s="1076"/>
      <c r="BI168" s="1077"/>
      <c r="BJ168" s="1071"/>
      <c r="BK168" s="1072"/>
      <c r="BL168" s="1077"/>
      <c r="BM168" s="1071"/>
      <c r="BN168" s="1072"/>
      <c r="BO168" s="1077"/>
      <c r="BP168" s="1062"/>
      <c r="BQ168" s="1072"/>
      <c r="BR168" s="1062"/>
      <c r="BS168" s="1013">
        <v>0</v>
      </c>
      <c r="BT168" s="284" t="s">
        <v>419</v>
      </c>
    </row>
    <row r="169" spans="1:72" ht="18" hidden="1" customHeight="1" thickTop="1" thickBot="1" x14ac:dyDescent="0.25">
      <c r="A169" s="1123">
        <v>991</v>
      </c>
      <c r="B169" s="1125" t="s">
        <v>181</v>
      </c>
      <c r="C169" s="1083"/>
      <c r="D169" s="1082"/>
      <c r="E169" s="1126"/>
      <c r="F169" s="1126"/>
      <c r="G169" s="1090"/>
      <c r="H169" s="1114"/>
      <c r="I169" s="1069"/>
      <c r="J169" s="1108"/>
      <c r="K169" s="1069"/>
      <c r="L169" s="1117">
        <f t="shared" si="358"/>
        <v>0</v>
      </c>
      <c r="M169" s="1062"/>
      <c r="N169" s="1062"/>
      <c r="O169" s="1071"/>
      <c r="P169" s="1071"/>
      <c r="Q169" s="1071"/>
      <c r="R169" s="1072"/>
      <c r="S169" s="1083"/>
      <c r="T169" s="1082"/>
      <c r="U169" s="1126"/>
      <c r="V169" s="1126"/>
      <c r="W169" s="1090"/>
      <c r="X169" s="1126"/>
      <c r="Y169" s="1126"/>
      <c r="Z169" s="1090">
        <f t="shared" si="478"/>
        <v>0</v>
      </c>
      <c r="AA169" s="1090">
        <f t="shared" si="388"/>
        <v>0</v>
      </c>
      <c r="AB169" s="1083"/>
      <c r="AC169" s="1082"/>
      <c r="AD169" s="1126"/>
      <c r="AE169" s="1126"/>
      <c r="AF169" s="1090"/>
      <c r="AG169" s="1126"/>
      <c r="AH169" s="1126"/>
      <c r="AI169" s="1090">
        <f t="shared" si="481"/>
        <v>0</v>
      </c>
      <c r="AJ169" s="1090">
        <f t="shared" si="482"/>
        <v>0</v>
      </c>
      <c r="AK169" s="1083"/>
      <c r="AL169" s="1082"/>
      <c r="AM169" s="1126"/>
      <c r="AN169" s="1126"/>
      <c r="AO169" s="1090"/>
      <c r="AP169" s="1096"/>
      <c r="AQ169" s="1099"/>
      <c r="AR169" s="1103"/>
      <c r="AS169" s="1103"/>
      <c r="AT169" s="1103"/>
      <c r="AU169" s="1126"/>
      <c r="AV169" s="1090"/>
      <c r="AW169" s="1090">
        <f t="shared" si="483"/>
        <v>0</v>
      </c>
      <c r="AX169" s="1071"/>
      <c r="AY169" s="1116"/>
      <c r="AZ169" s="1116"/>
      <c r="BA169" s="1076">
        <f>M169+N169+O169+AX169</f>
        <v>0</v>
      </c>
      <c r="BB169" s="1082"/>
      <c r="BC169" s="1082"/>
      <c r="BD169" s="1017"/>
      <c r="BE169" s="1076"/>
      <c r="BF169" s="1077"/>
      <c r="BG169" s="1071"/>
      <c r="BH169" s="1076"/>
      <c r="BI169" s="1077"/>
      <c r="BJ169" s="1071"/>
      <c r="BK169" s="1072"/>
      <c r="BL169" s="1077"/>
      <c r="BM169" s="1071"/>
      <c r="BN169" s="1072"/>
      <c r="BO169" s="1077"/>
      <c r="BP169" s="1062"/>
      <c r="BQ169" s="1072"/>
      <c r="BR169" s="1062"/>
      <c r="BS169" s="1013">
        <v>0</v>
      </c>
      <c r="BT169" s="284" t="s">
        <v>419</v>
      </c>
    </row>
    <row r="170" spans="1:72" ht="18" hidden="1" customHeight="1" thickTop="1" thickBot="1" x14ac:dyDescent="0.25">
      <c r="A170" s="1127">
        <v>99101</v>
      </c>
      <c r="B170" s="1125" t="s">
        <v>182</v>
      </c>
      <c r="C170" s="1083"/>
      <c r="D170" s="1082"/>
      <c r="E170" s="1126"/>
      <c r="F170" s="1126"/>
      <c r="G170" s="1090"/>
      <c r="H170" s="1114"/>
      <c r="I170" s="1069"/>
      <c r="J170" s="1108"/>
      <c r="K170" s="1069"/>
      <c r="L170" s="1117">
        <f t="shared" si="358"/>
        <v>0</v>
      </c>
      <c r="M170" s="1062"/>
      <c r="N170" s="1062"/>
      <c r="O170" s="1071"/>
      <c r="P170" s="1071"/>
      <c r="Q170" s="1071"/>
      <c r="R170" s="1072"/>
      <c r="S170" s="1083"/>
      <c r="T170" s="1082"/>
      <c r="U170" s="1126"/>
      <c r="V170" s="1126"/>
      <c r="W170" s="1090"/>
      <c r="X170" s="1126"/>
      <c r="Y170" s="1126"/>
      <c r="Z170" s="1090">
        <f t="shared" si="478"/>
        <v>0</v>
      </c>
      <c r="AA170" s="1090">
        <f t="shared" si="388"/>
        <v>0</v>
      </c>
      <c r="AB170" s="1083"/>
      <c r="AC170" s="1082"/>
      <c r="AD170" s="1126"/>
      <c r="AE170" s="1126"/>
      <c r="AF170" s="1090"/>
      <c r="AG170" s="1126"/>
      <c r="AH170" s="1126"/>
      <c r="AI170" s="1090">
        <f t="shared" si="481"/>
        <v>0</v>
      </c>
      <c r="AJ170" s="1090">
        <f t="shared" si="482"/>
        <v>0</v>
      </c>
      <c r="AK170" s="1083"/>
      <c r="AL170" s="1082"/>
      <c r="AM170" s="1126"/>
      <c r="AN170" s="1126"/>
      <c r="AO170" s="1090"/>
      <c r="AP170" s="1096"/>
      <c r="AQ170" s="1099"/>
      <c r="AR170" s="1103"/>
      <c r="AS170" s="1103"/>
      <c r="AT170" s="1103"/>
      <c r="AU170" s="1126"/>
      <c r="AV170" s="1090"/>
      <c r="AW170" s="1090">
        <f t="shared" si="483"/>
        <v>0</v>
      </c>
      <c r="AX170" s="1071"/>
      <c r="AY170" s="1116"/>
      <c r="AZ170" s="1116"/>
      <c r="BA170" s="1076">
        <f>M170+N170+O170+AX170</f>
        <v>0</v>
      </c>
      <c r="BB170" s="1082"/>
      <c r="BC170" s="1082"/>
      <c r="BD170" s="1017"/>
      <c r="BE170" s="1076"/>
      <c r="BF170" s="1077"/>
      <c r="BG170" s="1071"/>
      <c r="BH170" s="1076"/>
      <c r="BI170" s="1077"/>
      <c r="BJ170" s="1071"/>
      <c r="BK170" s="1072"/>
      <c r="BL170" s="1077"/>
      <c r="BM170" s="1071"/>
      <c r="BN170" s="1072"/>
      <c r="BO170" s="1077"/>
      <c r="BP170" s="1062"/>
      <c r="BQ170" s="1072"/>
      <c r="BR170" s="1062"/>
      <c r="BS170" s="1013">
        <v>0</v>
      </c>
      <c r="BT170" s="284" t="s">
        <v>419</v>
      </c>
    </row>
    <row r="171" spans="1:72" ht="18" hidden="1" customHeight="1" thickTop="1" thickBot="1" x14ac:dyDescent="0.25">
      <c r="A171" s="1128"/>
      <c r="B171" s="1124" t="s">
        <v>182</v>
      </c>
      <c r="C171" s="1129"/>
      <c r="D171" s="1130"/>
      <c r="E171" s="1131"/>
      <c r="F171" s="1131"/>
      <c r="G171" s="1132"/>
      <c r="H171" s="1133">
        <v>0</v>
      </c>
      <c r="I171" s="1134">
        <v>0</v>
      </c>
      <c r="J171" s="1135">
        <v>0</v>
      </c>
      <c r="K171" s="1135">
        <v>0</v>
      </c>
      <c r="L171" s="1136">
        <f t="shared" si="358"/>
        <v>0</v>
      </c>
      <c r="M171" s="1137"/>
      <c r="N171" s="1137"/>
      <c r="O171" s="1138"/>
      <c r="P171" s="1138"/>
      <c r="Q171" s="1138"/>
      <c r="R171" s="1139"/>
      <c r="S171" s="1129"/>
      <c r="T171" s="1130"/>
      <c r="U171" s="1131"/>
      <c r="V171" s="1131"/>
      <c r="W171" s="1132"/>
      <c r="X171" s="1131"/>
      <c r="Y171" s="1131"/>
      <c r="Z171" s="1132">
        <f t="shared" si="478"/>
        <v>0</v>
      </c>
      <c r="AA171" s="1132">
        <f t="shared" si="388"/>
        <v>0</v>
      </c>
      <c r="AB171" s="1129"/>
      <c r="AC171" s="1130"/>
      <c r="AD171" s="1131"/>
      <c r="AE171" s="1131"/>
      <c r="AF171" s="1132"/>
      <c r="AG171" s="1131"/>
      <c r="AH171" s="1131"/>
      <c r="AI171" s="1132">
        <f t="shared" si="481"/>
        <v>0</v>
      </c>
      <c r="AJ171" s="1132">
        <f t="shared" si="482"/>
        <v>0</v>
      </c>
      <c r="AK171" s="1129"/>
      <c r="AL171" s="1130"/>
      <c r="AM171" s="1131"/>
      <c r="AN171" s="1131"/>
      <c r="AO171" s="1132"/>
      <c r="AP171" s="1140"/>
      <c r="AQ171" s="1141"/>
      <c r="AR171" s="1142"/>
      <c r="AS171" s="1142"/>
      <c r="AT171" s="1142"/>
      <c r="AU171" s="1131"/>
      <c r="AV171" s="1132"/>
      <c r="AW171" s="1132">
        <f t="shared" si="483"/>
        <v>0</v>
      </c>
      <c r="AX171" s="1138"/>
      <c r="AY171" s="1143"/>
      <c r="AZ171" s="1143"/>
      <c r="BA171" s="1144">
        <f>M171+N171+O171+AX171</f>
        <v>0</v>
      </c>
      <c r="BB171" s="1130"/>
      <c r="BC171" s="1130"/>
      <c r="BD171" s="1145"/>
      <c r="BE171" s="1144"/>
      <c r="BF171" s="1146"/>
      <c r="BG171" s="1138"/>
      <c r="BH171" s="1144"/>
      <c r="BI171" s="1146"/>
      <c r="BJ171" s="1138"/>
      <c r="BK171" s="1139"/>
      <c r="BL171" s="1146"/>
      <c r="BM171" s="1138"/>
      <c r="BN171" s="1139"/>
      <c r="BO171" s="1146"/>
      <c r="BP171" s="1137"/>
      <c r="BQ171" s="1139"/>
      <c r="BR171" s="1137"/>
      <c r="BS171" s="1147">
        <v>0</v>
      </c>
      <c r="BT171" s="284" t="s">
        <v>419</v>
      </c>
    </row>
    <row r="172" spans="1:72" ht="18" customHeight="1" thickTop="1" thickBot="1" x14ac:dyDescent="0.25">
      <c r="A172" s="1197"/>
      <c r="B172" s="1198" t="s">
        <v>25</v>
      </c>
      <c r="C172" s="1199">
        <f>C10+C44+C99+C117+C126+C157+C163</f>
        <v>296433.23</v>
      </c>
      <c r="D172" s="1200">
        <f>D10+D44+D99+D117+D126+D157</f>
        <v>33593</v>
      </c>
      <c r="E172" s="1200">
        <f>E10+E44+E99+E117+E126+E157</f>
        <v>14645</v>
      </c>
      <c r="F172" s="1200">
        <f>F10+F44+F99+F117+F126+F157+F163</f>
        <v>196589.29</v>
      </c>
      <c r="G172" s="1201">
        <f>G10+G44+G99+G117+G126+G157+G163</f>
        <v>541260.52</v>
      </c>
      <c r="H172" s="1202">
        <f>H10+H157+H126+H117+H99+H44+H163</f>
        <v>0</v>
      </c>
      <c r="I172" s="1203">
        <f>I10+I157+I126+I117+I99+I44</f>
        <v>0</v>
      </c>
      <c r="J172" s="1203">
        <f>J10+J157+J126+J117+J99+J44</f>
        <v>0</v>
      </c>
      <c r="K172" s="1203">
        <f>K10+K157+K126+K117+K99+K44</f>
        <v>0</v>
      </c>
      <c r="L172" s="1204">
        <f>L10+L157+L126+L117+L99+L44</f>
        <v>0</v>
      </c>
      <c r="M172" s="1205">
        <f t="shared" ref="M172:S172" si="484">M10+M44+M99+M117+M126+M157+M163</f>
        <v>0</v>
      </c>
      <c r="N172" s="1206">
        <f t="shared" si="484"/>
        <v>5487.16</v>
      </c>
      <c r="O172" s="1206">
        <f t="shared" si="484"/>
        <v>0</v>
      </c>
      <c r="P172" s="1206">
        <f t="shared" si="484"/>
        <v>201.1</v>
      </c>
      <c r="Q172" s="1206">
        <f t="shared" si="484"/>
        <v>0</v>
      </c>
      <c r="R172" s="1207">
        <f t="shared" si="484"/>
        <v>5688.26</v>
      </c>
      <c r="S172" s="1199">
        <f t="shared" si="484"/>
        <v>0</v>
      </c>
      <c r="T172" s="1200">
        <f>T10+T44+T99+T117+T126+T157</f>
        <v>0</v>
      </c>
      <c r="U172" s="1200">
        <f>U10+U44+U99+U117+U126+U157</f>
        <v>0</v>
      </c>
      <c r="V172" s="1200">
        <f>V10+V44+V99+V117+V126+V157+V163</f>
        <v>0</v>
      </c>
      <c r="W172" s="1201">
        <f>W10+W44+W99+W117+W126+W157+W163</f>
        <v>0</v>
      </c>
      <c r="X172" s="1200">
        <f>X10+X44+X99+X117+X126+X157</f>
        <v>0</v>
      </c>
      <c r="Y172" s="1200">
        <f>Y10+Y44+Y99+Y117+Y126+Y157+Y163</f>
        <v>31739.56</v>
      </c>
      <c r="Z172" s="1201">
        <f t="shared" si="478"/>
        <v>31739.56</v>
      </c>
      <c r="AA172" s="1201">
        <f t="shared" si="388"/>
        <v>31739.56</v>
      </c>
      <c r="AB172" s="1199">
        <f>AB10+AB44+AB99+AB117+AB126+AB157+AB163</f>
        <v>190924.62</v>
      </c>
      <c r="AC172" s="1200">
        <f>AC10+AC44+AC99+AC117+AC126+AC157</f>
        <v>30600</v>
      </c>
      <c r="AD172" s="1200">
        <f>AD10+AD44+AD99+AD117+AD126+AD157</f>
        <v>35410</v>
      </c>
      <c r="AE172" s="1200">
        <f>AE10+AE44+AE99+AE117+AE126+AE157+AE163</f>
        <v>122486.416</v>
      </c>
      <c r="AF172" s="1201">
        <f>AF10+AF44+AF99+AF117+AF126+AF157+AF163</f>
        <v>379421.03599999996</v>
      </c>
      <c r="AG172" s="1200">
        <f>AG10+AG44+AG99+AG117+AG126+AG157</f>
        <v>0</v>
      </c>
      <c r="AH172" s="1200">
        <f>AH10+AH44+AH99+AH117+AH126+AH157</f>
        <v>0</v>
      </c>
      <c r="AI172" s="1201">
        <f t="shared" si="481"/>
        <v>0</v>
      </c>
      <c r="AJ172" s="1201">
        <f t="shared" si="482"/>
        <v>379421.03599999996</v>
      </c>
      <c r="AK172" s="1199">
        <f>AK10+AK44+AK99+AK117+AK126+AK157+AK163</f>
        <v>190924.62</v>
      </c>
      <c r="AL172" s="1200">
        <f>AL10+AL44+AL99+AL117+AL126+AL157</f>
        <v>30600</v>
      </c>
      <c r="AM172" s="1200">
        <f>AM10+AM44+AM99+AM117+AM126+AM157</f>
        <v>35410</v>
      </c>
      <c r="AN172" s="1200">
        <f>AN10+AN44+AN99+AN117+AN126+AN157+AN163</f>
        <v>122486.416</v>
      </c>
      <c r="AO172" s="1201">
        <f>AO10+AO44+AO99+AO117+AO126+AO157+AO163</f>
        <v>379421.03599999996</v>
      </c>
      <c r="AP172" s="1208"/>
      <c r="AQ172" s="1199">
        <f>AQ10+AQ44+AQ99+AQ117+AQ126+AQ157+AQ163</f>
        <v>54207.05</v>
      </c>
      <c r="AR172" s="1209">
        <f t="shared" ref="AR172:BA172" si="485">AR10+AR44+AR99+AR117+AR126+AR157+AR163</f>
        <v>35072.39</v>
      </c>
      <c r="AS172" s="1209">
        <f t="shared" si="485"/>
        <v>49199.999999999993</v>
      </c>
      <c r="AT172" s="1209">
        <f t="shared" si="485"/>
        <v>2900</v>
      </c>
      <c r="AU172" s="1200">
        <f t="shared" si="485"/>
        <v>99914.289999999004</v>
      </c>
      <c r="AV172" s="1201">
        <f t="shared" si="485"/>
        <v>241293.72999999899</v>
      </c>
      <c r="AW172" s="1201">
        <f t="shared" si="485"/>
        <v>626403.02599999902</v>
      </c>
      <c r="AX172" s="1206">
        <f t="shared" si="485"/>
        <v>230867.48</v>
      </c>
      <c r="AY172" s="1206">
        <f t="shared" si="485"/>
        <v>120737.44000000002</v>
      </c>
      <c r="AZ172" s="1206">
        <f t="shared" si="485"/>
        <v>0</v>
      </c>
      <c r="BA172" s="1206">
        <f t="shared" si="485"/>
        <v>351604.92000000004</v>
      </c>
      <c r="BB172" s="1200">
        <f>BB10+BB44+BB99+BB117+BB126+BB157</f>
        <v>177.1</v>
      </c>
      <c r="BC172" s="1200">
        <f>BC10+BC44+BC99+BC117+BC126+BC157+BC163</f>
        <v>0</v>
      </c>
      <c r="BD172" s="1200">
        <f>BD10+BD44+BD99+BD117+BD126+BD157+BD163</f>
        <v>0</v>
      </c>
      <c r="BE172" s="1210">
        <f>BE10+BE44+BE99+BE117+BE126+BE157+BE163</f>
        <v>177.1</v>
      </c>
      <c r="BF172" s="1211">
        <f>BF10+BF44+BF99+BF117+BF126+BF157</f>
        <v>0</v>
      </c>
      <c r="BG172" s="1212">
        <f>BG10+BG44+BG99+BG117+BG126+BG157</f>
        <v>0</v>
      </c>
      <c r="BH172" s="1210">
        <f>BH10+BH44+BH99+BH117+BH126+BH157</f>
        <v>0</v>
      </c>
      <c r="BI172" s="1211">
        <f t="shared" ref="BI172:BO172" si="486">BI10+BI44+BI99+BI117+BI126+BI157+BI163</f>
        <v>0</v>
      </c>
      <c r="BJ172" s="1212">
        <f t="shared" si="486"/>
        <v>840</v>
      </c>
      <c r="BK172" s="1210">
        <f t="shared" si="486"/>
        <v>840</v>
      </c>
      <c r="BL172" s="1211">
        <f t="shared" si="486"/>
        <v>91.38000000000001</v>
      </c>
      <c r="BM172" s="1212">
        <f t="shared" si="486"/>
        <v>0</v>
      </c>
      <c r="BN172" s="1210">
        <f t="shared" si="486"/>
        <v>91.38000000000001</v>
      </c>
      <c r="BO172" s="1211">
        <f t="shared" si="486"/>
        <v>47075.040000000001</v>
      </c>
      <c r="BP172" s="1212">
        <f>BP10+BP44+BP99+BP117+BP126+BP157+BP164</f>
        <v>0</v>
      </c>
      <c r="BQ172" s="1210">
        <f>BQ10+BQ44+BQ99+BQ117+BQ126+BQ157+BQ163</f>
        <v>47075.040000000001</v>
      </c>
      <c r="BR172" s="1213">
        <f>BR10+BR44+BR99+BR117+BR126+BR157</f>
        <v>0</v>
      </c>
      <c r="BS172" s="1210">
        <f>BS10+BS44+BS99+BS117+BS126+BS157+BS163</f>
        <v>1567451.9859999991</v>
      </c>
      <c r="BT172" s="284" t="s">
        <v>419</v>
      </c>
    </row>
    <row r="173" spans="1:72" ht="12" thickTop="1" x14ac:dyDescent="0.2">
      <c r="BA173" s="246"/>
    </row>
    <row r="174" spans="1:72" ht="26.25" customHeight="1" x14ac:dyDescent="0.2">
      <c r="G174" s="708">
        <f>'ING. REALES'!O75</f>
        <v>541260.5199999999</v>
      </c>
      <c r="N174" s="246">
        <f>'ING. REALES'!D75</f>
        <v>5487.16</v>
      </c>
      <c r="O174" s="246"/>
      <c r="P174" s="246">
        <f>'ING. REALES'!E75</f>
        <v>201.1</v>
      </c>
      <c r="R174" s="221">
        <f>+N174+P174</f>
        <v>5688.26</v>
      </c>
      <c r="AO174" s="248">
        <f>'ING. REALES'!H75</f>
        <v>379421.04</v>
      </c>
      <c r="AV174" s="221">
        <f>'ING. REALES'!I75</f>
        <v>241293.72999999998</v>
      </c>
      <c r="AW174" s="248">
        <f>'ING. REALES'!D75+'ING. REALES'!E75+'ING. REALES'!H75+'ING. REALES'!I75</f>
        <v>626403.03</v>
      </c>
      <c r="BA174" s="246">
        <f>'ING. REALES'!M75</f>
        <v>351604.92</v>
      </c>
      <c r="BE174" s="221">
        <f>'ING. REALES'!K75</f>
        <v>177.1</v>
      </c>
      <c r="BK174" s="221">
        <f>'ING. REALES'!J75</f>
        <v>840</v>
      </c>
      <c r="BN174" s="221">
        <f>'ING. REALES'!L75</f>
        <v>91.38</v>
      </c>
      <c r="BQ174" s="221">
        <f>'ING. REALES'!Q75</f>
        <v>47075.040000000023</v>
      </c>
      <c r="BS174" s="221">
        <f>'ING. REALES'!R75</f>
        <v>1567451.9900000002</v>
      </c>
    </row>
    <row r="175" spans="1:72" ht="11.25" x14ac:dyDescent="0.2">
      <c r="AF175" s="248">
        <f>'ING. REALES'!H75</f>
        <v>379421.04</v>
      </c>
      <c r="AW175" s="248"/>
      <c r="BA175" s="246"/>
    </row>
    <row r="176" spans="1:72" ht="15" customHeight="1" x14ac:dyDescent="0.2">
      <c r="G176" s="708">
        <f>+G172-G174</f>
        <v>0</v>
      </c>
      <c r="N176" s="708">
        <f>+N172-N174</f>
        <v>0</v>
      </c>
      <c r="P176" s="708">
        <f>+P172-P174</f>
        <v>0</v>
      </c>
      <c r="R176" s="221">
        <f>R172-R174</f>
        <v>0</v>
      </c>
      <c r="AF176" s="248">
        <f>+AF175-AF172</f>
        <v>4.0000000153668225E-3</v>
      </c>
      <c r="AO176" s="248">
        <f>AO174-AO172</f>
        <v>4.0000000153668225E-3</v>
      </c>
      <c r="AV176" s="248">
        <f>AV174-AV172</f>
        <v>9.8953023552894592E-10</v>
      </c>
      <c r="AW176" s="248">
        <f>AW174-AW172</f>
        <v>4.000001004897058E-3</v>
      </c>
      <c r="BA176" s="246">
        <f>BA174-BA172</f>
        <v>0</v>
      </c>
      <c r="BE176" s="221">
        <f>BE174-BE172</f>
        <v>0</v>
      </c>
      <c r="BK176" s="221">
        <f>BK174-BK172</f>
        <v>0</v>
      </c>
      <c r="BN176" s="221">
        <f>BN174-BN172</f>
        <v>0</v>
      </c>
      <c r="BQ176" s="221">
        <f>BQ174-BQ172</f>
        <v>0</v>
      </c>
      <c r="BS176" s="221">
        <f>BS174-BS172</f>
        <v>4.0000011213123798E-3</v>
      </c>
    </row>
    <row r="177" spans="6:73" ht="11.25" x14ac:dyDescent="0.2">
      <c r="K177" s="221"/>
      <c r="L177" s="140"/>
      <c r="AZ177" s="1574"/>
      <c r="BA177" s="1574"/>
      <c r="BO177" s="246"/>
      <c r="BS177" s="1148"/>
    </row>
    <row r="178" spans="6:73" ht="11.25" x14ac:dyDescent="0.2">
      <c r="G178" s="1149"/>
      <c r="K178" s="221"/>
      <c r="L178" s="140"/>
      <c r="M178" s="140"/>
      <c r="O178" s="140"/>
      <c r="P178" s="140"/>
      <c r="Q178" s="1574"/>
      <c r="R178" s="1574"/>
      <c r="AX178" s="140"/>
      <c r="AY178" s="140"/>
      <c r="BB178" s="140"/>
      <c r="BC178" s="1574"/>
      <c r="BD178" s="1574"/>
      <c r="BE178" s="1574"/>
      <c r="BF178" s="525"/>
      <c r="BG178" s="525"/>
      <c r="BH178" s="525"/>
      <c r="BI178" s="525"/>
      <c r="BJ178" s="140"/>
      <c r="BK178" s="140"/>
      <c r="BL178" s="525"/>
      <c r="BM178" s="140"/>
      <c r="BN178" s="140"/>
      <c r="BO178" s="140"/>
      <c r="BP178" s="140"/>
      <c r="BR178" s="140"/>
    </row>
    <row r="179" spans="6:73" ht="11.25" x14ac:dyDescent="0.2">
      <c r="G179" s="1149"/>
      <c r="L179" s="708"/>
      <c r="AZ179" s="873"/>
      <c r="BA179" s="873"/>
      <c r="BS179" s="246"/>
    </row>
    <row r="180" spans="6:73" ht="11.25" hidden="1" x14ac:dyDescent="0.2"/>
    <row r="181" spans="6:73" ht="11.25" hidden="1" x14ac:dyDescent="0.2"/>
    <row r="182" spans="6:73" ht="11.25" hidden="1" x14ac:dyDescent="0.2">
      <c r="F182" s="221"/>
      <c r="G182" s="140"/>
      <c r="V182" s="221"/>
      <c r="W182" s="221"/>
      <c r="X182" s="221"/>
      <c r="Y182" s="221"/>
      <c r="Z182" s="221"/>
      <c r="AA182" s="140"/>
      <c r="AE182" s="221"/>
      <c r="AF182" s="221"/>
      <c r="AG182" s="221"/>
      <c r="AH182" s="221"/>
      <c r="AI182" s="221"/>
      <c r="AJ182" s="140"/>
      <c r="AN182" s="221"/>
      <c r="AO182" s="221"/>
      <c r="AP182" s="221"/>
      <c r="AQ182" s="221"/>
      <c r="AR182" s="221"/>
      <c r="AS182" s="221"/>
      <c r="AT182" s="221"/>
      <c r="AU182" s="221"/>
      <c r="AV182" s="221"/>
      <c r="AW182" s="140"/>
    </row>
    <row r="183" spans="6:73" ht="11.25" hidden="1" x14ac:dyDescent="0.2">
      <c r="F183" s="247" t="s">
        <v>542</v>
      </c>
      <c r="G183" s="708">
        <f>'ING. REALES'!O75</f>
        <v>541260.5199999999</v>
      </c>
      <c r="K183" s="247" t="s">
        <v>542</v>
      </c>
      <c r="L183" s="708">
        <f>'ING. REALES'!C75</f>
        <v>0</v>
      </c>
      <c r="Q183" s="247" t="s">
        <v>542</v>
      </c>
      <c r="R183" s="708">
        <f>'ING. REALES'!E75</f>
        <v>201.1</v>
      </c>
      <c r="V183" s="247" t="s">
        <v>542</v>
      </c>
      <c r="W183" s="247"/>
      <c r="X183" s="247"/>
      <c r="Y183" s="247"/>
      <c r="Z183" s="247"/>
      <c r="AA183" s="708">
        <f>'ING. REALES'!W75</f>
        <v>0</v>
      </c>
      <c r="AE183" s="247" t="s">
        <v>542</v>
      </c>
      <c r="AF183" s="247"/>
      <c r="AG183" s="247"/>
      <c r="AH183" s="247"/>
      <c r="AI183" s="247"/>
      <c r="AJ183" s="708">
        <f>'ING. REALES'!AF75</f>
        <v>0</v>
      </c>
      <c r="AQ183" s="247"/>
      <c r="AR183" s="247"/>
      <c r="AS183" s="247"/>
      <c r="AT183" s="247"/>
      <c r="AU183" s="247"/>
      <c r="AV183" s="247" t="s">
        <v>542</v>
      </c>
      <c r="AW183" s="709">
        <f>'ING. REALES'!H75</f>
        <v>379421.04</v>
      </c>
      <c r="AZ183" s="247" t="s">
        <v>542</v>
      </c>
      <c r="BA183" s="708">
        <f>'ING. REALES'!D75</f>
        <v>5487.16</v>
      </c>
      <c r="BD183" s="247" t="s">
        <v>542</v>
      </c>
      <c r="BE183" s="708">
        <f>'ING. REALES'!K75</f>
        <v>177.1</v>
      </c>
      <c r="BF183" s="248"/>
      <c r="BG183" s="248"/>
      <c r="BH183" s="248"/>
      <c r="BI183" s="248"/>
      <c r="BJ183" s="247" t="s">
        <v>542</v>
      </c>
      <c r="BK183" s="708">
        <f>'ING. REALES'!J75</f>
        <v>840</v>
      </c>
      <c r="BL183" s="248"/>
      <c r="BM183" s="247" t="s">
        <v>542</v>
      </c>
      <c r="BN183" s="708">
        <f>'ING. REALES'!L75</f>
        <v>91.38</v>
      </c>
      <c r="BP183" s="247" t="s">
        <v>542</v>
      </c>
      <c r="BQ183" s="708">
        <f>'ING. REALES'!Q75</f>
        <v>47075.040000000023</v>
      </c>
      <c r="BS183" s="781">
        <f>'ING. REALES'!R75</f>
        <v>1567451.9900000002</v>
      </c>
      <c r="BU183" s="782" t="s">
        <v>542</v>
      </c>
    </row>
    <row r="184" spans="6:73" ht="11.25" hidden="1" x14ac:dyDescent="0.2">
      <c r="F184" s="261" t="s">
        <v>569</v>
      </c>
      <c r="G184" s="708">
        <f>G183-G172</f>
        <v>0</v>
      </c>
      <c r="K184" s="261" t="s">
        <v>569</v>
      </c>
      <c r="L184" s="708">
        <f>L183-L172</f>
        <v>0</v>
      </c>
      <c r="Q184" s="261" t="s">
        <v>569</v>
      </c>
      <c r="R184" s="708">
        <f>R183-R172</f>
        <v>-5487.16</v>
      </c>
      <c r="V184" s="261" t="s">
        <v>569</v>
      </c>
      <c r="W184" s="261"/>
      <c r="X184" s="261"/>
      <c r="Y184" s="261"/>
      <c r="Z184" s="261"/>
      <c r="AA184" s="708">
        <f>AA183-AA172</f>
        <v>-31739.56</v>
      </c>
      <c r="AE184" s="261" t="s">
        <v>569</v>
      </c>
      <c r="AF184" s="261"/>
      <c r="AG184" s="261"/>
      <c r="AH184" s="261"/>
      <c r="AI184" s="261"/>
      <c r="AJ184" s="708">
        <f>AJ183-AJ172</f>
        <v>-379421.03599999996</v>
      </c>
      <c r="AQ184" s="261"/>
      <c r="AR184" s="261"/>
      <c r="AS184" s="261"/>
      <c r="AT184" s="261"/>
      <c r="AU184" s="261"/>
      <c r="AV184" s="261" t="s">
        <v>569</v>
      </c>
      <c r="AW184" s="780">
        <f>AW183-AW172</f>
        <v>-246981.98599999904</v>
      </c>
      <c r="AZ184" s="261" t="s">
        <v>569</v>
      </c>
      <c r="BA184" s="708">
        <f>BA183-BA172</f>
        <v>-346117.76000000007</v>
      </c>
      <c r="BD184" s="261" t="s">
        <v>569</v>
      </c>
      <c r="BE184" s="708">
        <f>BE183-BE172</f>
        <v>0</v>
      </c>
      <c r="BF184" s="248"/>
      <c r="BG184" s="248"/>
      <c r="BH184" s="248"/>
      <c r="BI184" s="248"/>
      <c r="BJ184" s="261" t="s">
        <v>569</v>
      </c>
      <c r="BK184" s="708">
        <f>BK183-BK172</f>
        <v>0</v>
      </c>
      <c r="BL184" s="248"/>
      <c r="BM184" s="261" t="s">
        <v>569</v>
      </c>
      <c r="BN184" s="708">
        <f>BN183-BN172</f>
        <v>0</v>
      </c>
      <c r="BP184" s="261" t="s">
        <v>569</v>
      </c>
      <c r="BQ184" s="708">
        <f>BQ183-BQ172</f>
        <v>0</v>
      </c>
      <c r="BS184" s="781">
        <f>BS183-BS172</f>
        <v>4.0000011213123798E-3</v>
      </c>
      <c r="BU184" s="782" t="s">
        <v>569</v>
      </c>
    </row>
    <row r="185" spans="6:73" ht="11.25" hidden="1" x14ac:dyDescent="0.2">
      <c r="Q185" s="247"/>
      <c r="R185" s="248"/>
      <c r="BC185" s="247"/>
      <c r="BD185" s="247"/>
      <c r="BE185" s="248"/>
      <c r="BF185" s="248"/>
      <c r="BG185" s="248"/>
      <c r="BH185" s="248"/>
      <c r="BI185" s="248"/>
      <c r="BL185" s="248"/>
    </row>
    <row r="186" spans="6:73" ht="11.25" hidden="1" x14ac:dyDescent="0.2"/>
    <row r="187" spans="6:73" ht="11.25" hidden="1" x14ac:dyDescent="0.2">
      <c r="R187" s="221">
        <f>R184+BA184</f>
        <v>-351604.92000000004</v>
      </c>
      <c r="AJ187" s="708">
        <f>'AG1'!E152</f>
        <v>0</v>
      </c>
      <c r="AW187" s="708">
        <f>'AG1'!O152</f>
        <v>0</v>
      </c>
    </row>
    <row r="188" spans="6:73" ht="11.25" hidden="1" x14ac:dyDescent="0.2">
      <c r="AJ188" s="708">
        <f>AJ172-AJ187</f>
        <v>379421.03599999996</v>
      </c>
      <c r="AW188" s="708">
        <f>AW172-AW187</f>
        <v>626403.02599999902</v>
      </c>
    </row>
    <row r="189" spans="6:73" ht="11.25" hidden="1" x14ac:dyDescent="0.2"/>
    <row r="190" spans="6:73" ht="11.25" x14ac:dyDescent="0.2"/>
    <row r="191" spans="6:73" ht="11.25" x14ac:dyDescent="0.2"/>
    <row r="192" spans="6:73" ht="11.25" x14ac:dyDescent="0.2"/>
  </sheetData>
  <autoFilter ref="A9:BT172" xr:uid="{00000000-0001-0000-0B00-000000000000}"/>
  <mergeCells count="60">
    <mergeCell ref="BC178:BE178"/>
    <mergeCell ref="Q178:R178"/>
    <mergeCell ref="AZ177:BA177"/>
    <mergeCell ref="BA5:BA8"/>
    <mergeCell ref="BB4:BE4"/>
    <mergeCell ref="S7:S8"/>
    <mergeCell ref="T7:T8"/>
    <mergeCell ref="U7:U8"/>
    <mergeCell ref="V7:V8"/>
    <mergeCell ref="R4:R8"/>
    <mergeCell ref="BQ4:BQ8"/>
    <mergeCell ref="BS3:BS8"/>
    <mergeCell ref="BO3:BQ3"/>
    <mergeCell ref="BR3:BR4"/>
    <mergeCell ref="BP4:BP5"/>
    <mergeCell ref="BO4:BO5"/>
    <mergeCell ref="BI3:BK4"/>
    <mergeCell ref="BI5:BK6"/>
    <mergeCell ref="BK7:BK8"/>
    <mergeCell ref="K7:K8"/>
    <mergeCell ref="D7:D8"/>
    <mergeCell ref="H6:L6"/>
    <mergeCell ref="H7:H8"/>
    <mergeCell ref="G7:G8"/>
    <mergeCell ref="W7:W8"/>
    <mergeCell ref="AA5:AA8"/>
    <mergeCell ref="AB7:AB8"/>
    <mergeCell ref="AC7:AC8"/>
    <mergeCell ref="AD7:AD8"/>
    <mergeCell ref="AE7:AE8"/>
    <mergeCell ref="AJ5:AJ8"/>
    <mergeCell ref="M6:N6"/>
    <mergeCell ref="BF3:BH3"/>
    <mergeCell ref="AF7:AF8"/>
    <mergeCell ref="AW5:AW8"/>
    <mergeCell ref="AK7:AK8"/>
    <mergeCell ref="AL7:AL8"/>
    <mergeCell ref="AM7:AM8"/>
    <mergeCell ref="AN7:AN8"/>
    <mergeCell ref="AO7:AO8"/>
    <mergeCell ref="AV7:AV8"/>
    <mergeCell ref="BF4:BH4"/>
    <mergeCell ref="BH5:BH8"/>
    <mergeCell ref="BE5:BE8"/>
    <mergeCell ref="BL3:BN4"/>
    <mergeCell ref="BN7:BN8"/>
    <mergeCell ref="BL5:BN6"/>
    <mergeCell ref="A3:A8"/>
    <mergeCell ref="B3:B8"/>
    <mergeCell ref="H5:L5"/>
    <mergeCell ref="E7:E8"/>
    <mergeCell ref="M5:N5"/>
    <mergeCell ref="H4:L4"/>
    <mergeCell ref="F7:F8"/>
    <mergeCell ref="C7:C8"/>
    <mergeCell ref="C3:G4"/>
    <mergeCell ref="L7:L8"/>
    <mergeCell ref="I7:I8"/>
    <mergeCell ref="J7:J8"/>
    <mergeCell ref="BB3:BE3"/>
  </mergeCells>
  <phoneticPr fontId="0" type="noConversion"/>
  <pageMargins left="0.98425196850393704" right="0" top="0.43307086614173229" bottom="0.31496062992125984" header="0" footer="0"/>
  <pageSetup scale="5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indexed="48"/>
  </sheetPr>
  <dimension ref="A1:G178"/>
  <sheetViews>
    <sheetView showGridLines="0" zoomScaleNormal="100" workbookViewId="0">
      <selection activeCell="B1" sqref="B1"/>
    </sheetView>
  </sheetViews>
  <sheetFormatPr baseColWidth="10" defaultRowHeight="18" customHeight="1" x14ac:dyDescent="0.2"/>
  <cols>
    <col min="1" max="1" width="7.5703125" style="13" customWidth="1"/>
    <col min="2" max="2" width="58.140625" style="12" customWidth="1"/>
    <col min="3" max="5" width="15.42578125" style="164" customWidth="1"/>
    <col min="6" max="6" width="11.5703125" style="12" bestFit="1" customWidth="1"/>
    <col min="7" max="7" width="15" style="526" customWidth="1"/>
    <col min="8" max="16384" width="11.42578125" style="12"/>
  </cols>
  <sheetData>
    <row r="1" spans="1:7" ht="18" customHeight="1" x14ac:dyDescent="0.25">
      <c r="A1" s="813" t="s">
        <v>316</v>
      </c>
      <c r="B1" s="813"/>
      <c r="C1" s="813"/>
      <c r="D1" s="813"/>
      <c r="E1" s="813"/>
    </row>
    <row r="2" spans="1:7" ht="18" customHeight="1" x14ac:dyDescent="0.25">
      <c r="A2" s="813" t="s">
        <v>238</v>
      </c>
      <c r="B2" s="813"/>
      <c r="C2" s="813"/>
      <c r="D2" s="813"/>
      <c r="E2" s="813"/>
    </row>
    <row r="3" spans="1:7" ht="18" customHeight="1" x14ac:dyDescent="0.25">
      <c r="A3" s="813" t="s">
        <v>425</v>
      </c>
      <c r="B3" s="813"/>
      <c r="C3" s="813"/>
      <c r="D3" s="813"/>
      <c r="E3" s="813"/>
    </row>
    <row r="4" spans="1:7" ht="18" customHeight="1" x14ac:dyDescent="0.25">
      <c r="A4" s="813" t="s">
        <v>782</v>
      </c>
      <c r="B4" s="813"/>
      <c r="C4" s="813"/>
      <c r="D4" s="813"/>
      <c r="E4" s="813"/>
    </row>
    <row r="5" spans="1:7" ht="18" customHeight="1" x14ac:dyDescent="0.25">
      <c r="A5" s="813" t="s">
        <v>901</v>
      </c>
      <c r="B5" s="813"/>
      <c r="C5" s="813"/>
      <c r="D5" s="813"/>
      <c r="E5" s="813"/>
    </row>
    <row r="6" spans="1:7" ht="18" customHeight="1" thickBot="1" x14ac:dyDescent="0.3">
      <c r="A6" s="130"/>
      <c r="B6" s="130"/>
      <c r="C6" s="166"/>
      <c r="D6" s="166"/>
      <c r="E6" s="166"/>
    </row>
    <row r="7" spans="1:7" ht="18" customHeight="1" thickBot="1" x14ac:dyDescent="0.25">
      <c r="A7" s="25" t="s">
        <v>325</v>
      </c>
      <c r="B7" s="24" t="s">
        <v>239</v>
      </c>
      <c r="C7" s="167" t="s">
        <v>240</v>
      </c>
      <c r="D7" s="167" t="s">
        <v>241</v>
      </c>
      <c r="E7" s="167" t="s">
        <v>25</v>
      </c>
    </row>
    <row r="8" spans="1:7" s="5" customFormat="1" ht="18" customHeight="1" x14ac:dyDescent="0.25">
      <c r="A8" s="143">
        <v>51</v>
      </c>
      <c r="B8" s="148" t="s">
        <v>120</v>
      </c>
      <c r="C8" s="543"/>
      <c r="D8" s="168"/>
      <c r="E8" s="85">
        <f>SUM(D9:D40)</f>
        <v>534168.50599999994</v>
      </c>
      <c r="G8" s="218"/>
    </row>
    <row r="9" spans="1:7" s="5" customFormat="1" ht="18" customHeight="1" x14ac:dyDescent="0.2">
      <c r="A9" s="143">
        <v>511</v>
      </c>
      <c r="B9" s="149" t="s">
        <v>121</v>
      </c>
      <c r="C9" s="544"/>
      <c r="D9" s="81">
        <f>SUM(C10:C15)</f>
        <v>427915.70599999995</v>
      </c>
      <c r="E9" s="85"/>
    </row>
    <row r="10" spans="1:7" ht="18" customHeight="1" x14ac:dyDescent="0.2">
      <c r="A10" s="144" t="s">
        <v>122</v>
      </c>
      <c r="B10" s="150" t="s">
        <v>123</v>
      </c>
      <c r="C10" s="545">
        <f>CONSOLIDADO!BS12</f>
        <v>309471.48</v>
      </c>
      <c r="D10" s="88"/>
      <c r="E10" s="169"/>
    </row>
    <row r="11" spans="1:7" ht="12.75" hidden="1" customHeight="1" x14ac:dyDescent="0.2">
      <c r="A11" s="226" t="s">
        <v>549</v>
      </c>
      <c r="B11" s="227" t="s">
        <v>124</v>
      </c>
      <c r="C11" s="545"/>
      <c r="D11" s="88"/>
      <c r="E11" s="169"/>
    </row>
    <row r="12" spans="1:7" ht="18" customHeight="1" x14ac:dyDescent="0.2">
      <c r="A12" s="145">
        <v>51103</v>
      </c>
      <c r="B12" s="150" t="s">
        <v>125</v>
      </c>
      <c r="C12" s="545">
        <f>CONSOLIDADO!BS14</f>
        <v>25789.29</v>
      </c>
      <c r="D12" s="81"/>
      <c r="E12" s="169"/>
    </row>
    <row r="13" spans="1:7" s="5" customFormat="1" ht="12.75" hidden="1" customHeight="1" x14ac:dyDescent="0.2">
      <c r="A13" s="145">
        <v>51104</v>
      </c>
      <c r="B13" s="150" t="s">
        <v>126</v>
      </c>
      <c r="C13" s="545"/>
      <c r="D13" s="81"/>
      <c r="E13" s="85"/>
    </row>
    <row r="14" spans="1:7" ht="18" customHeight="1" x14ac:dyDescent="0.2">
      <c r="A14" s="144" t="s">
        <v>127</v>
      </c>
      <c r="B14" s="150" t="s">
        <v>128</v>
      </c>
      <c r="C14" s="545">
        <f>CONSOLIDADO!BS16</f>
        <v>84000</v>
      </c>
      <c r="D14" s="88"/>
      <c r="E14" s="169"/>
    </row>
    <row r="15" spans="1:7" s="5" customFormat="1" ht="12.75" x14ac:dyDescent="0.2">
      <c r="A15" s="144" t="s">
        <v>129</v>
      </c>
      <c r="B15" s="150" t="s">
        <v>130</v>
      </c>
      <c r="C15" s="545">
        <f>CONSOLIDADO!BS17</f>
        <v>8654.9359999999997</v>
      </c>
      <c r="D15" s="81"/>
      <c r="E15" s="85"/>
      <c r="G15" s="526"/>
    </row>
    <row r="16" spans="1:7" ht="12.75" x14ac:dyDescent="0.2">
      <c r="A16" s="146" t="s">
        <v>131</v>
      </c>
      <c r="B16" s="151" t="s">
        <v>132</v>
      </c>
      <c r="C16" s="545"/>
      <c r="D16" s="81">
        <f>SUM(C17:C20)</f>
        <v>13965</v>
      </c>
      <c r="E16" s="169"/>
    </row>
    <row r="17" spans="1:7" ht="12.75" customHeight="1" x14ac:dyDescent="0.2">
      <c r="A17" s="144" t="s">
        <v>133</v>
      </c>
      <c r="B17" s="150" t="s">
        <v>123</v>
      </c>
      <c r="C17" s="545">
        <f>CONSOLIDADO!BS19</f>
        <v>13965</v>
      </c>
      <c r="D17" s="88"/>
      <c r="E17" s="169"/>
    </row>
    <row r="18" spans="1:7" ht="18" customHeight="1" x14ac:dyDescent="0.2">
      <c r="A18" s="145">
        <v>51202</v>
      </c>
      <c r="B18" s="152" t="s">
        <v>134</v>
      </c>
      <c r="C18" s="545">
        <f>CONSOLIDADO!BS20</f>
        <v>0</v>
      </c>
      <c r="D18" s="81"/>
      <c r="E18" s="169"/>
    </row>
    <row r="19" spans="1:7" s="5" customFormat="1" ht="12.75" hidden="1" customHeight="1" x14ac:dyDescent="0.2">
      <c r="A19" s="144" t="s">
        <v>135</v>
      </c>
      <c r="B19" s="150" t="s">
        <v>125</v>
      </c>
      <c r="C19" s="545"/>
      <c r="D19" s="81"/>
      <c r="E19" s="85"/>
      <c r="G19" s="218"/>
    </row>
    <row r="20" spans="1:7" s="5" customFormat="1" ht="12.75" hidden="1" customHeight="1" x14ac:dyDescent="0.2">
      <c r="A20" s="144" t="s">
        <v>136</v>
      </c>
      <c r="B20" s="150" t="s">
        <v>130</v>
      </c>
      <c r="C20" s="545"/>
      <c r="D20" s="81"/>
      <c r="E20" s="85"/>
      <c r="G20" s="218"/>
    </row>
    <row r="21" spans="1:7" ht="18" customHeight="1" x14ac:dyDescent="0.2">
      <c r="A21" s="146" t="s">
        <v>137</v>
      </c>
      <c r="B21" s="151" t="s">
        <v>138</v>
      </c>
      <c r="C21" s="545"/>
      <c r="D21" s="81">
        <f>SUM(C22:C23)</f>
        <v>2000</v>
      </c>
      <c r="E21" s="169"/>
    </row>
    <row r="22" spans="1:7" ht="18" customHeight="1" x14ac:dyDescent="0.2">
      <c r="A22" s="145">
        <v>51301</v>
      </c>
      <c r="B22" s="152" t="s">
        <v>139</v>
      </c>
      <c r="C22" s="545">
        <f>+CONSOLIDADO!BS24</f>
        <v>2000</v>
      </c>
      <c r="D22" s="81"/>
      <c r="E22" s="169"/>
    </row>
    <row r="23" spans="1:7" s="5" customFormat="1" ht="12.75" hidden="1" customHeight="1" x14ac:dyDescent="0.2">
      <c r="A23" s="145">
        <v>51302</v>
      </c>
      <c r="B23" s="152" t="s">
        <v>140</v>
      </c>
      <c r="C23" s="545"/>
      <c r="D23" s="81"/>
      <c r="E23" s="85"/>
      <c r="G23" s="218"/>
    </row>
    <row r="24" spans="1:7" ht="12.75" x14ac:dyDescent="0.2">
      <c r="A24" s="143">
        <v>514</v>
      </c>
      <c r="B24" s="153" t="s">
        <v>141</v>
      </c>
      <c r="C24" s="545"/>
      <c r="D24" s="81">
        <f>SUM(C25:C26)</f>
        <v>33898.200000000004</v>
      </c>
      <c r="E24" s="169"/>
    </row>
    <row r="25" spans="1:7" ht="18" customHeight="1" x14ac:dyDescent="0.2">
      <c r="A25" s="144" t="s">
        <v>142</v>
      </c>
      <c r="B25" s="150" t="s">
        <v>143</v>
      </c>
      <c r="C25" s="545">
        <f>CONSOLIDADO!BS27</f>
        <v>33898.200000000004</v>
      </c>
      <c r="D25" s="81"/>
      <c r="E25" s="169"/>
    </row>
    <row r="26" spans="1:7" ht="12.75" hidden="1" customHeight="1" x14ac:dyDescent="0.2">
      <c r="A26" s="144" t="s">
        <v>144</v>
      </c>
      <c r="B26" s="150" t="s">
        <v>145</v>
      </c>
      <c r="C26" s="545"/>
      <c r="D26" s="88"/>
      <c r="E26" s="169"/>
    </row>
    <row r="27" spans="1:7" s="5" customFormat="1" ht="12.75" x14ac:dyDescent="0.2">
      <c r="A27" s="143">
        <v>515</v>
      </c>
      <c r="B27" s="153" t="s">
        <v>146</v>
      </c>
      <c r="C27" s="545"/>
      <c r="D27" s="81">
        <f>SUM(C28:C29)</f>
        <v>32389.600000000002</v>
      </c>
      <c r="E27" s="85"/>
      <c r="G27" s="218"/>
    </row>
    <row r="28" spans="1:7" s="5" customFormat="1" ht="18" customHeight="1" x14ac:dyDescent="0.2">
      <c r="A28" s="144" t="s">
        <v>147</v>
      </c>
      <c r="B28" s="150" t="s">
        <v>143</v>
      </c>
      <c r="C28" s="545">
        <f>CONSOLIDADO!BS30</f>
        <v>32389.600000000002</v>
      </c>
      <c r="D28" s="81"/>
      <c r="E28" s="85"/>
      <c r="G28" s="218"/>
    </row>
    <row r="29" spans="1:7" ht="12.75" hidden="1" customHeight="1" x14ac:dyDescent="0.2">
      <c r="A29" s="144" t="s">
        <v>148</v>
      </c>
      <c r="B29" s="150" t="s">
        <v>145</v>
      </c>
      <c r="C29" s="545"/>
      <c r="D29" s="81"/>
      <c r="E29" s="169"/>
    </row>
    <row r="30" spans="1:7" s="5" customFormat="1" ht="18" customHeight="1" x14ac:dyDescent="0.2">
      <c r="A30" s="146" t="s">
        <v>149</v>
      </c>
      <c r="B30" s="151" t="s">
        <v>150</v>
      </c>
      <c r="C30" s="545"/>
      <c r="D30" s="81">
        <f>SUM(C31:C32)</f>
        <v>12000</v>
      </c>
      <c r="E30" s="85"/>
      <c r="G30" s="218"/>
    </row>
    <row r="31" spans="1:7" s="5" customFormat="1" ht="18" customHeight="1" x14ac:dyDescent="0.2">
      <c r="A31" s="145">
        <v>51601</v>
      </c>
      <c r="B31" s="152" t="s">
        <v>151</v>
      </c>
      <c r="C31" s="545">
        <f>CONSOLIDADO!BS33</f>
        <v>12000</v>
      </c>
      <c r="D31" s="81"/>
      <c r="E31" s="85"/>
      <c r="G31" s="218"/>
    </row>
    <row r="32" spans="1:7" ht="18" customHeight="1" x14ac:dyDescent="0.2">
      <c r="A32" s="145">
        <v>51602</v>
      </c>
      <c r="B32" s="152" t="s">
        <v>152</v>
      </c>
      <c r="C32" s="545"/>
      <c r="D32" s="88"/>
      <c r="E32" s="169"/>
    </row>
    <row r="33" spans="1:7" ht="18" customHeight="1" x14ac:dyDescent="0.2">
      <c r="A33" s="143">
        <v>517</v>
      </c>
      <c r="B33" s="154" t="s">
        <v>153</v>
      </c>
      <c r="C33" s="545"/>
      <c r="D33" s="81">
        <f>SUM(C34:C35)</f>
        <v>0</v>
      </c>
      <c r="E33" s="169"/>
    </row>
    <row r="34" spans="1:7" s="5" customFormat="1" ht="18" customHeight="1" x14ac:dyDescent="0.2">
      <c r="A34" s="145">
        <v>51701</v>
      </c>
      <c r="B34" s="152" t="s">
        <v>154</v>
      </c>
      <c r="C34" s="545">
        <f>CONSOLIDADO!BS36</f>
        <v>0</v>
      </c>
      <c r="D34" s="81"/>
      <c r="E34" s="85"/>
      <c r="G34" s="218"/>
    </row>
    <row r="35" spans="1:7" s="5" customFormat="1" ht="12.75" hidden="1" customHeight="1" x14ac:dyDescent="0.2">
      <c r="A35" s="145">
        <v>51702</v>
      </c>
      <c r="B35" s="152" t="s">
        <v>155</v>
      </c>
      <c r="C35" s="545"/>
      <c r="D35" s="81"/>
      <c r="E35" s="85"/>
      <c r="G35" s="218"/>
    </row>
    <row r="36" spans="1:7" ht="12.75" hidden="1" customHeight="1" x14ac:dyDescent="0.2">
      <c r="A36" s="143">
        <v>518</v>
      </c>
      <c r="B36" s="154" t="s">
        <v>156</v>
      </c>
      <c r="C36" s="545"/>
      <c r="D36" s="81">
        <f>SUM(C37)</f>
        <v>0</v>
      </c>
      <c r="E36" s="169"/>
    </row>
    <row r="37" spans="1:7" ht="12.75" hidden="1" customHeight="1" x14ac:dyDescent="0.2">
      <c r="A37" s="145">
        <v>51803</v>
      </c>
      <c r="B37" s="152" t="s">
        <v>157</v>
      </c>
      <c r="C37" s="545"/>
      <c r="D37" s="88"/>
      <c r="E37" s="169"/>
    </row>
    <row r="38" spans="1:7" s="5" customFormat="1" ht="18" customHeight="1" x14ac:dyDescent="0.2">
      <c r="A38" s="143">
        <v>519</v>
      </c>
      <c r="B38" s="154" t="s">
        <v>158</v>
      </c>
      <c r="C38" s="545"/>
      <c r="D38" s="81">
        <f>SUM(C39:C40)</f>
        <v>12000</v>
      </c>
      <c r="E38" s="85"/>
      <c r="G38" s="218"/>
    </row>
    <row r="39" spans="1:7" s="5" customFormat="1" ht="18" customHeight="1" x14ac:dyDescent="0.2">
      <c r="A39" s="145">
        <v>51901</v>
      </c>
      <c r="B39" s="152" t="s">
        <v>159</v>
      </c>
      <c r="C39" s="545">
        <f>CONSOLIDADO!BS41</f>
        <v>12000</v>
      </c>
      <c r="D39" s="81"/>
      <c r="E39" s="85"/>
      <c r="G39" s="218"/>
    </row>
    <row r="40" spans="1:7" ht="18" hidden="1" customHeight="1" x14ac:dyDescent="0.2">
      <c r="A40" s="145">
        <v>51999</v>
      </c>
      <c r="B40" s="152" t="s">
        <v>158</v>
      </c>
      <c r="C40" s="545">
        <f>CONSOLIDADO!BS42</f>
        <v>0</v>
      </c>
      <c r="D40" s="88"/>
      <c r="E40" s="169"/>
    </row>
    <row r="41" spans="1:7" s="5" customFormat="1" ht="7.5" customHeight="1" x14ac:dyDescent="0.2">
      <c r="A41" s="145"/>
      <c r="B41" s="152"/>
      <c r="C41" s="545"/>
      <c r="D41" s="81"/>
      <c r="E41" s="85"/>
      <c r="G41" s="218"/>
    </row>
    <row r="42" spans="1:7" ht="12.75" x14ac:dyDescent="0.2">
      <c r="A42" s="143">
        <v>54</v>
      </c>
      <c r="B42" s="154" t="s">
        <v>27</v>
      </c>
      <c r="C42" s="545"/>
      <c r="D42" s="88"/>
      <c r="E42" s="536">
        <f>SUM(D43:D90)</f>
        <v>490376.28999999899</v>
      </c>
      <c r="F42" s="5"/>
      <c r="G42" s="218"/>
    </row>
    <row r="43" spans="1:7" s="5" customFormat="1" ht="12.75" x14ac:dyDescent="0.2">
      <c r="A43" s="143">
        <v>541</v>
      </c>
      <c r="B43" s="154" t="s">
        <v>28</v>
      </c>
      <c r="C43" s="545"/>
      <c r="D43" s="81">
        <f>SUM(C44:C62)</f>
        <v>113855.899999999</v>
      </c>
      <c r="E43" s="85"/>
    </row>
    <row r="44" spans="1:7" ht="18" customHeight="1" x14ac:dyDescent="0.2">
      <c r="A44" s="145">
        <v>54101</v>
      </c>
      <c r="B44" s="152" t="s">
        <v>29</v>
      </c>
      <c r="C44" s="545">
        <f>CONSOLIDADO!BS46</f>
        <v>44339.999999999003</v>
      </c>
      <c r="D44" s="88"/>
      <c r="E44" s="169"/>
    </row>
    <row r="45" spans="1:7" ht="12.75" customHeight="1" x14ac:dyDescent="0.2">
      <c r="A45" s="145">
        <v>54103</v>
      </c>
      <c r="B45" s="152" t="s">
        <v>30</v>
      </c>
      <c r="C45" s="545">
        <f>CONSOLIDADO!BS47</f>
        <v>0</v>
      </c>
      <c r="D45" s="88"/>
      <c r="E45" s="169"/>
    </row>
    <row r="46" spans="1:7" ht="18" customHeight="1" x14ac:dyDescent="0.2">
      <c r="A46" s="145">
        <v>54104</v>
      </c>
      <c r="B46" s="152" t="s">
        <v>31</v>
      </c>
      <c r="C46" s="545">
        <f>CONSOLIDADO!BS48</f>
        <v>2845</v>
      </c>
      <c r="D46" s="88"/>
      <c r="E46" s="169"/>
    </row>
    <row r="47" spans="1:7" ht="18" customHeight="1" x14ac:dyDescent="0.2">
      <c r="A47" s="145">
        <v>54105</v>
      </c>
      <c r="B47" s="152" t="s">
        <v>32</v>
      </c>
      <c r="C47" s="545">
        <f>CONSOLIDADO!BS49</f>
        <v>2050</v>
      </c>
      <c r="D47" s="88"/>
      <c r="E47" s="169"/>
    </row>
    <row r="48" spans="1:7" s="5" customFormat="1" ht="12.75" customHeight="1" x14ac:dyDescent="0.2">
      <c r="A48" s="145">
        <v>54106</v>
      </c>
      <c r="B48" s="152" t="s">
        <v>33</v>
      </c>
      <c r="C48" s="545">
        <f>CONSOLIDADO!BS50</f>
        <v>266.25</v>
      </c>
      <c r="D48" s="81"/>
      <c r="E48" s="85"/>
      <c r="G48" s="218"/>
    </row>
    <row r="49" spans="1:7" s="5" customFormat="1" ht="18" customHeight="1" x14ac:dyDescent="0.2">
      <c r="A49" s="145">
        <v>54107</v>
      </c>
      <c r="B49" s="152" t="s">
        <v>34</v>
      </c>
      <c r="C49" s="545">
        <f>CONSOLIDADO!BS51</f>
        <v>4131</v>
      </c>
      <c r="D49" s="81"/>
      <c r="E49" s="85"/>
      <c r="G49" s="218"/>
    </row>
    <row r="50" spans="1:7" ht="18" hidden="1" customHeight="1" x14ac:dyDescent="0.2">
      <c r="A50" s="145">
        <v>54108</v>
      </c>
      <c r="B50" s="152" t="s">
        <v>35</v>
      </c>
      <c r="C50" s="545">
        <f>CONSOLIDADO!BS52</f>
        <v>177.1</v>
      </c>
      <c r="D50" s="88"/>
      <c r="E50" s="169"/>
    </row>
    <row r="51" spans="1:7" ht="18" customHeight="1" x14ac:dyDescent="0.2">
      <c r="A51" s="145">
        <v>54109</v>
      </c>
      <c r="B51" s="152" t="s">
        <v>36</v>
      </c>
      <c r="C51" s="545">
        <f>CONSOLIDADO!BS53</f>
        <v>2900</v>
      </c>
      <c r="D51" s="88"/>
      <c r="E51" s="169"/>
    </row>
    <row r="52" spans="1:7" s="5" customFormat="1" ht="18" customHeight="1" x14ac:dyDescent="0.2">
      <c r="A52" s="145">
        <v>54110</v>
      </c>
      <c r="B52" s="152" t="s">
        <v>37</v>
      </c>
      <c r="C52" s="545">
        <f>CONSOLIDADO!BS54</f>
        <v>18900</v>
      </c>
      <c r="D52" s="81"/>
      <c r="E52" s="85"/>
      <c r="G52" s="218"/>
    </row>
    <row r="53" spans="1:7" s="5" customFormat="1" ht="18" customHeight="1" x14ac:dyDescent="0.2">
      <c r="A53" s="145">
        <v>54111</v>
      </c>
      <c r="B53" s="152" t="s">
        <v>38</v>
      </c>
      <c r="C53" s="545">
        <f>CONSOLIDADO!BS55</f>
        <v>499</v>
      </c>
      <c r="D53" s="81"/>
      <c r="E53" s="85"/>
      <c r="G53" s="218"/>
    </row>
    <row r="54" spans="1:7" ht="18" customHeight="1" x14ac:dyDescent="0.2">
      <c r="A54" s="145">
        <v>54112</v>
      </c>
      <c r="B54" s="152" t="s">
        <v>39</v>
      </c>
      <c r="C54" s="545">
        <f>+CONSOLIDADO!BS56</f>
        <v>200</v>
      </c>
      <c r="D54" s="81"/>
      <c r="E54" s="169"/>
    </row>
    <row r="55" spans="1:7" s="5" customFormat="1" ht="18" customHeight="1" x14ac:dyDescent="0.2">
      <c r="A55" s="145">
        <v>54114</v>
      </c>
      <c r="B55" s="152" t="s">
        <v>40</v>
      </c>
      <c r="C55" s="545">
        <f>CONSOLIDADO!BS57</f>
        <v>350</v>
      </c>
      <c r="D55" s="81"/>
      <c r="E55" s="85"/>
      <c r="G55" s="218"/>
    </row>
    <row r="56" spans="1:7" s="5" customFormat="1" ht="18" customHeight="1" x14ac:dyDescent="0.2">
      <c r="A56" s="145">
        <v>54115</v>
      </c>
      <c r="B56" s="152" t="s">
        <v>41</v>
      </c>
      <c r="C56" s="545">
        <f>CONSOLIDADO!BS58</f>
        <v>850</v>
      </c>
      <c r="D56" s="81"/>
      <c r="E56" s="85"/>
      <c r="G56" s="218"/>
    </row>
    <row r="57" spans="1:7" ht="18" customHeight="1" x14ac:dyDescent="0.2">
      <c r="A57" s="145">
        <v>54116</v>
      </c>
      <c r="B57" s="152" t="s">
        <v>42</v>
      </c>
      <c r="C57" s="545">
        <f>CONSOLIDADO!BS59</f>
        <v>185</v>
      </c>
      <c r="D57" s="88"/>
      <c r="E57" s="169"/>
    </row>
    <row r="58" spans="1:7" ht="12.75" hidden="1" customHeight="1" x14ac:dyDescent="0.2">
      <c r="A58" s="145">
        <v>54117</v>
      </c>
      <c r="B58" s="152" t="s">
        <v>43</v>
      </c>
      <c r="C58" s="545">
        <f>CONSOLIDADO!BS60</f>
        <v>0</v>
      </c>
      <c r="D58" s="88"/>
      <c r="E58" s="169"/>
    </row>
    <row r="59" spans="1:7" ht="18" customHeight="1" x14ac:dyDescent="0.2">
      <c r="A59" s="145">
        <v>54118</v>
      </c>
      <c r="B59" s="152" t="s">
        <v>44</v>
      </c>
      <c r="C59" s="545">
        <f>CONSOLIDADO!BS61</f>
        <v>1513.7</v>
      </c>
      <c r="D59" s="88"/>
      <c r="E59" s="169"/>
    </row>
    <row r="60" spans="1:7" ht="18" customHeight="1" x14ac:dyDescent="0.2">
      <c r="A60" s="145">
        <v>54119</v>
      </c>
      <c r="B60" s="152" t="s">
        <v>45</v>
      </c>
      <c r="C60" s="545">
        <f>CONSOLIDADO!BS62</f>
        <v>1060</v>
      </c>
      <c r="D60" s="88"/>
      <c r="E60" s="169"/>
    </row>
    <row r="61" spans="1:7" ht="18" customHeight="1" x14ac:dyDescent="0.2">
      <c r="A61" s="145">
        <v>54121</v>
      </c>
      <c r="B61" s="152" t="s">
        <v>46</v>
      </c>
      <c r="C61" s="545">
        <f>CONSOLIDADO!BS63</f>
        <v>4000</v>
      </c>
      <c r="D61" s="88"/>
      <c r="E61" s="169"/>
    </row>
    <row r="62" spans="1:7" ht="18" customHeight="1" x14ac:dyDescent="0.2">
      <c r="A62" s="145">
        <v>54199</v>
      </c>
      <c r="B62" s="152" t="s">
        <v>47</v>
      </c>
      <c r="C62" s="545">
        <f>CONSOLIDADO!BS64</f>
        <v>29588.85</v>
      </c>
      <c r="D62" s="88"/>
      <c r="E62" s="169"/>
    </row>
    <row r="63" spans="1:7" ht="12.75" x14ac:dyDescent="0.2">
      <c r="A63" s="143">
        <v>542</v>
      </c>
      <c r="B63" s="154" t="s">
        <v>48</v>
      </c>
      <c r="C63" s="545"/>
      <c r="D63" s="81">
        <f>SUM(C64:C68)</f>
        <v>261480.39</v>
      </c>
      <c r="E63" s="169"/>
    </row>
    <row r="64" spans="1:7" ht="12.75" x14ac:dyDescent="0.2">
      <c r="A64" s="145">
        <v>54201</v>
      </c>
      <c r="B64" s="152" t="s">
        <v>49</v>
      </c>
      <c r="C64" s="545">
        <f>CONSOLIDADO!BS66</f>
        <v>182291.79</v>
      </c>
      <c r="D64" s="88"/>
      <c r="E64" s="169"/>
    </row>
    <row r="65" spans="1:5" ht="18" customHeight="1" x14ac:dyDescent="0.2">
      <c r="A65" s="145">
        <v>54202</v>
      </c>
      <c r="B65" s="152" t="s">
        <v>50</v>
      </c>
      <c r="C65" s="545">
        <f>CONSOLIDADO!BS67</f>
        <v>2500</v>
      </c>
      <c r="D65" s="88"/>
      <c r="E65" s="169"/>
    </row>
    <row r="66" spans="1:5" ht="18" customHeight="1" x14ac:dyDescent="0.2">
      <c r="A66" s="145">
        <v>54203</v>
      </c>
      <c r="B66" s="152" t="s">
        <v>51</v>
      </c>
      <c r="C66" s="545">
        <f>CONSOLIDADO!BS68</f>
        <v>22488.6</v>
      </c>
      <c r="D66" s="88"/>
      <c r="E66" s="169"/>
    </row>
    <row r="67" spans="1:5" ht="12.75" hidden="1" customHeight="1" x14ac:dyDescent="0.2">
      <c r="A67" s="145">
        <v>54204</v>
      </c>
      <c r="B67" s="152" t="s">
        <v>52</v>
      </c>
      <c r="C67" s="545">
        <f>CONSOLIDADO!BS69</f>
        <v>0</v>
      </c>
      <c r="D67" s="88"/>
      <c r="E67" s="169"/>
    </row>
    <row r="68" spans="1:5" ht="18" customHeight="1" x14ac:dyDescent="0.2">
      <c r="A68" s="145">
        <v>54205</v>
      </c>
      <c r="B68" s="152" t="s">
        <v>53</v>
      </c>
      <c r="C68" s="545">
        <f>CONSOLIDADO!BS70</f>
        <v>54199.999999999993</v>
      </c>
      <c r="D68" s="81"/>
      <c r="E68" s="169"/>
    </row>
    <row r="69" spans="1:5" ht="18" customHeight="1" x14ac:dyDescent="0.2">
      <c r="A69" s="143">
        <v>543</v>
      </c>
      <c r="B69" s="154" t="s">
        <v>54</v>
      </c>
      <c r="C69" s="545"/>
      <c r="D69" s="81">
        <f>SUM(C70:C84)</f>
        <v>111290</v>
      </c>
      <c r="E69" s="169"/>
    </row>
    <row r="70" spans="1:5" ht="18" customHeight="1" x14ac:dyDescent="0.2">
      <c r="A70" s="145">
        <v>54301</v>
      </c>
      <c r="B70" s="152" t="s">
        <v>55</v>
      </c>
      <c r="C70" s="545">
        <f>CONSOLIDADO!BS72</f>
        <v>13840</v>
      </c>
      <c r="D70" s="88"/>
      <c r="E70" s="169"/>
    </row>
    <row r="71" spans="1:5" ht="18" customHeight="1" x14ac:dyDescent="0.2">
      <c r="A71" s="145">
        <v>54302</v>
      </c>
      <c r="B71" s="152" t="s">
        <v>56</v>
      </c>
      <c r="C71" s="545">
        <f>CONSOLIDADO!BS73</f>
        <v>3300</v>
      </c>
      <c r="D71" s="88"/>
      <c r="E71" s="169"/>
    </row>
    <row r="72" spans="1:5" ht="18" customHeight="1" x14ac:dyDescent="0.2">
      <c r="A72" s="145">
        <v>54303</v>
      </c>
      <c r="B72" s="152" t="s">
        <v>57</v>
      </c>
      <c r="C72" s="545">
        <f>CONSOLIDADO!BS74</f>
        <v>100</v>
      </c>
      <c r="D72" s="88"/>
      <c r="E72" s="169"/>
    </row>
    <row r="73" spans="1:5" ht="18" customHeight="1" x14ac:dyDescent="0.2">
      <c r="A73" s="145">
        <v>54304</v>
      </c>
      <c r="B73" s="152" t="s">
        <v>58</v>
      </c>
      <c r="C73" s="545">
        <f>CONSOLIDADO!BS75</f>
        <v>4600</v>
      </c>
      <c r="D73" s="88"/>
      <c r="E73" s="169"/>
    </row>
    <row r="74" spans="1:5" ht="18" customHeight="1" x14ac:dyDescent="0.2">
      <c r="A74" s="145">
        <v>54305</v>
      </c>
      <c r="B74" s="152" t="s">
        <v>59</v>
      </c>
      <c r="C74" s="545">
        <f>CONSOLIDADO!BS76</f>
        <v>500</v>
      </c>
      <c r="D74" s="88"/>
      <c r="E74" s="169"/>
    </row>
    <row r="75" spans="1:5" ht="18" hidden="1" customHeight="1" x14ac:dyDescent="0.2">
      <c r="A75" s="145">
        <v>54306</v>
      </c>
      <c r="B75" s="152" t="s">
        <v>60</v>
      </c>
      <c r="C75" s="545"/>
      <c r="D75" s="88"/>
      <c r="E75" s="169"/>
    </row>
    <row r="76" spans="1:5" ht="18" customHeight="1" x14ac:dyDescent="0.2">
      <c r="A76" s="145">
        <v>54307</v>
      </c>
      <c r="B76" s="152" t="s">
        <v>61</v>
      </c>
      <c r="C76" s="545">
        <f>CONSOLIDADO!BS78</f>
        <v>500</v>
      </c>
      <c r="D76" s="88"/>
      <c r="E76" s="85"/>
    </row>
    <row r="77" spans="1:5" ht="12.75" hidden="1" customHeight="1" x14ac:dyDescent="0.2">
      <c r="A77" s="145">
        <v>54309</v>
      </c>
      <c r="B77" s="152" t="s">
        <v>62</v>
      </c>
      <c r="C77" s="545"/>
      <c r="D77" s="81"/>
      <c r="E77" s="169"/>
    </row>
    <row r="78" spans="1:5" ht="12.75" hidden="1" customHeight="1" x14ac:dyDescent="0.2">
      <c r="A78" s="145">
        <v>54310</v>
      </c>
      <c r="B78" s="152" t="s">
        <v>63</v>
      </c>
      <c r="C78" s="545"/>
      <c r="D78" s="88"/>
      <c r="E78" s="169"/>
    </row>
    <row r="79" spans="1:5" ht="12.75" hidden="1" customHeight="1" x14ac:dyDescent="0.2">
      <c r="A79" s="145">
        <v>54311</v>
      </c>
      <c r="B79" s="152" t="s">
        <v>64</v>
      </c>
      <c r="C79" s="545"/>
      <c r="D79" s="88"/>
      <c r="E79" s="169"/>
    </row>
    <row r="80" spans="1:5" ht="12.75" customHeight="1" x14ac:dyDescent="0.2">
      <c r="A80" s="145">
        <v>54313</v>
      </c>
      <c r="B80" s="152" t="s">
        <v>65</v>
      </c>
      <c r="C80" s="545">
        <f>CONSOLIDADO!BS82</f>
        <v>150</v>
      </c>
      <c r="D80" s="81"/>
      <c r="E80" s="169"/>
    </row>
    <row r="81" spans="1:5" ht="18" customHeight="1" x14ac:dyDescent="0.2">
      <c r="A81" s="145">
        <v>54314</v>
      </c>
      <c r="B81" s="152" t="s">
        <v>66</v>
      </c>
      <c r="C81" s="545">
        <f>CONSOLIDADO!BS83</f>
        <v>1000</v>
      </c>
      <c r="D81" s="88"/>
      <c r="E81" s="169"/>
    </row>
    <row r="82" spans="1:5" ht="12.75" customHeight="1" x14ac:dyDescent="0.2">
      <c r="A82" s="145">
        <v>54316</v>
      </c>
      <c r="B82" s="152" t="s">
        <v>67</v>
      </c>
      <c r="C82" s="545">
        <f>CONSOLIDADO!BS84</f>
        <v>500</v>
      </c>
      <c r="D82" s="88"/>
      <c r="E82" s="169"/>
    </row>
    <row r="83" spans="1:5" ht="18" customHeight="1" x14ac:dyDescent="0.2">
      <c r="A83" s="145">
        <v>54317</v>
      </c>
      <c r="B83" s="152" t="s">
        <v>68</v>
      </c>
      <c r="C83" s="545">
        <f>CONSOLIDADO!BS85</f>
        <v>1800</v>
      </c>
      <c r="D83" s="88"/>
      <c r="E83" s="85"/>
    </row>
    <row r="84" spans="1:5" ht="18" customHeight="1" x14ac:dyDescent="0.2">
      <c r="A84" s="145">
        <v>54399</v>
      </c>
      <c r="B84" s="152" t="s">
        <v>69</v>
      </c>
      <c r="C84" s="545">
        <f>CONSOLIDADO!BS86</f>
        <v>85000</v>
      </c>
      <c r="D84" s="81"/>
      <c r="E84" s="169"/>
    </row>
    <row r="85" spans="1:5" ht="12.75" x14ac:dyDescent="0.2">
      <c r="A85" s="143">
        <v>544</v>
      </c>
      <c r="B85" s="154" t="s">
        <v>70</v>
      </c>
      <c r="C85" s="545"/>
      <c r="D85" s="81">
        <f>SUM(C86:C95)</f>
        <v>3750</v>
      </c>
      <c r="E85" s="169"/>
    </row>
    <row r="86" spans="1:5" ht="18" customHeight="1" x14ac:dyDescent="0.2">
      <c r="A86" s="145">
        <v>54401</v>
      </c>
      <c r="B86" s="152" t="s">
        <v>71</v>
      </c>
      <c r="C86" s="545">
        <f>CONSOLIDADO!BS88</f>
        <v>200</v>
      </c>
      <c r="D86" s="88"/>
      <c r="E86" s="169"/>
    </row>
    <row r="87" spans="1:5" ht="12.75" hidden="1" customHeight="1" x14ac:dyDescent="0.2">
      <c r="A87" s="145">
        <v>54402</v>
      </c>
      <c r="B87" s="152" t="s">
        <v>72</v>
      </c>
      <c r="C87" s="545">
        <f>CONSOLIDADO!BS89</f>
        <v>1100</v>
      </c>
      <c r="D87" s="88"/>
      <c r="E87" s="169"/>
    </row>
    <row r="88" spans="1:5" ht="18" customHeight="1" x14ac:dyDescent="0.2">
      <c r="A88" s="145">
        <v>54403</v>
      </c>
      <c r="B88" s="152" t="s">
        <v>73</v>
      </c>
      <c r="C88" s="545">
        <f>CONSOLIDADO!BS90</f>
        <v>450</v>
      </c>
      <c r="D88" s="88"/>
      <c r="E88" s="169"/>
    </row>
    <row r="89" spans="1:5" ht="12.75" customHeight="1" x14ac:dyDescent="0.2">
      <c r="A89" s="145">
        <v>54404</v>
      </c>
      <c r="B89" s="152" t="s">
        <v>74</v>
      </c>
      <c r="C89" s="545">
        <f>CONSOLIDADO!BS91</f>
        <v>1500</v>
      </c>
      <c r="D89" s="88"/>
      <c r="E89" s="169"/>
    </row>
    <row r="90" spans="1:5" ht="12.75" x14ac:dyDescent="0.2">
      <c r="A90" s="143">
        <v>545</v>
      </c>
      <c r="B90" s="154" t="s">
        <v>75</v>
      </c>
      <c r="C90" s="545"/>
      <c r="D90" s="81">
        <f>C91+C92+C95</f>
        <v>0</v>
      </c>
      <c r="E90" s="169"/>
    </row>
    <row r="91" spans="1:5" ht="12.75" hidden="1" x14ac:dyDescent="0.2">
      <c r="A91" s="783">
        <v>54501</v>
      </c>
      <c r="B91" s="155" t="s">
        <v>76</v>
      </c>
      <c r="C91" s="545">
        <f>CONSOLIDADO!BS93</f>
        <v>0</v>
      </c>
      <c r="D91" s="81"/>
      <c r="E91" s="169"/>
    </row>
    <row r="92" spans="1:5" ht="18" hidden="1" customHeight="1" x14ac:dyDescent="0.2">
      <c r="A92" s="145">
        <v>54503</v>
      </c>
      <c r="B92" s="152" t="s">
        <v>77</v>
      </c>
      <c r="C92" s="545">
        <f>+CONSOLIDADO!BS94</f>
        <v>0</v>
      </c>
      <c r="D92" s="88"/>
      <c r="E92" s="169"/>
    </row>
    <row r="93" spans="1:5" ht="18" customHeight="1" x14ac:dyDescent="0.2">
      <c r="A93" s="145">
        <v>54505</v>
      </c>
      <c r="B93" s="152" t="s">
        <v>79</v>
      </c>
      <c r="C93" s="545">
        <f>CONSOLIDADO!BS95</f>
        <v>100</v>
      </c>
      <c r="D93" s="88"/>
      <c r="E93" s="169"/>
    </row>
    <row r="94" spans="1:5" ht="18" customHeight="1" x14ac:dyDescent="0.2">
      <c r="A94" s="145">
        <v>54507</v>
      </c>
      <c r="B94" s="152" t="s">
        <v>80</v>
      </c>
      <c r="C94" s="545">
        <f>CONSOLIDADO!BS96</f>
        <v>400</v>
      </c>
      <c r="D94" s="88"/>
      <c r="E94" s="169"/>
    </row>
    <row r="95" spans="1:5" ht="18" hidden="1" customHeight="1" x14ac:dyDescent="0.2">
      <c r="A95" s="145">
        <v>54599</v>
      </c>
      <c r="B95" s="152" t="s">
        <v>444</v>
      </c>
      <c r="C95" s="545">
        <f>CONSOLIDADO!BS97</f>
        <v>0</v>
      </c>
      <c r="D95" s="88"/>
      <c r="E95" s="169"/>
    </row>
    <row r="96" spans="1:5" ht="18" customHeight="1" x14ac:dyDescent="0.2">
      <c r="A96" s="143">
        <v>55</v>
      </c>
      <c r="B96" s="154" t="s">
        <v>83</v>
      </c>
      <c r="C96" s="545"/>
      <c r="D96" s="81"/>
      <c r="E96" s="85">
        <f>SUM(D97:D112)</f>
        <v>132090.88</v>
      </c>
    </row>
    <row r="97" spans="1:6" ht="15.75" customHeight="1" x14ac:dyDescent="0.2">
      <c r="A97" s="143">
        <v>553</v>
      </c>
      <c r="B97" s="153" t="s">
        <v>84</v>
      </c>
      <c r="C97" s="545"/>
      <c r="D97" s="81">
        <f>SUM(C98:C102)</f>
        <v>120737.44000000002</v>
      </c>
      <c r="E97" s="85"/>
    </row>
    <row r="98" spans="1:6" ht="18" customHeight="1" x14ac:dyDescent="0.2">
      <c r="A98" s="145">
        <v>55302</v>
      </c>
      <c r="B98" s="155" t="s">
        <v>452</v>
      </c>
      <c r="C98" s="545">
        <f>CONSOLIDADO!BS101</f>
        <v>0</v>
      </c>
      <c r="D98" s="81"/>
      <c r="E98" s="85"/>
    </row>
    <row r="99" spans="1:6" ht="12.75" hidden="1" customHeight="1" x14ac:dyDescent="0.2">
      <c r="A99" s="145">
        <v>55303</v>
      </c>
      <c r="B99" s="155" t="s">
        <v>85</v>
      </c>
      <c r="C99" s="545"/>
      <c r="D99" s="81"/>
      <c r="E99" s="85"/>
    </row>
    <row r="100" spans="1:6" ht="18" customHeight="1" x14ac:dyDescent="0.2">
      <c r="A100" s="145">
        <v>55304</v>
      </c>
      <c r="B100" s="152" t="s">
        <v>86</v>
      </c>
      <c r="C100" s="545">
        <f>CONSOLIDADO!BS103</f>
        <v>120737.44000000002</v>
      </c>
      <c r="D100" s="81"/>
      <c r="E100" s="85"/>
    </row>
    <row r="101" spans="1:6" ht="12.75" hidden="1" customHeight="1" x14ac:dyDescent="0.2">
      <c r="A101" s="145">
        <v>55306</v>
      </c>
      <c r="B101" s="152" t="s">
        <v>242</v>
      </c>
      <c r="C101" s="545">
        <f>CONSOLIDADO!BS104</f>
        <v>0</v>
      </c>
      <c r="D101" s="80"/>
      <c r="E101" s="170"/>
      <c r="F101" s="14"/>
    </row>
    <row r="102" spans="1:6" ht="12.75" hidden="1" customHeight="1" x14ac:dyDescent="0.2">
      <c r="A102" s="145">
        <v>55308</v>
      </c>
      <c r="B102" s="152" t="s">
        <v>87</v>
      </c>
      <c r="C102" s="545"/>
      <c r="D102" s="81"/>
      <c r="E102" s="85"/>
    </row>
    <row r="103" spans="1:6" ht="18" customHeight="1" x14ac:dyDescent="0.2">
      <c r="A103" s="143">
        <v>555</v>
      </c>
      <c r="B103" s="154" t="s">
        <v>438</v>
      </c>
      <c r="C103" s="545"/>
      <c r="D103" s="81">
        <f>+C104</f>
        <v>153.44</v>
      </c>
      <c r="E103" s="85"/>
    </row>
    <row r="104" spans="1:6" ht="18" customHeight="1" x14ac:dyDescent="0.2">
      <c r="A104" s="145">
        <v>55508</v>
      </c>
      <c r="B104" s="155" t="s">
        <v>329</v>
      </c>
      <c r="C104" s="545">
        <f>CONSOLIDADO!BS107</f>
        <v>153.44</v>
      </c>
      <c r="D104" s="81"/>
      <c r="E104" s="85"/>
    </row>
    <row r="105" spans="1:6" ht="18" customHeight="1" x14ac:dyDescent="0.2">
      <c r="A105" s="143">
        <v>556</v>
      </c>
      <c r="B105" s="154" t="s">
        <v>88</v>
      </c>
      <c r="C105" s="545"/>
      <c r="D105" s="81">
        <f>SUM(C106:C108)</f>
        <v>11200</v>
      </c>
      <c r="E105" s="85"/>
    </row>
    <row r="106" spans="1:6" ht="12.75" customHeight="1" x14ac:dyDescent="0.2">
      <c r="A106" s="145">
        <v>55601</v>
      </c>
      <c r="B106" s="152" t="s">
        <v>89</v>
      </c>
      <c r="C106" s="545">
        <f>CONSOLIDADO!BS109</f>
        <v>600</v>
      </c>
      <c r="D106" s="81"/>
      <c r="E106" s="85"/>
    </row>
    <row r="107" spans="1:6" ht="18" customHeight="1" x14ac:dyDescent="0.2">
      <c r="A107" s="145">
        <v>55602</v>
      </c>
      <c r="B107" s="152" t="s">
        <v>90</v>
      </c>
      <c r="C107" s="545">
        <f>CONSOLIDADO!BS110</f>
        <v>10500</v>
      </c>
      <c r="D107" s="81"/>
      <c r="E107" s="85"/>
    </row>
    <row r="108" spans="1:6" ht="18" customHeight="1" x14ac:dyDescent="0.2">
      <c r="A108" s="145">
        <v>55603</v>
      </c>
      <c r="B108" s="152" t="s">
        <v>91</v>
      </c>
      <c r="C108" s="545">
        <f>CONSOLIDADO!BS111</f>
        <v>100</v>
      </c>
      <c r="D108" s="81"/>
      <c r="E108" s="85"/>
    </row>
    <row r="109" spans="1:6" ht="12.75" hidden="1" customHeight="1" x14ac:dyDescent="0.2">
      <c r="A109" s="143">
        <v>557</v>
      </c>
      <c r="B109" s="154" t="s">
        <v>92</v>
      </c>
      <c r="C109" s="545"/>
      <c r="D109" s="81">
        <f>SUM(C110:C112)</f>
        <v>0</v>
      </c>
      <c r="E109" s="85"/>
    </row>
    <row r="110" spans="1:6" ht="12.75" hidden="1" customHeight="1" x14ac:dyDescent="0.2">
      <c r="A110" s="145">
        <v>55701</v>
      </c>
      <c r="B110" s="152" t="s">
        <v>93</v>
      </c>
      <c r="C110" s="545"/>
      <c r="D110" s="81"/>
      <c r="E110" s="85"/>
    </row>
    <row r="111" spans="1:6" ht="12.75" hidden="1" customHeight="1" x14ac:dyDescent="0.2">
      <c r="A111" s="145">
        <v>55702</v>
      </c>
      <c r="B111" s="152" t="s">
        <v>94</v>
      </c>
      <c r="C111" s="545"/>
      <c r="D111" s="88"/>
      <c r="E111" s="169"/>
    </row>
    <row r="112" spans="1:6" ht="12.75" hidden="1" customHeight="1" x14ac:dyDescent="0.2">
      <c r="A112" s="145">
        <v>55799</v>
      </c>
      <c r="B112" s="152" t="s">
        <v>95</v>
      </c>
      <c r="C112" s="545"/>
      <c r="D112" s="88"/>
      <c r="E112" s="169"/>
    </row>
    <row r="113" spans="1:5" ht="12.75" hidden="1" customHeight="1" x14ac:dyDescent="0.2">
      <c r="A113" s="145"/>
      <c r="B113" s="152"/>
      <c r="C113" s="545"/>
      <c r="D113" s="88"/>
      <c r="E113" s="169"/>
    </row>
    <row r="114" spans="1:5" ht="18" customHeight="1" x14ac:dyDescent="0.2">
      <c r="A114" s="143">
        <v>56</v>
      </c>
      <c r="B114" s="154" t="s">
        <v>96</v>
      </c>
      <c r="C114" s="545"/>
      <c r="D114" s="88"/>
      <c r="E114" s="85">
        <f>SUM(D115:D121)</f>
        <v>16900</v>
      </c>
    </row>
    <row r="115" spans="1:5" ht="18" hidden="1" customHeight="1" x14ac:dyDescent="0.2">
      <c r="A115" s="143">
        <v>562</v>
      </c>
      <c r="B115" s="154" t="s">
        <v>97</v>
      </c>
      <c r="C115" s="545"/>
      <c r="D115" s="81">
        <f>SUM(C116:C117)</f>
        <v>0</v>
      </c>
      <c r="E115" s="169"/>
    </row>
    <row r="116" spans="1:5" ht="18" hidden="1" customHeight="1" x14ac:dyDescent="0.2">
      <c r="A116" s="145">
        <v>56201</v>
      </c>
      <c r="B116" s="152" t="s">
        <v>98</v>
      </c>
      <c r="C116" s="545">
        <f>CONSOLIDADO!BS119</f>
        <v>0</v>
      </c>
      <c r="D116" s="88"/>
      <c r="E116" s="169"/>
    </row>
    <row r="117" spans="1:5" ht="12.75" hidden="1" customHeight="1" x14ac:dyDescent="0.2">
      <c r="A117" s="145">
        <v>56202</v>
      </c>
      <c r="B117" s="152" t="s">
        <v>230</v>
      </c>
      <c r="C117" s="545"/>
      <c r="D117" s="88"/>
      <c r="E117" s="169"/>
    </row>
    <row r="118" spans="1:5" ht="18" customHeight="1" x14ac:dyDescent="0.2">
      <c r="A118" s="143">
        <v>563</v>
      </c>
      <c r="B118" s="154" t="s">
        <v>99</v>
      </c>
      <c r="C118" s="545"/>
      <c r="D118" s="81">
        <f>SUM(C119:C121)</f>
        <v>16900</v>
      </c>
      <c r="E118" s="169"/>
    </row>
    <row r="119" spans="1:5" ht="18" customHeight="1" x14ac:dyDescent="0.2">
      <c r="A119" s="145">
        <v>56303</v>
      </c>
      <c r="B119" s="155" t="s">
        <v>902</v>
      </c>
      <c r="C119" s="545">
        <f>CONSOLIDADO!BS122</f>
        <v>1500</v>
      </c>
      <c r="D119" s="88"/>
      <c r="E119" s="169"/>
    </row>
    <row r="120" spans="1:5" ht="18" customHeight="1" x14ac:dyDescent="0.2">
      <c r="A120" s="145">
        <v>56304</v>
      </c>
      <c r="B120" s="152" t="s">
        <v>107</v>
      </c>
      <c r="C120" s="545">
        <f>CONSOLIDADO!BS123</f>
        <v>15400</v>
      </c>
      <c r="D120" s="88"/>
      <c r="E120" s="169"/>
    </row>
    <row r="121" spans="1:5" ht="12.75" hidden="1" x14ac:dyDescent="0.2">
      <c r="A121" s="145">
        <v>56305</v>
      </c>
      <c r="B121" s="152" t="s">
        <v>243</v>
      </c>
      <c r="C121" s="545">
        <f>CONSOLIDADO!BS124</f>
        <v>0</v>
      </c>
      <c r="D121" s="88"/>
      <c r="E121" s="169"/>
    </row>
    <row r="122" spans="1:5" ht="11.25" customHeight="1" x14ac:dyDescent="0.2">
      <c r="A122" s="145"/>
      <c r="B122" s="152"/>
      <c r="C122" s="545"/>
      <c r="D122" s="88"/>
      <c r="E122" s="169"/>
    </row>
    <row r="123" spans="1:5" ht="12.75" x14ac:dyDescent="0.2">
      <c r="A123" s="146" t="s">
        <v>160</v>
      </c>
      <c r="B123" s="151" t="s">
        <v>161</v>
      </c>
      <c r="C123" s="545"/>
      <c r="D123" s="88"/>
      <c r="E123" s="85">
        <f>SUM(D124:D152)</f>
        <v>68861.299999999988</v>
      </c>
    </row>
    <row r="124" spans="1:5" ht="18" customHeight="1" x14ac:dyDescent="0.2">
      <c r="A124" s="146" t="s">
        <v>162</v>
      </c>
      <c r="B124" s="151" t="s">
        <v>163</v>
      </c>
      <c r="C124" s="545"/>
      <c r="D124" s="81">
        <f>SUM(C125:C132)</f>
        <v>15600</v>
      </c>
      <c r="E124" s="169"/>
    </row>
    <row r="125" spans="1:5" ht="18" customHeight="1" x14ac:dyDescent="0.2">
      <c r="A125" s="144" t="s">
        <v>164</v>
      </c>
      <c r="B125" s="150" t="s">
        <v>165</v>
      </c>
      <c r="C125" s="545">
        <f>CONSOLIDADO!BS128</f>
        <v>0</v>
      </c>
      <c r="D125" s="88"/>
      <c r="E125" s="169"/>
    </row>
    <row r="126" spans="1:5" ht="12.75" x14ac:dyDescent="0.2">
      <c r="A126" s="144" t="s">
        <v>166</v>
      </c>
      <c r="B126" s="150" t="s">
        <v>167</v>
      </c>
      <c r="C126" s="545">
        <f>CONSOLIDADO!BS129</f>
        <v>15600</v>
      </c>
      <c r="D126" s="88"/>
      <c r="E126" s="169"/>
    </row>
    <row r="127" spans="1:5" ht="12.75" hidden="1" x14ac:dyDescent="0.2">
      <c r="A127" s="144" t="s">
        <v>168</v>
      </c>
      <c r="B127" s="150" t="s">
        <v>169</v>
      </c>
      <c r="C127" s="545"/>
      <c r="D127" s="88"/>
      <c r="E127" s="169"/>
    </row>
    <row r="128" spans="1:5" ht="18" hidden="1" customHeight="1" x14ac:dyDescent="0.2">
      <c r="A128" s="144" t="s">
        <v>170</v>
      </c>
      <c r="B128" s="150" t="s">
        <v>171</v>
      </c>
      <c r="C128" s="545">
        <f>CONSOLIDADO!BS131</f>
        <v>0</v>
      </c>
      <c r="D128" s="88"/>
      <c r="E128" s="169"/>
    </row>
    <row r="129" spans="1:5" ht="18" hidden="1" customHeight="1" x14ac:dyDescent="0.2">
      <c r="A129" s="144" t="s">
        <v>172</v>
      </c>
      <c r="B129" s="150" t="s">
        <v>173</v>
      </c>
      <c r="C129" s="545">
        <f>CONSOLIDADO!BS132</f>
        <v>0</v>
      </c>
      <c r="D129" s="88"/>
      <c r="E129" s="169"/>
    </row>
    <row r="130" spans="1:5" ht="12.75" hidden="1" customHeight="1" x14ac:dyDescent="0.2">
      <c r="A130" s="144" t="s">
        <v>174</v>
      </c>
      <c r="B130" s="150" t="s">
        <v>175</v>
      </c>
      <c r="C130" s="545"/>
      <c r="D130" s="88"/>
      <c r="E130" s="169"/>
    </row>
    <row r="131" spans="1:5" ht="12.75" hidden="1" customHeight="1" x14ac:dyDescent="0.2">
      <c r="A131" s="144" t="s">
        <v>176</v>
      </c>
      <c r="B131" s="150" t="s">
        <v>177</v>
      </c>
      <c r="C131" s="545"/>
      <c r="D131" s="88"/>
      <c r="E131" s="169"/>
    </row>
    <row r="132" spans="1:5" ht="18" hidden="1" customHeight="1" x14ac:dyDescent="0.2">
      <c r="A132" s="144" t="s">
        <v>178</v>
      </c>
      <c r="B132" s="150" t="s">
        <v>179</v>
      </c>
      <c r="C132" s="545">
        <f>+CONSOLIDADO!BS135</f>
        <v>0</v>
      </c>
      <c r="D132" s="88"/>
      <c r="E132" s="169"/>
    </row>
    <row r="133" spans="1:5" ht="18" hidden="1" customHeight="1" x14ac:dyDescent="0.2">
      <c r="A133" s="146" t="s">
        <v>231</v>
      </c>
      <c r="B133" s="151" t="s">
        <v>191</v>
      </c>
      <c r="C133" s="545"/>
      <c r="D133" s="81">
        <f>SUM(C134:C136)</f>
        <v>0</v>
      </c>
      <c r="E133" s="169"/>
    </row>
    <row r="134" spans="1:5" ht="12.75" hidden="1" customHeight="1" x14ac:dyDescent="0.2">
      <c r="A134" s="144" t="s">
        <v>232</v>
      </c>
      <c r="B134" s="150" t="s">
        <v>233</v>
      </c>
      <c r="C134" s="545"/>
      <c r="D134" s="88"/>
      <c r="E134" s="169"/>
    </row>
    <row r="135" spans="1:5" ht="18" hidden="1" customHeight="1" x14ac:dyDescent="0.2">
      <c r="A135" s="144" t="s">
        <v>234</v>
      </c>
      <c r="B135" s="150" t="s">
        <v>235</v>
      </c>
      <c r="C135" s="545">
        <f>CONSOLIDADO!BS138</f>
        <v>0</v>
      </c>
      <c r="D135" s="88"/>
      <c r="E135" s="169"/>
    </row>
    <row r="136" spans="1:5" ht="18" customHeight="1" x14ac:dyDescent="0.2">
      <c r="A136" s="144" t="s">
        <v>236</v>
      </c>
      <c r="B136" s="150" t="s">
        <v>237</v>
      </c>
      <c r="C136" s="545"/>
      <c r="D136" s="88"/>
      <c r="E136" s="169"/>
    </row>
    <row r="137" spans="1:5" ht="18" customHeight="1" x14ac:dyDescent="0.2">
      <c r="A137" s="146" t="s">
        <v>903</v>
      </c>
      <c r="B137" s="151" t="s">
        <v>866</v>
      </c>
      <c r="C137" s="544"/>
      <c r="D137" s="81">
        <f>SUM(C137:C138)</f>
        <v>468</v>
      </c>
      <c r="E137" s="169"/>
    </row>
    <row r="138" spans="1:5" ht="18" customHeight="1" x14ac:dyDescent="0.2">
      <c r="A138" s="226" t="s">
        <v>904</v>
      </c>
      <c r="B138" s="150" t="s">
        <v>867</v>
      </c>
      <c r="C138" s="545">
        <f>CONSOLIDADO!BS141</f>
        <v>468</v>
      </c>
      <c r="D138" s="88"/>
      <c r="E138" s="169"/>
    </row>
    <row r="139" spans="1:5" ht="18" customHeight="1" x14ac:dyDescent="0.2">
      <c r="A139" s="143">
        <v>615</v>
      </c>
      <c r="B139" s="151" t="s">
        <v>192</v>
      </c>
      <c r="C139" s="545"/>
      <c r="D139" s="81">
        <f>SUM(C140:C143)</f>
        <v>3772.49</v>
      </c>
      <c r="E139" s="169"/>
    </row>
    <row r="140" spans="1:5" ht="18" hidden="1" customHeight="1" x14ac:dyDescent="0.2">
      <c r="A140" s="145">
        <v>61501</v>
      </c>
      <c r="B140" s="150" t="s">
        <v>193</v>
      </c>
      <c r="C140" s="545"/>
      <c r="D140" s="88"/>
      <c r="E140" s="169"/>
    </row>
    <row r="141" spans="1:5" ht="18" hidden="1" customHeight="1" x14ac:dyDescent="0.2">
      <c r="A141" s="145">
        <v>61502</v>
      </c>
      <c r="B141" s="150" t="s">
        <v>194</v>
      </c>
      <c r="C141" s="545"/>
      <c r="D141" s="88"/>
      <c r="E141" s="169"/>
    </row>
    <row r="142" spans="1:5" ht="18" hidden="1" customHeight="1" x14ac:dyDescent="0.2">
      <c r="A142" s="145">
        <v>61503</v>
      </c>
      <c r="B142" s="150" t="s">
        <v>195</v>
      </c>
      <c r="C142" s="545"/>
      <c r="D142" s="88"/>
      <c r="E142" s="169"/>
    </row>
    <row r="143" spans="1:5" ht="18" customHeight="1" x14ac:dyDescent="0.2">
      <c r="A143" s="145">
        <v>61599</v>
      </c>
      <c r="B143" s="150" t="s">
        <v>196</v>
      </c>
      <c r="C143" s="545">
        <f>CONSOLIDADO!BS146</f>
        <v>3772.49</v>
      </c>
      <c r="D143" s="88"/>
      <c r="E143" s="169"/>
    </row>
    <row r="144" spans="1:5" ht="18" customHeight="1" x14ac:dyDescent="0.2">
      <c r="A144" s="143">
        <v>616</v>
      </c>
      <c r="B144" s="151" t="s">
        <v>197</v>
      </c>
      <c r="C144" s="545"/>
      <c r="D144" s="81">
        <f>SUM(C145:C152)</f>
        <v>49020.81</v>
      </c>
      <c r="E144" s="169"/>
    </row>
    <row r="145" spans="1:5" ht="18" hidden="1" customHeight="1" x14ac:dyDescent="0.2">
      <c r="A145" s="145">
        <v>61601</v>
      </c>
      <c r="B145" s="150" t="s">
        <v>198</v>
      </c>
      <c r="C145" s="545">
        <f>CONSOLIDADO!BS148</f>
        <v>0</v>
      </c>
      <c r="D145" s="88"/>
      <c r="E145" s="169"/>
    </row>
    <row r="146" spans="1:5" ht="18" hidden="1" customHeight="1" x14ac:dyDescent="0.2">
      <c r="A146" s="145">
        <v>61602</v>
      </c>
      <c r="B146" s="150" t="s">
        <v>199</v>
      </c>
      <c r="C146" s="545">
        <f>CONSOLIDADO!BS149</f>
        <v>0</v>
      </c>
      <c r="D146" s="88"/>
      <c r="E146" s="169"/>
    </row>
    <row r="147" spans="1:5" ht="18" hidden="1" customHeight="1" x14ac:dyDescent="0.2">
      <c r="A147" s="145">
        <v>61603</v>
      </c>
      <c r="B147" s="150" t="s">
        <v>200</v>
      </c>
      <c r="C147" s="545">
        <f>CONSOLIDADO!BS150</f>
        <v>0</v>
      </c>
      <c r="D147" s="88"/>
      <c r="E147" s="169"/>
    </row>
    <row r="148" spans="1:5" ht="18" hidden="1" customHeight="1" x14ac:dyDescent="0.2">
      <c r="A148" s="145">
        <v>61604</v>
      </c>
      <c r="B148" s="150" t="s">
        <v>201</v>
      </c>
      <c r="C148" s="545">
        <f>CONSOLIDADO!BS151</f>
        <v>0</v>
      </c>
      <c r="D148" s="88"/>
      <c r="E148" s="169"/>
    </row>
    <row r="149" spans="1:5" ht="18" hidden="1" customHeight="1" x14ac:dyDescent="0.2">
      <c r="A149" s="145">
        <v>61606</v>
      </c>
      <c r="B149" s="150" t="s">
        <v>202</v>
      </c>
      <c r="C149" s="545">
        <f>CONSOLIDADO!BS152</f>
        <v>0</v>
      </c>
      <c r="D149" s="88"/>
      <c r="E149" s="169"/>
    </row>
    <row r="150" spans="1:5" ht="18" hidden="1" customHeight="1" x14ac:dyDescent="0.2">
      <c r="A150" s="145">
        <v>61607</v>
      </c>
      <c r="B150" s="152" t="s">
        <v>203</v>
      </c>
      <c r="C150" s="545">
        <f>CONSOLIDADO!BS153</f>
        <v>0</v>
      </c>
      <c r="D150" s="88"/>
      <c r="E150" s="169"/>
    </row>
    <row r="151" spans="1:5" ht="18" hidden="1" customHeight="1" x14ac:dyDescent="0.2">
      <c r="A151" s="145">
        <v>61608</v>
      </c>
      <c r="B151" s="152" t="s">
        <v>204</v>
      </c>
      <c r="C151" s="545">
        <f>CONSOLIDADO!BS154</f>
        <v>0</v>
      </c>
      <c r="D151" s="88"/>
      <c r="E151" s="169"/>
    </row>
    <row r="152" spans="1:5" ht="18" customHeight="1" x14ac:dyDescent="0.2">
      <c r="A152" s="145">
        <v>61699</v>
      </c>
      <c r="B152" s="152" t="s">
        <v>205</v>
      </c>
      <c r="C152" s="545">
        <f>CONSOLIDADO!BS155</f>
        <v>49020.81</v>
      </c>
      <c r="D152" s="88"/>
      <c r="E152" s="169"/>
    </row>
    <row r="153" spans="1:5" ht="8.25" customHeight="1" x14ac:dyDescent="0.2">
      <c r="A153" s="145"/>
      <c r="B153" s="152"/>
      <c r="C153" s="545"/>
      <c r="D153" s="88"/>
      <c r="E153" s="169"/>
    </row>
    <row r="154" spans="1:5" ht="12.75" x14ac:dyDescent="0.2">
      <c r="A154" s="143">
        <v>71</v>
      </c>
      <c r="B154" s="154" t="s">
        <v>213</v>
      </c>
      <c r="C154" s="545"/>
      <c r="D154" s="88"/>
      <c r="E154" s="85">
        <f>SUM(D155:D158)</f>
        <v>230867.48</v>
      </c>
    </row>
    <row r="155" spans="1:5" ht="12.75" x14ac:dyDescent="0.2">
      <c r="A155" s="143">
        <v>713</v>
      </c>
      <c r="B155" s="154" t="s">
        <v>214</v>
      </c>
      <c r="C155" s="545"/>
      <c r="D155" s="81">
        <f>SUM(C156:C158)</f>
        <v>230867.48</v>
      </c>
      <c r="E155" s="169"/>
    </row>
    <row r="156" spans="1:5" ht="12.75" hidden="1" customHeight="1" x14ac:dyDescent="0.2">
      <c r="A156" s="145">
        <v>71303</v>
      </c>
      <c r="B156" s="152" t="s">
        <v>85</v>
      </c>
      <c r="C156" s="545" t="s">
        <v>439</v>
      </c>
      <c r="D156" s="88"/>
      <c r="E156" s="169"/>
    </row>
    <row r="157" spans="1:5" ht="18" customHeight="1" x14ac:dyDescent="0.2">
      <c r="A157" s="145">
        <v>71304</v>
      </c>
      <c r="B157" s="152" t="s">
        <v>86</v>
      </c>
      <c r="C157" s="545">
        <f>CONSOLIDADO!BS160</f>
        <v>230867.48</v>
      </c>
      <c r="D157" s="88"/>
      <c r="E157" s="169"/>
    </row>
    <row r="158" spans="1:5" ht="12.75" hidden="1" customHeight="1" x14ac:dyDescent="0.2">
      <c r="A158" s="145">
        <v>71308</v>
      </c>
      <c r="B158" s="152" t="s">
        <v>229</v>
      </c>
      <c r="C158" s="545">
        <f>CONSOLIDADO!AX161</f>
        <v>0</v>
      </c>
      <c r="D158" s="88"/>
      <c r="E158" s="169"/>
    </row>
    <row r="159" spans="1:5" ht="12.75" hidden="1" customHeight="1" x14ac:dyDescent="0.2">
      <c r="A159" s="145"/>
      <c r="B159" s="152"/>
      <c r="C159" s="545"/>
      <c r="D159" s="88"/>
      <c r="E159" s="169"/>
    </row>
    <row r="160" spans="1:5" ht="18" customHeight="1" x14ac:dyDescent="0.2">
      <c r="A160" s="143">
        <v>72</v>
      </c>
      <c r="B160" s="154" t="s">
        <v>13</v>
      </c>
      <c r="C160" s="545"/>
      <c r="D160" s="81"/>
      <c r="E160" s="85">
        <f>+D161</f>
        <v>94187.53</v>
      </c>
    </row>
    <row r="161" spans="1:7" ht="27.75" customHeight="1" x14ac:dyDescent="0.2">
      <c r="A161" s="143">
        <v>721</v>
      </c>
      <c r="B161" s="163" t="s">
        <v>180</v>
      </c>
      <c r="C161" s="545"/>
      <c r="D161" s="81">
        <f>SUM(C162:C163)</f>
        <v>94187.53</v>
      </c>
      <c r="E161" s="85"/>
    </row>
    <row r="162" spans="1:7" ht="18" customHeight="1" x14ac:dyDescent="0.2">
      <c r="A162" s="145">
        <v>72101</v>
      </c>
      <c r="B162" s="152" t="s">
        <v>180</v>
      </c>
      <c r="C162" s="545">
        <f>CONSOLIDADO!BS165</f>
        <v>61546.59</v>
      </c>
      <c r="D162" s="88"/>
      <c r="E162" s="169"/>
    </row>
    <row r="163" spans="1:7" ht="18" customHeight="1" x14ac:dyDescent="0.2">
      <c r="A163" s="145">
        <v>72101</v>
      </c>
      <c r="B163" s="155" t="s">
        <v>594</v>
      </c>
      <c r="C163" s="545">
        <f>CONSOLIDADO!BS166</f>
        <v>32640.940000000002</v>
      </c>
      <c r="D163" s="88"/>
      <c r="E163" s="169"/>
    </row>
    <row r="164" spans="1:7" ht="18" customHeight="1" thickBot="1" x14ac:dyDescent="0.25">
      <c r="A164" s="145"/>
      <c r="B164" s="152"/>
      <c r="C164" s="80"/>
      <c r="D164" s="88"/>
      <c r="E164" s="169"/>
    </row>
    <row r="165" spans="1:7" ht="18" hidden="1" customHeight="1" x14ac:dyDescent="0.2">
      <c r="A165" s="143">
        <v>99</v>
      </c>
      <c r="B165" s="154" t="s">
        <v>181</v>
      </c>
      <c r="C165" s="80"/>
      <c r="D165" s="81"/>
      <c r="E165" s="85">
        <f>+D166</f>
        <v>0</v>
      </c>
    </row>
    <row r="166" spans="1:7" ht="18" hidden="1" customHeight="1" x14ac:dyDescent="0.2">
      <c r="A166" s="143">
        <v>991</v>
      </c>
      <c r="B166" s="154" t="s">
        <v>182</v>
      </c>
      <c r="C166" s="80"/>
      <c r="D166" s="81">
        <f>+C167</f>
        <v>0</v>
      </c>
      <c r="E166" s="85"/>
    </row>
    <row r="167" spans="1:7" ht="18" hidden="1" customHeight="1" thickBot="1" x14ac:dyDescent="0.25">
      <c r="A167" s="145">
        <v>99101</v>
      </c>
      <c r="B167" s="152" t="s">
        <v>182</v>
      </c>
      <c r="C167" s="80"/>
      <c r="D167" s="88"/>
      <c r="E167" s="169"/>
    </row>
    <row r="168" spans="1:7" ht="18" customHeight="1" thickBot="1" x14ac:dyDescent="0.25">
      <c r="A168" s="147"/>
      <c r="B168" s="156" t="s">
        <v>183</v>
      </c>
      <c r="C168" s="89">
        <f>SUM(C10:C163)</f>
        <v>1567451.9859999989</v>
      </c>
      <c r="D168" s="89">
        <f>SUM(D9:D163)</f>
        <v>1567451.9859999989</v>
      </c>
      <c r="E168" s="89">
        <f>SUM(E8:E163)</f>
        <v>1567451.9859999991</v>
      </c>
    </row>
    <row r="169" spans="1:7" ht="18" customHeight="1" x14ac:dyDescent="0.2">
      <c r="E169" s="225"/>
    </row>
    <row r="170" spans="1:7" ht="18" customHeight="1" x14ac:dyDescent="0.2">
      <c r="E170" s="225"/>
    </row>
    <row r="171" spans="1:7" ht="18" customHeight="1" x14ac:dyDescent="0.2">
      <c r="E171" s="225"/>
    </row>
    <row r="172" spans="1:7" ht="18" customHeight="1" x14ac:dyDescent="0.2">
      <c r="E172" s="225"/>
    </row>
    <row r="173" spans="1:7" s="172" customFormat="1" ht="18" customHeight="1" x14ac:dyDescent="0.2">
      <c r="A173" s="171"/>
      <c r="C173" s="165"/>
      <c r="D173" s="526" t="s">
        <v>542</v>
      </c>
      <c r="E173" s="225">
        <f>'ING. REALES'!R75</f>
        <v>1567451.9900000002</v>
      </c>
      <c r="G173" s="526"/>
    </row>
    <row r="174" spans="1:7" ht="18" customHeight="1" x14ac:dyDescent="0.2">
      <c r="D174" s="784" t="s">
        <v>768</v>
      </c>
      <c r="E174" s="225">
        <f>+E168-E173</f>
        <v>-4.0000011213123798E-3</v>
      </c>
    </row>
    <row r="175" spans="1:7" ht="18" customHeight="1" x14ac:dyDescent="0.2">
      <c r="E175" s="225"/>
    </row>
    <row r="176" spans="1:7" ht="18" customHeight="1" x14ac:dyDescent="0.2">
      <c r="E176" s="225"/>
    </row>
    <row r="177" spans="5:5" ht="18" customHeight="1" x14ac:dyDescent="0.2">
      <c r="E177" s="225"/>
    </row>
    <row r="178" spans="5:5" ht="18" customHeight="1" x14ac:dyDescent="0.2">
      <c r="E178" s="225"/>
    </row>
  </sheetData>
  <phoneticPr fontId="0" type="noConversion"/>
  <printOptions horizontalCentered="1"/>
  <pageMargins left="0.27559055118110237" right="0.15748031496062992" top="0.74803149606299213" bottom="0.78740157480314965" header="0" footer="0"/>
  <pageSetup scale="8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B1:G54"/>
  <sheetViews>
    <sheetView showGridLines="0" topLeftCell="B18" workbookViewId="0">
      <selection activeCell="B1" sqref="B1:D50"/>
    </sheetView>
  </sheetViews>
  <sheetFormatPr baseColWidth="10" defaultRowHeight="12.75" x14ac:dyDescent="0.2"/>
  <cols>
    <col min="1" max="1" width="2" style="596" customWidth="1"/>
    <col min="2" max="2" width="11.42578125" style="596"/>
    <col min="3" max="3" width="53.42578125" style="596" customWidth="1"/>
    <col min="4" max="4" width="18.7109375" style="16" customWidth="1"/>
    <col min="5" max="5" width="12.28515625" style="596" bestFit="1" customWidth="1"/>
    <col min="6" max="6" width="12.5703125" style="596" bestFit="1" customWidth="1"/>
    <col min="7" max="16384" width="11.42578125" style="596"/>
  </cols>
  <sheetData>
    <row r="1" spans="2:5" ht="15" x14ac:dyDescent="0.2">
      <c r="B1" s="1584" t="s">
        <v>249</v>
      </c>
      <c r="C1" s="1584"/>
      <c r="D1" s="1584"/>
    </row>
    <row r="2" spans="2:5" ht="14.25" x14ac:dyDescent="0.2">
      <c r="B2" s="1582" t="s">
        <v>690</v>
      </c>
      <c r="C2" s="1582"/>
      <c r="D2" s="1582"/>
    </row>
    <row r="3" spans="2:5" ht="15" x14ac:dyDescent="0.2">
      <c r="B3" s="1584" t="s">
        <v>862</v>
      </c>
      <c r="C3" s="1584"/>
      <c r="D3" s="1584"/>
    </row>
    <row r="4" spans="2:5" ht="14.25" thickBot="1" x14ac:dyDescent="0.3">
      <c r="B4" s="597"/>
      <c r="C4" s="597"/>
      <c r="D4" s="77"/>
    </row>
    <row r="5" spans="2:5" ht="14.25" x14ac:dyDescent="0.2">
      <c r="B5" s="1585" t="s">
        <v>250</v>
      </c>
      <c r="C5" s="1586"/>
      <c r="D5" s="1587"/>
    </row>
    <row r="6" spans="2:5" ht="14.25" x14ac:dyDescent="0.2">
      <c r="B6" s="1588" t="s">
        <v>251</v>
      </c>
      <c r="C6" s="1589"/>
      <c r="D6" s="1590"/>
    </row>
    <row r="7" spans="2:5" ht="14.25" x14ac:dyDescent="0.2">
      <c r="B7" s="1581" t="s">
        <v>252</v>
      </c>
      <c r="C7" s="1582"/>
      <c r="D7" s="1583"/>
    </row>
    <row r="8" spans="2:5" ht="14.25" thickBot="1" x14ac:dyDescent="0.3">
      <c r="B8" s="1591" t="s">
        <v>425</v>
      </c>
      <c r="C8" s="1592"/>
      <c r="D8" s="1593"/>
    </row>
    <row r="9" spans="2:5" x14ac:dyDescent="0.2">
      <c r="B9" s="598"/>
      <c r="C9" s="598"/>
      <c r="D9" s="78"/>
    </row>
    <row r="10" spans="2:5" x14ac:dyDescent="0.2">
      <c r="B10" s="599">
        <v>11</v>
      </c>
      <c r="C10" s="600" t="s">
        <v>5</v>
      </c>
      <c r="D10" s="79">
        <f>'ING. REALES'!R8</f>
        <v>16137.07</v>
      </c>
      <c r="E10" s="601"/>
    </row>
    <row r="11" spans="2:5" x14ac:dyDescent="0.2">
      <c r="B11" s="602"/>
      <c r="C11" s="603"/>
      <c r="D11" s="604"/>
      <c r="E11" s="605"/>
    </row>
    <row r="12" spans="2:5" x14ac:dyDescent="0.2">
      <c r="B12" s="599">
        <v>12</v>
      </c>
      <c r="C12" s="606" t="s">
        <v>6</v>
      </c>
      <c r="D12" s="81">
        <f>'ING. REALES'!R18</f>
        <v>111740.59</v>
      </c>
      <c r="E12" s="15"/>
    </row>
    <row r="13" spans="2:5" x14ac:dyDescent="0.2">
      <c r="B13" s="602"/>
      <c r="C13" s="603"/>
      <c r="D13" s="81"/>
      <c r="E13" s="605"/>
    </row>
    <row r="14" spans="2:5" x14ac:dyDescent="0.2">
      <c r="B14" s="599">
        <v>14</v>
      </c>
      <c r="C14" s="606" t="s">
        <v>8</v>
      </c>
      <c r="D14" s="81">
        <f>'ING. REALES'!R35</f>
        <v>152046.14000000001</v>
      </c>
      <c r="E14" s="605"/>
    </row>
    <row r="15" spans="2:5" x14ac:dyDescent="0.2">
      <c r="B15" s="602"/>
      <c r="C15" s="603"/>
      <c r="D15" s="81"/>
      <c r="E15" s="605"/>
    </row>
    <row r="16" spans="2:5" x14ac:dyDescent="0.2">
      <c r="B16" s="599">
        <v>15</v>
      </c>
      <c r="C16" s="606" t="s">
        <v>9</v>
      </c>
      <c r="D16" s="81">
        <f>'ING. REALES'!R39</f>
        <v>18164.34</v>
      </c>
      <c r="E16" s="15"/>
    </row>
    <row r="17" spans="2:6" x14ac:dyDescent="0.2">
      <c r="B17" s="602"/>
      <c r="C17" s="603"/>
      <c r="D17" s="81"/>
      <c r="E17" s="605"/>
    </row>
    <row r="18" spans="2:6" x14ac:dyDescent="0.2">
      <c r="B18" s="599">
        <v>16</v>
      </c>
      <c r="C18" s="606" t="s">
        <v>11</v>
      </c>
      <c r="D18" s="81">
        <f>'ING. REALES'!R53</f>
        <v>945947.48</v>
      </c>
      <c r="E18" s="15"/>
      <c r="F18" s="612"/>
    </row>
    <row r="19" spans="2:6" x14ac:dyDescent="0.2">
      <c r="B19" s="602"/>
      <c r="C19" s="603"/>
      <c r="D19" s="81"/>
      <c r="E19" s="605"/>
    </row>
    <row r="20" spans="2:6" x14ac:dyDescent="0.2">
      <c r="B20" s="599">
        <v>22</v>
      </c>
      <c r="C20" s="606" t="s">
        <v>12</v>
      </c>
      <c r="D20" s="426">
        <f>'ING. REALES'!R62</f>
        <v>0</v>
      </c>
      <c r="E20" s="15"/>
    </row>
    <row r="21" spans="2:6" x14ac:dyDescent="0.2">
      <c r="B21" s="602"/>
      <c r="C21" s="603"/>
      <c r="D21" s="81"/>
      <c r="E21" s="605"/>
    </row>
    <row r="22" spans="2:6" x14ac:dyDescent="0.2">
      <c r="B22" s="599">
        <v>31</v>
      </c>
      <c r="C22" s="606" t="s">
        <v>253</v>
      </c>
      <c r="D22" s="81">
        <f>'ING. REALES'!R65</f>
        <v>42506.60000000002</v>
      </c>
      <c r="E22" s="605"/>
    </row>
    <row r="23" spans="2:6" x14ac:dyDescent="0.2">
      <c r="B23" s="602"/>
      <c r="C23" s="603"/>
      <c r="D23" s="81"/>
      <c r="E23" s="605"/>
    </row>
    <row r="24" spans="2:6" x14ac:dyDescent="0.2">
      <c r="B24" s="599">
        <v>32</v>
      </c>
      <c r="C24" s="606" t="s">
        <v>13</v>
      </c>
      <c r="D24" s="81">
        <f>'ING. REALES'!R68</f>
        <v>280909.77</v>
      </c>
      <c r="E24" s="15"/>
      <c r="F24" s="612"/>
    </row>
    <row r="25" spans="2:6" ht="13.5" thickBot="1" x14ac:dyDescent="0.25">
      <c r="B25" s="607"/>
      <c r="C25" s="608"/>
      <c r="D25" s="82"/>
    </row>
    <row r="26" spans="2:6" ht="13.5" thickBot="1" x14ac:dyDescent="0.25">
      <c r="B26" s="609"/>
      <c r="C26" s="610" t="s">
        <v>25</v>
      </c>
      <c r="D26" s="83">
        <f>SUM(D10:D24)</f>
        <v>1567451.9900000002</v>
      </c>
      <c r="E26" s="16"/>
      <c r="F26" s="611"/>
    </row>
    <row r="27" spans="2:6" x14ac:dyDescent="0.2">
      <c r="E27" s="612"/>
    </row>
    <row r="28" spans="2:6" ht="13.5" thickBot="1" x14ac:dyDescent="0.25"/>
    <row r="29" spans="2:6" ht="14.25" x14ac:dyDescent="0.2">
      <c r="B29" s="1585" t="s">
        <v>250</v>
      </c>
      <c r="C29" s="1586"/>
      <c r="D29" s="1587"/>
    </row>
    <row r="30" spans="2:6" ht="14.25" x14ac:dyDescent="0.2">
      <c r="B30" s="1588" t="s">
        <v>254</v>
      </c>
      <c r="C30" s="1589"/>
      <c r="D30" s="1590"/>
    </row>
    <row r="31" spans="2:6" ht="14.25" x14ac:dyDescent="0.2">
      <c r="B31" s="1581" t="s">
        <v>255</v>
      </c>
      <c r="C31" s="1582"/>
      <c r="D31" s="1583"/>
    </row>
    <row r="32" spans="2:6" ht="14.25" thickBot="1" x14ac:dyDescent="0.3">
      <c r="B32" s="1591" t="s">
        <v>953</v>
      </c>
      <c r="C32" s="1592"/>
      <c r="D32" s="1593"/>
    </row>
    <row r="33" spans="2:7" x14ac:dyDescent="0.2">
      <c r="B33" s="613"/>
      <c r="C33" s="598"/>
      <c r="D33" s="84"/>
    </row>
    <row r="34" spans="2:7" x14ac:dyDescent="0.2">
      <c r="B34" s="614">
        <v>51</v>
      </c>
      <c r="C34" s="606" t="s">
        <v>120</v>
      </c>
      <c r="D34" s="85">
        <f>CONSOLIDADO!BS10</f>
        <v>534168.50600000005</v>
      </c>
      <c r="F34" s="615"/>
      <c r="G34" s="785"/>
    </row>
    <row r="35" spans="2:7" x14ac:dyDescent="0.2">
      <c r="B35" s="614"/>
      <c r="C35" s="606"/>
      <c r="D35" s="85"/>
      <c r="F35" s="615"/>
    </row>
    <row r="36" spans="2:7" x14ac:dyDescent="0.2">
      <c r="B36" s="614">
        <v>54</v>
      </c>
      <c r="C36" s="606" t="s">
        <v>27</v>
      </c>
      <c r="D36" s="85">
        <f>CONSOLIDADO!BS44</f>
        <v>490376.28999999893</v>
      </c>
      <c r="F36" s="615"/>
    </row>
    <row r="37" spans="2:7" x14ac:dyDescent="0.2">
      <c r="B37" s="614"/>
      <c r="C37" s="606"/>
      <c r="D37" s="85"/>
      <c r="F37" s="615"/>
    </row>
    <row r="38" spans="2:7" x14ac:dyDescent="0.2">
      <c r="B38" s="614">
        <v>55</v>
      </c>
      <c r="C38" s="606" t="s">
        <v>83</v>
      </c>
      <c r="D38" s="85">
        <f>CONSOLIDADO!BS99</f>
        <v>132090.88</v>
      </c>
      <c r="F38" s="615"/>
    </row>
    <row r="39" spans="2:7" x14ac:dyDescent="0.2">
      <c r="B39" s="614"/>
      <c r="C39" s="606"/>
      <c r="D39" s="85"/>
      <c r="F39" s="615"/>
    </row>
    <row r="40" spans="2:7" x14ac:dyDescent="0.2">
      <c r="B40" s="614">
        <v>56</v>
      </c>
      <c r="C40" s="606" t="s">
        <v>96</v>
      </c>
      <c r="D40" s="85">
        <f>CONSOLIDADO!BS117</f>
        <v>16900</v>
      </c>
      <c r="F40" s="615"/>
    </row>
    <row r="41" spans="2:7" x14ac:dyDescent="0.2">
      <c r="B41" s="614"/>
      <c r="C41" s="606"/>
      <c r="D41" s="85"/>
      <c r="F41" s="615"/>
      <c r="G41" s="611"/>
    </row>
    <row r="42" spans="2:7" x14ac:dyDescent="0.2">
      <c r="B42" s="614">
        <v>61</v>
      </c>
      <c r="C42" s="606" t="s">
        <v>161</v>
      </c>
      <c r="D42" s="85">
        <f>+CONSOLIDADO!BS126</f>
        <v>68861.3</v>
      </c>
      <c r="F42" s="615"/>
    </row>
    <row r="43" spans="2:7" x14ac:dyDescent="0.2">
      <c r="B43" s="614"/>
      <c r="C43" s="606"/>
      <c r="D43" s="85"/>
      <c r="F43" s="615"/>
    </row>
    <row r="44" spans="2:7" x14ac:dyDescent="0.2">
      <c r="B44" s="614">
        <v>71</v>
      </c>
      <c r="C44" s="606" t="s">
        <v>213</v>
      </c>
      <c r="D44" s="85">
        <f>CONSOLIDADO!BS157</f>
        <v>230867.48</v>
      </c>
      <c r="F44" s="615"/>
    </row>
    <row r="45" spans="2:7" x14ac:dyDescent="0.2">
      <c r="B45" s="614"/>
      <c r="C45" s="606"/>
      <c r="D45" s="85"/>
      <c r="F45" s="615"/>
    </row>
    <row r="46" spans="2:7" x14ac:dyDescent="0.2">
      <c r="B46" s="614">
        <v>72</v>
      </c>
      <c r="C46" s="606" t="s">
        <v>13</v>
      </c>
      <c r="D46" s="85">
        <f>CONSOLIDADO!BS163</f>
        <v>94187.53</v>
      </c>
      <c r="F46" s="615"/>
    </row>
    <row r="47" spans="2:7" ht="13.5" thickBot="1" x14ac:dyDescent="0.25">
      <c r="B47" s="616"/>
      <c r="C47" s="606"/>
      <c r="D47" s="85"/>
    </row>
    <row r="48" spans="2:7" ht="13.5" hidden="1" thickBot="1" x14ac:dyDescent="0.25">
      <c r="B48" s="614">
        <v>99</v>
      </c>
      <c r="C48" s="606" t="s">
        <v>181</v>
      </c>
      <c r="D48" s="85"/>
    </row>
    <row r="49" spans="2:6" ht="13.5" hidden="1" thickBot="1" x14ac:dyDescent="0.25">
      <c r="B49" s="617"/>
      <c r="C49" s="618"/>
      <c r="D49" s="86"/>
    </row>
    <row r="50" spans="2:6" ht="13.5" thickBot="1" x14ac:dyDescent="0.25">
      <c r="B50" s="609"/>
      <c r="C50" s="610" t="s">
        <v>25</v>
      </c>
      <c r="D50" s="83">
        <f>SUM(D34:D46)</f>
        <v>1567451.9859999991</v>
      </c>
      <c r="E50" s="619"/>
      <c r="F50" s="615"/>
    </row>
    <row r="54" spans="2:6" x14ac:dyDescent="0.2">
      <c r="F54" s="16"/>
    </row>
  </sheetData>
  <mergeCells count="11">
    <mergeCell ref="B8:D8"/>
    <mergeCell ref="B29:D29"/>
    <mergeCell ref="B30:D30"/>
    <mergeCell ref="B31:D31"/>
    <mergeCell ref="B32:D32"/>
    <mergeCell ref="B7:D7"/>
    <mergeCell ref="B1:D1"/>
    <mergeCell ref="B2:D2"/>
    <mergeCell ref="B3:D3"/>
    <mergeCell ref="B5:D5"/>
    <mergeCell ref="B6:D6"/>
  </mergeCells>
  <printOptions horizontalCentered="1"/>
  <pageMargins left="0.74803149606299213" right="0.35433070866141736" top="0.78740157480314965" bottom="0.78740157480314965" header="0" footer="0"/>
  <pageSetup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indexed="48"/>
  </sheetPr>
  <dimension ref="B1:H54"/>
  <sheetViews>
    <sheetView showGridLines="0" topLeftCell="B37" zoomScaleNormal="100" workbookViewId="0">
      <selection activeCell="B3" sqref="B3:H3"/>
    </sheetView>
  </sheetViews>
  <sheetFormatPr baseColWidth="10" defaultRowHeight="12.75" x14ac:dyDescent="0.2"/>
  <cols>
    <col min="1" max="1" width="2.140625" customWidth="1"/>
    <col min="2" max="2" width="7" customWidth="1"/>
    <col min="3" max="3" width="6.42578125" style="23" customWidth="1"/>
    <col min="4" max="4" width="6.85546875" style="23" customWidth="1"/>
    <col min="5" max="5" width="44.28515625" customWidth="1"/>
    <col min="6" max="6" width="14.85546875" customWidth="1"/>
    <col min="7" max="8" width="14.28515625" customWidth="1"/>
  </cols>
  <sheetData>
    <row r="1" spans="2:8" ht="15" x14ac:dyDescent="0.2">
      <c r="B1" s="1594" t="s">
        <v>249</v>
      </c>
      <c r="C1" s="1594"/>
      <c r="D1" s="1594"/>
      <c r="E1" s="1594"/>
      <c r="F1" s="1594"/>
      <c r="G1" s="1594"/>
      <c r="H1" s="1594"/>
    </row>
    <row r="2" spans="2:8" ht="15" x14ac:dyDescent="0.2">
      <c r="B2" s="1595" t="s">
        <v>783</v>
      </c>
      <c r="C2" s="1595"/>
      <c r="D2" s="1595"/>
      <c r="E2" s="1595"/>
      <c r="F2" s="1595"/>
      <c r="G2" s="1595"/>
      <c r="H2" s="1595"/>
    </row>
    <row r="3" spans="2:8" ht="15" x14ac:dyDescent="0.2">
      <c r="B3" s="1595" t="s">
        <v>862</v>
      </c>
      <c r="C3" s="1595"/>
      <c r="D3" s="1595"/>
      <c r="E3" s="1595"/>
      <c r="F3" s="1595"/>
      <c r="G3" s="1595"/>
      <c r="H3" s="1595"/>
    </row>
    <row r="4" spans="2:8" ht="17.25" customHeight="1" x14ac:dyDescent="0.2">
      <c r="B4" s="1598" t="s">
        <v>250</v>
      </c>
      <c r="C4" s="1598"/>
      <c r="D4" s="1598"/>
      <c r="E4" s="1598"/>
      <c r="F4" s="1598"/>
      <c r="G4" s="1598"/>
      <c r="H4" s="1598"/>
    </row>
    <row r="5" spans="2:8" ht="19.5" customHeight="1" thickBot="1" x14ac:dyDescent="0.25">
      <c r="B5" s="1599" t="s">
        <v>256</v>
      </c>
      <c r="C5" s="1599"/>
      <c r="D5" s="1599"/>
      <c r="E5" s="1599"/>
      <c r="F5" s="1599"/>
      <c r="G5" s="1599"/>
      <c r="H5" s="1599"/>
    </row>
    <row r="6" spans="2:8" ht="12.75" customHeight="1" x14ac:dyDescent="0.25">
      <c r="B6" s="56" t="s">
        <v>257</v>
      </c>
      <c r="C6" s="57" t="s">
        <v>258</v>
      </c>
      <c r="D6" s="58" t="s">
        <v>259</v>
      </c>
      <c r="E6" s="1600" t="s">
        <v>103</v>
      </c>
      <c r="F6" s="1602" t="s">
        <v>241</v>
      </c>
      <c r="G6" s="1602" t="s">
        <v>241</v>
      </c>
      <c r="H6" s="1602" t="s">
        <v>25</v>
      </c>
    </row>
    <row r="7" spans="2:8" ht="16.5" customHeight="1" thickBot="1" x14ac:dyDescent="0.3">
      <c r="B7" s="59" t="s">
        <v>260</v>
      </c>
      <c r="C7" s="60" t="s">
        <v>261</v>
      </c>
      <c r="D7" s="61" t="s">
        <v>262</v>
      </c>
      <c r="E7" s="1601"/>
      <c r="F7" s="1603"/>
      <c r="G7" s="1603"/>
      <c r="H7" s="1603"/>
    </row>
    <row r="8" spans="2:8" ht="21" customHeight="1" x14ac:dyDescent="0.2">
      <c r="B8" s="19" t="s">
        <v>263</v>
      </c>
      <c r="C8" s="62"/>
      <c r="D8" s="453"/>
      <c r="E8" s="450" t="s">
        <v>264</v>
      </c>
      <c r="F8" s="91"/>
      <c r="G8" s="91"/>
      <c r="H8" s="91">
        <f>+G9+G12</f>
        <v>920681.55599999998</v>
      </c>
    </row>
    <row r="9" spans="2:8" ht="21" customHeight="1" x14ac:dyDescent="0.2">
      <c r="B9" s="134"/>
      <c r="C9" s="135" t="s">
        <v>265</v>
      </c>
      <c r="D9" s="135"/>
      <c r="E9" s="7" t="s">
        <v>266</v>
      </c>
      <c r="F9" s="93"/>
      <c r="G9" s="93">
        <f>SUM(F10:F11)</f>
        <v>551550.85</v>
      </c>
      <c r="H9" s="92"/>
    </row>
    <row r="10" spans="2:8" ht="21" customHeight="1" x14ac:dyDescent="0.2">
      <c r="B10" s="134"/>
      <c r="C10" s="135"/>
      <c r="D10" s="135" t="s">
        <v>20</v>
      </c>
      <c r="E10" s="7" t="s">
        <v>267</v>
      </c>
      <c r="F10" s="93">
        <f>CONSOLIDADO!C172+CONSOLIDADO!H172+CONSOLIDADO!AK172</f>
        <v>487357.85</v>
      </c>
      <c r="G10" s="93"/>
      <c r="H10" s="92"/>
    </row>
    <row r="11" spans="2:8" ht="21" customHeight="1" x14ac:dyDescent="0.2">
      <c r="B11" s="134"/>
      <c r="C11" s="135"/>
      <c r="D11" s="135" t="s">
        <v>21</v>
      </c>
      <c r="E11" s="7" t="s">
        <v>428</v>
      </c>
      <c r="F11" s="93">
        <f>CONSOLIDADO!D172+CONSOLIDADO!I172+CONSOLIDADO!AL172</f>
        <v>64193</v>
      </c>
      <c r="G11" s="93"/>
      <c r="H11" s="92"/>
    </row>
    <row r="12" spans="2:8" ht="21" customHeight="1" x14ac:dyDescent="0.2">
      <c r="B12" s="134"/>
      <c r="C12" s="135" t="s">
        <v>269</v>
      </c>
      <c r="D12" s="135"/>
      <c r="E12" s="7" t="s">
        <v>270</v>
      </c>
      <c r="F12" s="93"/>
      <c r="G12" s="93">
        <f>SUM(F13:F14)</f>
        <v>369130.70600000001</v>
      </c>
      <c r="H12" s="92"/>
    </row>
    <row r="13" spans="2:8" ht="21" customHeight="1" x14ac:dyDescent="0.2">
      <c r="B13" s="134"/>
      <c r="C13" s="135"/>
      <c r="D13" s="135" t="s">
        <v>24</v>
      </c>
      <c r="E13" s="451" t="s">
        <v>429</v>
      </c>
      <c r="F13" s="93">
        <f>CONSOLIDADO!E172+CONSOLIDADO!J172+CONSOLIDADO!AM172</f>
        <v>50055</v>
      </c>
      <c r="G13" s="93"/>
      <c r="H13" s="92"/>
    </row>
    <row r="14" spans="2:8" ht="21" customHeight="1" thickBot="1" x14ac:dyDescent="0.25">
      <c r="B14" s="136"/>
      <c r="C14" s="137"/>
      <c r="D14" s="137" t="s">
        <v>244</v>
      </c>
      <c r="E14" s="452" t="s">
        <v>430</v>
      </c>
      <c r="F14" s="94">
        <f>CONSOLIDADO!F172+CONSOLIDADO!K172+CONSOLIDADO!AN172</f>
        <v>319075.70600000001</v>
      </c>
      <c r="G14" s="94"/>
      <c r="H14" s="95"/>
    </row>
    <row r="15" spans="2:8" ht="21" customHeight="1" x14ac:dyDescent="0.2">
      <c r="B15" s="537">
        <v>3</v>
      </c>
      <c r="C15" s="453"/>
      <c r="D15" s="453"/>
      <c r="E15" s="538" t="s">
        <v>271</v>
      </c>
      <c r="F15" s="91"/>
      <c r="G15" s="91"/>
      <c r="H15" s="91">
        <f>+G16</f>
        <v>294325.50999999902</v>
      </c>
    </row>
    <row r="16" spans="2:8" ht="21" customHeight="1" x14ac:dyDescent="0.2">
      <c r="B16" s="53"/>
      <c r="C16" s="135" t="s">
        <v>272</v>
      </c>
      <c r="D16" s="135"/>
      <c r="E16" s="432" t="s">
        <v>273</v>
      </c>
      <c r="F16" s="93"/>
      <c r="G16" s="93">
        <f>SUM(F17:F32)</f>
        <v>294325.50999999902</v>
      </c>
      <c r="H16" s="92"/>
    </row>
    <row r="17" spans="2:8" ht="21" customHeight="1" x14ac:dyDescent="0.2">
      <c r="B17" s="53"/>
      <c r="C17" s="135"/>
      <c r="D17" s="135" t="s">
        <v>224</v>
      </c>
      <c r="E17" s="432" t="s">
        <v>274</v>
      </c>
      <c r="F17" s="80">
        <v>0</v>
      </c>
      <c r="G17" s="93"/>
      <c r="H17" s="92"/>
    </row>
    <row r="18" spans="2:8" ht="21" customHeight="1" x14ac:dyDescent="0.2">
      <c r="B18" s="53"/>
      <c r="C18" s="135"/>
      <c r="D18" s="135" t="s">
        <v>225</v>
      </c>
      <c r="E18" s="432" t="s">
        <v>275</v>
      </c>
      <c r="F18" s="80">
        <f>CONSOLIDADO!N172+CONSOLIDADO!P172+CONSOLIDADO!BO172+CONSOLIDADO!BL172</f>
        <v>52854.68</v>
      </c>
      <c r="G18" s="93"/>
      <c r="H18" s="92"/>
    </row>
    <row r="19" spans="2:8" ht="21" customHeight="1" x14ac:dyDescent="0.2">
      <c r="B19" s="53"/>
      <c r="C19" s="135"/>
      <c r="D19" s="135"/>
      <c r="E19" s="432"/>
      <c r="F19" s="80"/>
      <c r="G19" s="93"/>
      <c r="H19" s="92"/>
    </row>
    <row r="20" spans="2:8" ht="21" customHeight="1" x14ac:dyDescent="0.2">
      <c r="B20" s="53"/>
      <c r="C20" s="454" t="s">
        <v>624</v>
      </c>
      <c r="D20" s="135"/>
      <c r="E20" s="542" t="s">
        <v>650</v>
      </c>
      <c r="F20" s="80"/>
      <c r="G20" s="93">
        <f>SUM(F21:F23)</f>
        <v>177.1</v>
      </c>
      <c r="H20" s="92"/>
    </row>
    <row r="21" spans="2:8" ht="21" customHeight="1" x14ac:dyDescent="0.2">
      <c r="B21" s="53"/>
      <c r="C21" s="454"/>
      <c r="D21" s="454" t="s">
        <v>617</v>
      </c>
      <c r="E21" s="542" t="s">
        <v>646</v>
      </c>
      <c r="F21" s="80">
        <f>CONSOLIDADO!BB172</f>
        <v>177.1</v>
      </c>
      <c r="G21" s="93"/>
      <c r="H21" s="92"/>
    </row>
    <row r="22" spans="2:8" ht="21" customHeight="1" x14ac:dyDescent="0.2">
      <c r="B22" s="53"/>
      <c r="C22" s="135"/>
      <c r="D22" s="454" t="s">
        <v>618</v>
      </c>
      <c r="E22" s="542" t="s">
        <v>647</v>
      </c>
      <c r="F22" s="80">
        <v>0</v>
      </c>
      <c r="G22" s="93"/>
      <c r="H22" s="92"/>
    </row>
    <row r="23" spans="2:8" ht="21" customHeight="1" x14ac:dyDescent="0.2">
      <c r="B23" s="53"/>
      <c r="C23" s="135"/>
      <c r="D23" s="454" t="s">
        <v>625</v>
      </c>
      <c r="E23" s="542" t="s">
        <v>648</v>
      </c>
      <c r="F23" s="80">
        <f>CONSOLIDADO!BD172</f>
        <v>0</v>
      </c>
      <c r="G23" s="93"/>
      <c r="H23" s="92"/>
    </row>
    <row r="24" spans="2:8" ht="21" customHeight="1" x14ac:dyDescent="0.2">
      <c r="B24" s="53"/>
      <c r="C24" s="135"/>
      <c r="D24" s="454"/>
      <c r="E24" s="542"/>
      <c r="F24" s="80"/>
      <c r="G24" s="93"/>
      <c r="H24" s="92"/>
    </row>
    <row r="25" spans="2:8" ht="21" customHeight="1" x14ac:dyDescent="0.2">
      <c r="B25" s="53"/>
      <c r="C25" s="454" t="s">
        <v>905</v>
      </c>
      <c r="D25" s="454"/>
      <c r="E25" s="542" t="s">
        <v>48</v>
      </c>
      <c r="F25" s="80"/>
      <c r="G25" s="93">
        <f>SUM(F26:F32)</f>
        <v>241293.72999999899</v>
      </c>
      <c r="H25" s="92"/>
    </row>
    <row r="26" spans="2:8" ht="21" customHeight="1" x14ac:dyDescent="0.2">
      <c r="B26" s="53"/>
      <c r="C26" s="454"/>
      <c r="D26" s="454" t="s">
        <v>889</v>
      </c>
      <c r="E26" s="542" t="s">
        <v>906</v>
      </c>
      <c r="F26" s="80">
        <f>'AG3'!H69</f>
        <v>54207.05</v>
      </c>
      <c r="G26" s="93"/>
      <c r="H26" s="92"/>
    </row>
    <row r="27" spans="2:8" ht="21" customHeight="1" x14ac:dyDescent="0.2">
      <c r="B27" s="53"/>
      <c r="C27" s="135"/>
      <c r="D27" s="454" t="s">
        <v>891</v>
      </c>
      <c r="E27" s="542" t="s">
        <v>50</v>
      </c>
      <c r="F27" s="80">
        <f>'AG3'!I69</f>
        <v>35072.39</v>
      </c>
      <c r="G27" s="93"/>
      <c r="H27" s="92"/>
    </row>
    <row r="28" spans="2:8" ht="21" customHeight="1" x14ac:dyDescent="0.2">
      <c r="B28" s="53"/>
      <c r="C28" s="135"/>
      <c r="D28" s="454" t="s">
        <v>893</v>
      </c>
      <c r="E28" s="542" t="s">
        <v>907</v>
      </c>
      <c r="F28" s="80">
        <f>'AG3'!J69</f>
        <v>49199.999999999993</v>
      </c>
      <c r="G28" s="93"/>
      <c r="H28" s="92"/>
    </row>
    <row r="29" spans="2:8" ht="21" customHeight="1" x14ac:dyDescent="0.2">
      <c r="B29" s="53"/>
      <c r="C29" s="135"/>
      <c r="D29" s="454" t="s">
        <v>895</v>
      </c>
      <c r="E29" s="542" t="s">
        <v>908</v>
      </c>
      <c r="F29" s="80">
        <f>'AG3'!K69</f>
        <v>2900</v>
      </c>
      <c r="G29" s="93"/>
      <c r="H29" s="92"/>
    </row>
    <row r="30" spans="2:8" ht="21" customHeight="1" x14ac:dyDescent="0.2">
      <c r="B30" s="53"/>
      <c r="C30" s="135"/>
      <c r="D30" s="454"/>
      <c r="E30" s="542"/>
      <c r="F30" s="80"/>
      <c r="G30" s="93"/>
      <c r="H30" s="92"/>
    </row>
    <row r="31" spans="2:8" ht="21" customHeight="1" x14ac:dyDescent="0.2">
      <c r="B31" s="53"/>
      <c r="C31" s="454" t="s">
        <v>950</v>
      </c>
      <c r="D31" s="454"/>
      <c r="E31" s="542" t="s">
        <v>951</v>
      </c>
      <c r="F31" s="80"/>
      <c r="G31" s="93"/>
      <c r="H31" s="92"/>
    </row>
    <row r="32" spans="2:8" ht="21" customHeight="1" x14ac:dyDescent="0.2">
      <c r="B32" s="53"/>
      <c r="C32" s="135"/>
      <c r="D32" s="454" t="s">
        <v>949</v>
      </c>
      <c r="E32" s="542" t="s">
        <v>909</v>
      </c>
      <c r="F32" s="80">
        <f>'AG3'!L69</f>
        <v>99914.289999999004</v>
      </c>
      <c r="G32" s="93"/>
      <c r="H32" s="92"/>
    </row>
    <row r="33" spans="2:8" ht="21" customHeight="1" thickBot="1" x14ac:dyDescent="0.25">
      <c r="B33" s="539"/>
      <c r="C33" s="137"/>
      <c r="D33" s="137"/>
      <c r="E33" s="541"/>
      <c r="F33" s="222"/>
      <c r="G33" s="94"/>
      <c r="H33" s="95"/>
    </row>
    <row r="34" spans="2:8" ht="21" customHeight="1" x14ac:dyDescent="0.2">
      <c r="B34" s="53">
        <v>4</v>
      </c>
      <c r="C34" s="63"/>
      <c r="D34" s="63"/>
      <c r="E34" s="54" t="s">
        <v>276</v>
      </c>
      <c r="F34" s="92"/>
      <c r="G34" s="92"/>
      <c r="H34" s="92">
        <f>+G35</f>
        <v>840</v>
      </c>
    </row>
    <row r="35" spans="2:8" ht="21" customHeight="1" x14ac:dyDescent="0.2">
      <c r="B35" s="53"/>
      <c r="C35" s="135" t="s">
        <v>277</v>
      </c>
      <c r="D35" s="135"/>
      <c r="E35" s="432" t="s">
        <v>278</v>
      </c>
      <c r="F35" s="93"/>
      <c r="G35" s="93">
        <f>+F36+F37</f>
        <v>840</v>
      </c>
      <c r="H35" s="92"/>
    </row>
    <row r="36" spans="2:8" ht="21" customHeight="1" x14ac:dyDescent="0.2">
      <c r="B36" s="53"/>
      <c r="C36" s="135"/>
      <c r="D36" s="135" t="s">
        <v>226</v>
      </c>
      <c r="E36" s="432" t="s">
        <v>279</v>
      </c>
      <c r="F36" s="93">
        <f>CONSOLIDADO!O172+CONSOLIDADO!Q172+CONSOLIDADO!BJ172+CONSOLIDADO!BP172</f>
        <v>840</v>
      </c>
      <c r="G36" s="93"/>
      <c r="H36" s="92"/>
    </row>
    <row r="37" spans="2:8" ht="21" customHeight="1" thickBot="1" x14ac:dyDescent="0.25">
      <c r="B37" s="539"/>
      <c r="C37" s="137"/>
      <c r="D37" s="137" t="s">
        <v>408</v>
      </c>
      <c r="E37" s="540" t="s">
        <v>608</v>
      </c>
      <c r="F37" s="94">
        <v>0</v>
      </c>
      <c r="G37" s="94"/>
      <c r="H37" s="95"/>
    </row>
    <row r="38" spans="2:8" ht="21" customHeight="1" x14ac:dyDescent="0.2">
      <c r="B38" s="55">
        <v>5</v>
      </c>
      <c r="C38" s="63"/>
      <c r="D38" s="63"/>
      <c r="E38" s="46" t="s">
        <v>280</v>
      </c>
      <c r="F38" s="92"/>
      <c r="G38" s="92"/>
      <c r="H38" s="92">
        <f>+G39</f>
        <v>351604.92000000004</v>
      </c>
    </row>
    <row r="39" spans="2:8" ht="21" customHeight="1" x14ac:dyDescent="0.2">
      <c r="B39" s="22"/>
      <c r="C39" s="135" t="s">
        <v>281</v>
      </c>
      <c r="D39" s="135"/>
      <c r="E39" s="7" t="s">
        <v>282</v>
      </c>
      <c r="F39" s="93"/>
      <c r="G39" s="93">
        <f>F40+F41+F42</f>
        <v>351604.92000000004</v>
      </c>
      <c r="H39" s="92"/>
    </row>
    <row r="40" spans="2:8" ht="21" customHeight="1" x14ac:dyDescent="0.2">
      <c r="B40" s="22"/>
      <c r="C40" s="135"/>
      <c r="D40" s="135" t="s">
        <v>227</v>
      </c>
      <c r="E40" s="7" t="s">
        <v>283</v>
      </c>
      <c r="F40" s="93">
        <f>+CONSOLIDADO!AX172</f>
        <v>230867.48</v>
      </c>
      <c r="G40" s="93"/>
      <c r="H40" s="92"/>
    </row>
    <row r="41" spans="2:8" ht="21" customHeight="1" x14ac:dyDescent="0.2">
      <c r="B41" s="22"/>
      <c r="C41" s="135"/>
      <c r="D41" s="454" t="s">
        <v>544</v>
      </c>
      <c r="E41" s="157" t="s">
        <v>548</v>
      </c>
      <c r="F41" s="93">
        <f>CONSOLIDADO!AY172</f>
        <v>120737.44000000002</v>
      </c>
      <c r="G41" s="93"/>
      <c r="H41" s="92"/>
    </row>
    <row r="42" spans="2:8" ht="21" customHeight="1" thickBot="1" x14ac:dyDescent="0.25">
      <c r="B42" s="22"/>
      <c r="C42" s="135"/>
      <c r="D42" s="137" t="s">
        <v>416</v>
      </c>
      <c r="E42" s="7" t="s">
        <v>427</v>
      </c>
      <c r="F42" s="93">
        <f>+CONSOLIDADO!AZ172</f>
        <v>0</v>
      </c>
      <c r="G42" s="93"/>
      <c r="H42" s="92"/>
    </row>
    <row r="43" spans="2:8" ht="21" customHeight="1" thickBot="1" x14ac:dyDescent="0.25">
      <c r="B43" s="1364" t="s">
        <v>25</v>
      </c>
      <c r="C43" s="1596"/>
      <c r="D43" s="1596"/>
      <c r="E43" s="1597"/>
      <c r="F43" s="96">
        <f>SUM(F8:F42)</f>
        <v>1567451.9859999991</v>
      </c>
      <c r="G43" s="96">
        <f>SUM(G8:G40)</f>
        <v>1808922.8159999982</v>
      </c>
      <c r="H43" s="96">
        <f>SUM(H8:H40)</f>
        <v>1567451.9859999991</v>
      </c>
    </row>
    <row r="45" spans="2:8" x14ac:dyDescent="0.2">
      <c r="H45" s="16">
        <f>'ING. REALES'!R75</f>
        <v>1567451.9900000002</v>
      </c>
    </row>
    <row r="47" spans="2:8" hidden="1" x14ac:dyDescent="0.2"/>
    <row r="48" spans="2:8" ht="13.5" hidden="1" thickBot="1" x14ac:dyDescent="0.25"/>
    <row r="49" spans="8:8" ht="13.5" hidden="1" thickBot="1" x14ac:dyDescent="0.25">
      <c r="H49" s="517">
        <f>'ING. REALES'!R75</f>
        <v>1567451.9900000002</v>
      </c>
    </row>
    <row r="50" spans="8:8" hidden="1" x14ac:dyDescent="0.2"/>
    <row r="51" spans="8:8" hidden="1" x14ac:dyDescent="0.2">
      <c r="H51" s="219">
        <f>H43-H49</f>
        <v>-4.0000011213123798E-3</v>
      </c>
    </row>
    <row r="52" spans="8:8" hidden="1" x14ac:dyDescent="0.2"/>
    <row r="53" spans="8:8" hidden="1" x14ac:dyDescent="0.2">
      <c r="H53" s="219"/>
    </row>
    <row r="54" spans="8:8" x14ac:dyDescent="0.2">
      <c r="H54" s="1">
        <f>+H43-H45</f>
        <v>-4.0000011213123798E-3</v>
      </c>
    </row>
  </sheetData>
  <mergeCells count="10">
    <mergeCell ref="B1:H1"/>
    <mergeCell ref="B2:H2"/>
    <mergeCell ref="B3:H3"/>
    <mergeCell ref="B43:E43"/>
    <mergeCell ref="B4:H4"/>
    <mergeCell ref="B5:H5"/>
    <mergeCell ref="E6:E7"/>
    <mergeCell ref="F6:F7"/>
    <mergeCell ref="G6:G7"/>
    <mergeCell ref="H6:H7"/>
  </mergeCells>
  <phoneticPr fontId="0" type="noConversion"/>
  <pageMargins left="0.98425196850393704" right="0.59055118110236227" top="0.62992125984251968" bottom="0.62992125984251968" header="0" footer="0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indexed="48"/>
  </sheetPr>
  <dimension ref="A3:F34"/>
  <sheetViews>
    <sheetView showGridLines="0" workbookViewId="0">
      <selection activeCell="C2" sqref="C2"/>
    </sheetView>
  </sheetViews>
  <sheetFormatPr baseColWidth="10" defaultRowHeight="12.75" x14ac:dyDescent="0.2"/>
  <cols>
    <col min="1" max="1" width="8.5703125" customWidth="1"/>
    <col min="2" max="2" width="34" customWidth="1"/>
    <col min="3" max="4" width="18" style="16" customWidth="1"/>
    <col min="6" max="6" width="13.85546875" bestFit="1" customWidth="1"/>
  </cols>
  <sheetData>
    <row r="3" spans="1:6" ht="15" x14ac:dyDescent="0.2">
      <c r="A3" s="826" t="s">
        <v>498</v>
      </c>
      <c r="B3" s="826"/>
      <c r="C3" s="826"/>
      <c r="D3" s="826"/>
    </row>
    <row r="4" spans="1:6" ht="15" x14ac:dyDescent="0.2">
      <c r="A4" s="826" t="s">
        <v>784</v>
      </c>
      <c r="B4" s="826"/>
      <c r="C4" s="826"/>
      <c r="D4" s="826"/>
    </row>
    <row r="5" spans="1:6" ht="15" x14ac:dyDescent="0.2">
      <c r="A5" s="828" t="s">
        <v>901</v>
      </c>
      <c r="B5" s="828"/>
      <c r="C5" s="828"/>
      <c r="D5" s="828"/>
    </row>
    <row r="6" spans="1:6" ht="13.5" x14ac:dyDescent="0.25">
      <c r="A6" s="52"/>
      <c r="B6" s="66"/>
      <c r="C6" s="77"/>
      <c r="D6" s="77"/>
    </row>
    <row r="7" spans="1:6" ht="14.25" thickBot="1" x14ac:dyDescent="0.3">
      <c r="A7" s="52"/>
      <c r="B7" s="66"/>
      <c r="C7" s="77"/>
      <c r="D7" s="77"/>
    </row>
    <row r="8" spans="1:6" ht="14.25" x14ac:dyDescent="0.2">
      <c r="A8" s="829" t="s">
        <v>284</v>
      </c>
      <c r="B8" s="830"/>
      <c r="C8" s="830"/>
      <c r="D8" s="831"/>
    </row>
    <row r="9" spans="1:6" ht="14.25" thickBot="1" x14ac:dyDescent="0.3">
      <c r="A9" s="832" t="s">
        <v>425</v>
      </c>
      <c r="B9" s="833"/>
      <c r="C9" s="833"/>
      <c r="D9" s="834"/>
    </row>
    <row r="10" spans="1:6" ht="15.75" thickBot="1" x14ac:dyDescent="0.3">
      <c r="A10" s="67" t="s">
        <v>285</v>
      </c>
      <c r="B10" s="68" t="s">
        <v>286</v>
      </c>
      <c r="C10" s="87" t="s">
        <v>287</v>
      </c>
      <c r="D10" s="87" t="s">
        <v>288</v>
      </c>
    </row>
    <row r="11" spans="1:6" x14ac:dyDescent="0.2">
      <c r="A11" s="69"/>
      <c r="C11" s="88"/>
      <c r="D11" s="88"/>
    </row>
    <row r="12" spans="1:6" x14ac:dyDescent="0.2">
      <c r="A12" s="53">
        <v>1</v>
      </c>
      <c r="B12" s="46" t="s">
        <v>770</v>
      </c>
      <c r="C12" s="81">
        <f>'ING. REALES'!N75</f>
        <v>979116.42999999993</v>
      </c>
      <c r="D12" s="81">
        <f>CONSOLIDADO!AW172+CONSOLIDADO!BA172+CONSOLIDADO!BE172+CONSOLIDADO!BK172+CONSOLIDADO!BN172</f>
        <v>979116.42599999905</v>
      </c>
      <c r="E12" s="11"/>
      <c r="F12" s="1"/>
    </row>
    <row r="13" spans="1:6" x14ac:dyDescent="0.2">
      <c r="A13" s="53"/>
      <c r="B13" s="46" t="s">
        <v>771</v>
      </c>
      <c r="C13" s="81"/>
      <c r="D13" s="81"/>
      <c r="E13" s="11"/>
      <c r="F13" s="1"/>
    </row>
    <row r="14" spans="1:6" x14ac:dyDescent="0.2">
      <c r="A14" s="53"/>
      <c r="B14" s="46"/>
      <c r="C14" s="81"/>
      <c r="D14" s="88"/>
      <c r="F14" s="1"/>
    </row>
    <row r="15" spans="1:6" x14ac:dyDescent="0.2">
      <c r="A15" s="53">
        <v>2</v>
      </c>
      <c r="B15" s="46" t="s">
        <v>289</v>
      </c>
      <c r="C15" s="81">
        <f>+'ING. REALES'!O75</f>
        <v>541260.5199999999</v>
      </c>
      <c r="D15" s="81">
        <f>+CONSOLIDADO!G172</f>
        <v>541260.52</v>
      </c>
      <c r="E15" s="11"/>
      <c r="F15" s="1"/>
    </row>
    <row r="16" spans="1:6" x14ac:dyDescent="0.2">
      <c r="A16" s="53"/>
      <c r="B16" s="46"/>
      <c r="C16" s="81"/>
      <c r="D16" s="88"/>
      <c r="F16" s="1"/>
    </row>
    <row r="17" spans="1:6" x14ac:dyDescent="0.2">
      <c r="A17" s="53">
        <v>3</v>
      </c>
      <c r="B17" s="46" t="s">
        <v>290</v>
      </c>
      <c r="C17" s="81">
        <v>0</v>
      </c>
      <c r="D17" s="81">
        <v>0</v>
      </c>
      <c r="F17" s="1"/>
    </row>
    <row r="18" spans="1:6" x14ac:dyDescent="0.2">
      <c r="A18" s="53"/>
      <c r="B18" s="46"/>
      <c r="C18" s="81"/>
      <c r="D18" s="88"/>
      <c r="F18" s="1"/>
    </row>
    <row r="19" spans="1:6" x14ac:dyDescent="0.2">
      <c r="A19" s="53">
        <v>4</v>
      </c>
      <c r="B19" s="46" t="s">
        <v>291</v>
      </c>
      <c r="C19" s="81">
        <f>+'ING. REALES'!Q75</f>
        <v>47075.040000000023</v>
      </c>
      <c r="D19" s="81">
        <f>+CONSOLIDADO!BQ172</f>
        <v>47075.040000000001</v>
      </c>
      <c r="F19" s="1"/>
    </row>
    <row r="20" spans="1:6" x14ac:dyDescent="0.2">
      <c r="A20" s="53"/>
      <c r="B20" s="46"/>
      <c r="C20" s="81"/>
      <c r="D20" s="81"/>
      <c r="F20" s="1"/>
    </row>
    <row r="21" spans="1:6" x14ac:dyDescent="0.2">
      <c r="A21" s="53">
        <v>5</v>
      </c>
      <c r="B21" s="46" t="s">
        <v>421</v>
      </c>
      <c r="C21" s="81">
        <f>+'ING. REALES'!P75</f>
        <v>0</v>
      </c>
      <c r="D21" s="81">
        <f>C21</f>
        <v>0</v>
      </c>
      <c r="F21" s="1"/>
    </row>
    <row r="22" spans="1:6" x14ac:dyDescent="0.2">
      <c r="A22" s="53"/>
      <c r="B22" s="46"/>
      <c r="C22" s="81"/>
      <c r="D22" s="88"/>
      <c r="F22" s="1"/>
    </row>
    <row r="23" spans="1:6" ht="13.5" thickBot="1" x14ac:dyDescent="0.25">
      <c r="A23" s="64"/>
      <c r="C23" s="81"/>
      <c r="D23" s="88"/>
      <c r="F23" s="1"/>
    </row>
    <row r="24" spans="1:6" ht="13.5" thickBot="1" x14ac:dyDescent="0.25">
      <c r="A24" s="70"/>
      <c r="B24" s="65" t="s">
        <v>183</v>
      </c>
      <c r="C24" s="89">
        <f>SUM(C11:C23)</f>
        <v>1567451.9899999998</v>
      </c>
      <c r="D24" s="89">
        <f>SUM(D11:D23)</f>
        <v>1567451.9859999991</v>
      </c>
    </row>
    <row r="25" spans="1:6" x14ac:dyDescent="0.2">
      <c r="B25" s="23"/>
      <c r="C25" s="90"/>
      <c r="D25" s="526"/>
    </row>
    <row r="26" spans="1:6" ht="15.75" x14ac:dyDescent="0.25">
      <c r="B26" s="71"/>
      <c r="D26" s="526"/>
      <c r="F26" s="17"/>
    </row>
    <row r="27" spans="1:6" hidden="1" x14ac:dyDescent="0.2">
      <c r="C27" s="16">
        <v>1529253.2799999998</v>
      </c>
      <c r="D27" s="526"/>
    </row>
    <row r="28" spans="1:6" hidden="1" x14ac:dyDescent="0.2">
      <c r="D28" s="526"/>
    </row>
    <row r="29" spans="1:6" hidden="1" x14ac:dyDescent="0.2">
      <c r="C29" s="16">
        <f>+C24-C27</f>
        <v>38198.709999999963</v>
      </c>
      <c r="D29" s="526"/>
    </row>
    <row r="30" spans="1:6" hidden="1" x14ac:dyDescent="0.2">
      <c r="D30" s="526"/>
    </row>
    <row r="31" spans="1:6" hidden="1" x14ac:dyDescent="0.2">
      <c r="D31" s="526"/>
    </row>
    <row r="32" spans="1:6" hidden="1" x14ac:dyDescent="0.2">
      <c r="D32" s="526"/>
    </row>
    <row r="33" spans="4:4" x14ac:dyDescent="0.2">
      <c r="D33" s="526"/>
    </row>
    <row r="34" spans="4:4" x14ac:dyDescent="0.2">
      <c r="D34" s="526"/>
    </row>
  </sheetData>
  <phoneticPr fontId="8" type="noConversion"/>
  <printOptions horizontalCentered="1"/>
  <pageMargins left="0.74803149606299213" right="0.74803149606299213" top="1.3779527559055118" bottom="0.98425196850393704" header="0" footer="0"/>
  <pageSetup scale="8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tabColor indexed="48"/>
  </sheetPr>
  <dimension ref="B1:M67"/>
  <sheetViews>
    <sheetView showGridLines="0" topLeftCell="A8" zoomScale="80" zoomScaleNormal="80" workbookViewId="0">
      <selection activeCell="P20" sqref="P20"/>
    </sheetView>
  </sheetViews>
  <sheetFormatPr baseColWidth="10" defaultRowHeight="12.75" x14ac:dyDescent="0.2"/>
  <cols>
    <col min="1" max="1" width="1.7109375" customWidth="1"/>
    <col min="2" max="2" width="8.140625" style="23" customWidth="1"/>
    <col min="3" max="3" width="39.7109375" customWidth="1"/>
    <col min="4" max="4" width="15.28515625" customWidth="1"/>
    <col min="5" max="5" width="15.140625" customWidth="1"/>
    <col min="6" max="6" width="18.140625" hidden="1" customWidth="1"/>
    <col min="7" max="7" width="15.140625" customWidth="1"/>
    <col min="8" max="8" width="12.42578125" customWidth="1"/>
    <col min="9" max="9" width="16" customWidth="1"/>
    <col min="10" max="10" width="12.28515625" bestFit="1" customWidth="1"/>
    <col min="11" max="12" width="11.5703125" bestFit="1" customWidth="1"/>
    <col min="13" max="13" width="16.42578125" customWidth="1"/>
  </cols>
  <sheetData>
    <row r="1" spans="2:13" ht="15.75" x14ac:dyDescent="0.25">
      <c r="B1" s="835" t="s">
        <v>249</v>
      </c>
      <c r="C1" s="835"/>
      <c r="D1" s="835"/>
      <c r="E1" s="835"/>
      <c r="F1" s="835"/>
      <c r="G1" s="835"/>
      <c r="H1" s="835"/>
      <c r="I1" s="835"/>
      <c r="J1" s="20"/>
    </row>
    <row r="2" spans="2:13" ht="15.75" x14ac:dyDescent="0.25">
      <c r="B2" s="836" t="s">
        <v>785</v>
      </c>
      <c r="C2" s="836"/>
      <c r="D2" s="836"/>
      <c r="E2" s="836"/>
      <c r="F2" s="836"/>
      <c r="G2" s="836"/>
      <c r="H2" s="836"/>
      <c r="I2" s="836"/>
      <c r="J2" s="21"/>
    </row>
    <row r="3" spans="2:13" ht="15.75" x14ac:dyDescent="0.25">
      <c r="B3" s="836" t="s">
        <v>862</v>
      </c>
      <c r="C3" s="836"/>
      <c r="D3" s="836"/>
      <c r="E3" s="836"/>
      <c r="F3" s="836"/>
      <c r="G3" s="836"/>
      <c r="H3" s="836"/>
      <c r="I3" s="836"/>
      <c r="J3" s="21"/>
    </row>
    <row r="4" spans="2:13" ht="19.5" customHeight="1" x14ac:dyDescent="0.25">
      <c r="B4" s="835" t="s">
        <v>250</v>
      </c>
      <c r="C4" s="835"/>
      <c r="D4" s="835"/>
      <c r="E4" s="835"/>
      <c r="F4" s="835"/>
      <c r="G4" s="835"/>
      <c r="H4" s="835"/>
      <c r="I4" s="835"/>
      <c r="J4" s="20"/>
    </row>
    <row r="5" spans="2:13" ht="18.75" customHeight="1" x14ac:dyDescent="0.25">
      <c r="B5" s="836" t="s">
        <v>292</v>
      </c>
      <c r="C5" s="836"/>
      <c r="D5" s="836"/>
      <c r="E5" s="836"/>
      <c r="F5" s="836"/>
      <c r="G5" s="836"/>
      <c r="H5" s="836"/>
      <c r="I5" s="836"/>
      <c r="J5" s="21"/>
    </row>
    <row r="6" spans="2:13" ht="18.75" customHeight="1" thickBot="1" x14ac:dyDescent="0.3">
      <c r="B6" s="132"/>
      <c r="C6" s="132"/>
      <c r="D6" s="132"/>
      <c r="E6" s="132"/>
      <c r="F6" s="132"/>
      <c r="G6" s="132"/>
      <c r="H6" s="132"/>
      <c r="I6" s="132"/>
      <c r="J6" s="21"/>
    </row>
    <row r="7" spans="2:13" ht="15" customHeight="1" x14ac:dyDescent="0.2">
      <c r="B7" s="1606" t="s">
        <v>293</v>
      </c>
      <c r="C7" s="1608" t="s">
        <v>294</v>
      </c>
      <c r="D7" s="1604" t="s">
        <v>295</v>
      </c>
      <c r="E7" s="1604" t="s">
        <v>296</v>
      </c>
      <c r="F7" s="1604" t="s">
        <v>297</v>
      </c>
      <c r="G7" s="1604" t="s">
        <v>298</v>
      </c>
      <c r="H7" s="1604" t="s">
        <v>299</v>
      </c>
      <c r="I7" s="1604" t="s">
        <v>25</v>
      </c>
    </row>
    <row r="8" spans="2:13" ht="15" customHeight="1" thickBot="1" x14ac:dyDescent="0.25">
      <c r="B8" s="1607"/>
      <c r="C8" s="1609"/>
      <c r="D8" s="1605"/>
      <c r="E8" s="1605"/>
      <c r="F8" s="1605"/>
      <c r="G8" s="1605"/>
      <c r="H8" s="1605"/>
      <c r="I8" s="1605"/>
    </row>
    <row r="9" spans="2:13" ht="24.95" customHeight="1" x14ac:dyDescent="0.2">
      <c r="B9" s="455" t="s">
        <v>263</v>
      </c>
      <c r="C9" s="450" t="s">
        <v>264</v>
      </c>
      <c r="D9" s="91">
        <f>D10+D13</f>
        <v>379421.03599999996</v>
      </c>
      <c r="E9" s="91">
        <f>E10+E13</f>
        <v>541260.52</v>
      </c>
      <c r="F9" s="91"/>
      <c r="G9" s="91">
        <v>0</v>
      </c>
      <c r="H9" s="91">
        <v>0</v>
      </c>
      <c r="I9" s="91">
        <f>I10+I13</f>
        <v>920681.55599999998</v>
      </c>
    </row>
    <row r="10" spans="2:13" ht="24.95" customHeight="1" x14ac:dyDescent="0.2">
      <c r="B10" s="456" t="s">
        <v>265</v>
      </c>
      <c r="C10" s="46" t="s">
        <v>266</v>
      </c>
      <c r="D10" s="92">
        <f>D11+D12</f>
        <v>221524.62</v>
      </c>
      <c r="E10" s="92">
        <f>E11+E12</f>
        <v>330026.23</v>
      </c>
      <c r="F10" s="92"/>
      <c r="G10" s="92">
        <v>0</v>
      </c>
      <c r="H10" s="92">
        <v>0</v>
      </c>
      <c r="I10" s="92">
        <f>I11+I12</f>
        <v>551550.85</v>
      </c>
      <c r="J10" s="16"/>
      <c r="K10" s="16"/>
      <c r="L10" s="16"/>
      <c r="M10" s="16"/>
    </row>
    <row r="11" spans="2:13" ht="24.95" customHeight="1" x14ac:dyDescent="0.2">
      <c r="B11" s="457" t="s">
        <v>20</v>
      </c>
      <c r="C11" s="7" t="s">
        <v>300</v>
      </c>
      <c r="D11" s="93">
        <f>CONSOLIDADO!H172+CONSOLIDADO!AK172</f>
        <v>190924.62</v>
      </c>
      <c r="E11" s="93">
        <f>+CONSOLIDADO!C172</f>
        <v>296433.23</v>
      </c>
      <c r="F11" s="93"/>
      <c r="G11" s="93">
        <v>0</v>
      </c>
      <c r="H11" s="93">
        <v>0</v>
      </c>
      <c r="I11" s="93">
        <f>D11+E11+F11+G11+H11</f>
        <v>487357.85</v>
      </c>
      <c r="J11" s="16"/>
      <c r="K11" s="16"/>
      <c r="L11" s="16"/>
      <c r="M11" s="16"/>
    </row>
    <row r="12" spans="2:13" ht="24.95" customHeight="1" x14ac:dyDescent="0.2">
      <c r="B12" s="457" t="s">
        <v>21</v>
      </c>
      <c r="C12" s="7" t="s">
        <v>268</v>
      </c>
      <c r="D12" s="93">
        <f>CONSOLIDADO!I172+CONSOLIDADO!AL172</f>
        <v>30600</v>
      </c>
      <c r="E12" s="93">
        <f>+CONSOLIDADO!D172</f>
        <v>33593</v>
      </c>
      <c r="F12" s="93"/>
      <c r="G12" s="93">
        <v>0</v>
      </c>
      <c r="H12" s="93">
        <v>0</v>
      </c>
      <c r="I12" s="93">
        <f>D12+E12+F12+G12+H12</f>
        <v>64193</v>
      </c>
      <c r="K12" s="3"/>
    </row>
    <row r="13" spans="2:13" ht="24.95" customHeight="1" x14ac:dyDescent="0.2">
      <c r="B13" s="456" t="s">
        <v>269</v>
      </c>
      <c r="C13" s="46" t="s">
        <v>270</v>
      </c>
      <c r="D13" s="92">
        <f>SUM(D14:D15)</f>
        <v>157896.416</v>
      </c>
      <c r="E13" s="92">
        <f>SUM(E14:E15)</f>
        <v>211234.29</v>
      </c>
      <c r="F13" s="92"/>
      <c r="G13" s="92">
        <v>0</v>
      </c>
      <c r="H13" s="92">
        <v>0</v>
      </c>
      <c r="I13" s="92">
        <f>+I14+I15</f>
        <v>369130.70600000001</v>
      </c>
      <c r="K13" s="3"/>
    </row>
    <row r="14" spans="2:13" ht="24.95" customHeight="1" x14ac:dyDescent="0.2">
      <c r="B14" s="457" t="s">
        <v>24</v>
      </c>
      <c r="C14" s="7" t="s">
        <v>429</v>
      </c>
      <c r="D14" s="93">
        <f>CONSOLIDADO!J172+CONSOLIDADO!AM172</f>
        <v>35410</v>
      </c>
      <c r="E14" s="93">
        <f>+CONSOLIDADO!E172</f>
        <v>14645</v>
      </c>
      <c r="F14" s="92"/>
      <c r="G14" s="223">
        <v>0</v>
      </c>
      <c r="H14" s="223">
        <v>0</v>
      </c>
      <c r="I14" s="93">
        <f>D14+E14+F14+G14+H14</f>
        <v>50055</v>
      </c>
      <c r="K14" s="3"/>
    </row>
    <row r="15" spans="2:13" ht="24.95" customHeight="1" thickBot="1" x14ac:dyDescent="0.25">
      <c r="B15" s="458" t="s">
        <v>244</v>
      </c>
      <c r="C15" s="452" t="s">
        <v>430</v>
      </c>
      <c r="D15" s="94">
        <f>CONSOLIDADO!K172+CONSOLIDADO!AN172</f>
        <v>122486.416</v>
      </c>
      <c r="E15" s="94">
        <f>+CONSOLIDADO!F172</f>
        <v>196589.29</v>
      </c>
      <c r="F15" s="95"/>
      <c r="G15" s="224">
        <v>0</v>
      </c>
      <c r="H15" s="224">
        <v>0</v>
      </c>
      <c r="I15" s="94">
        <f>D15+E15+F15+G15+H15</f>
        <v>319075.70600000001</v>
      </c>
      <c r="K15" s="18"/>
    </row>
    <row r="16" spans="2:13" ht="24.95" customHeight="1" x14ac:dyDescent="0.2">
      <c r="B16" s="456" t="s">
        <v>301</v>
      </c>
      <c r="C16" s="410" t="s">
        <v>271</v>
      </c>
      <c r="D16" s="92">
        <f>D17+D23</f>
        <v>247250.46999999898</v>
      </c>
      <c r="E16" s="92">
        <f t="shared" ref="E16:H16" si="0">E17</f>
        <v>0</v>
      </c>
      <c r="F16" s="92">
        <f t="shared" si="0"/>
        <v>0</v>
      </c>
      <c r="G16" s="92">
        <f t="shared" si="0"/>
        <v>47075.040000000001</v>
      </c>
      <c r="H16" s="92">
        <f t="shared" si="0"/>
        <v>0</v>
      </c>
      <c r="I16" s="92">
        <f>I17+I23</f>
        <v>294325.50999999896</v>
      </c>
      <c r="M16" s="1"/>
    </row>
    <row r="17" spans="2:9" ht="24.95" customHeight="1" x14ac:dyDescent="0.2">
      <c r="B17" s="456" t="s">
        <v>272</v>
      </c>
      <c r="C17" s="46" t="s">
        <v>273</v>
      </c>
      <c r="D17" s="92">
        <f>D18+D19+D20+D22</f>
        <v>5956.7400000000007</v>
      </c>
      <c r="E17" s="92">
        <f>E18+E19</f>
        <v>0</v>
      </c>
      <c r="F17" s="92">
        <f>F18+F19</f>
        <v>0</v>
      </c>
      <c r="G17" s="92">
        <f>G18+G19</f>
        <v>47075.040000000001</v>
      </c>
      <c r="H17" s="92">
        <f>H18+H19</f>
        <v>0</v>
      </c>
      <c r="I17" s="92">
        <f>+I18+I19+I20+I22</f>
        <v>53031.78</v>
      </c>
    </row>
    <row r="18" spans="2:9" ht="24.95" customHeight="1" x14ac:dyDescent="0.2">
      <c r="B18" s="457" t="s">
        <v>224</v>
      </c>
      <c r="C18" s="7" t="s">
        <v>302</v>
      </c>
      <c r="D18" s="93">
        <f>CONSOLIDADO!M172</f>
        <v>0</v>
      </c>
      <c r="E18" s="223">
        <v>0</v>
      </c>
      <c r="F18" s="223">
        <v>0</v>
      </c>
      <c r="G18" s="223">
        <v>0</v>
      </c>
      <c r="H18" s="223">
        <v>0</v>
      </c>
      <c r="I18" s="93">
        <f>D18+E18+F18+G18+H18</f>
        <v>0</v>
      </c>
    </row>
    <row r="19" spans="2:9" ht="24.95" customHeight="1" x14ac:dyDescent="0.2">
      <c r="B19" s="457" t="s">
        <v>225</v>
      </c>
      <c r="C19" s="7" t="s">
        <v>275</v>
      </c>
      <c r="D19" s="93">
        <f>CONSOLIDADO!N172+CONSOLIDADO!P172+CONSOLIDADO!BL172</f>
        <v>5779.64</v>
      </c>
      <c r="E19" s="93">
        <v>0</v>
      </c>
      <c r="F19" s="92"/>
      <c r="G19" s="93">
        <f>+CONSOLIDADO!BO172</f>
        <v>47075.040000000001</v>
      </c>
      <c r="H19" s="93">
        <f>+CONSOLIDADO!BR172</f>
        <v>0</v>
      </c>
      <c r="I19" s="93">
        <f>D19+E19+F19+G19+H19</f>
        <v>52854.68</v>
      </c>
    </row>
    <row r="20" spans="2:9" ht="24.95" customHeight="1" x14ac:dyDescent="0.2">
      <c r="B20" s="457" t="s">
        <v>617</v>
      </c>
      <c r="C20" s="7" t="s">
        <v>646</v>
      </c>
      <c r="D20" s="93">
        <f>CONSOLIDADO!BB172</f>
        <v>177.1</v>
      </c>
      <c r="E20" s="93"/>
      <c r="F20" s="92"/>
      <c r="G20" s="93"/>
      <c r="H20" s="93"/>
      <c r="I20" s="93">
        <f t="shared" ref="I20:I24" si="1">D20+E20+F20+G20+H20</f>
        <v>177.1</v>
      </c>
    </row>
    <row r="21" spans="2:9" ht="24.95" hidden="1" customHeight="1" x14ac:dyDescent="0.2">
      <c r="B21" s="457" t="s">
        <v>618</v>
      </c>
      <c r="C21" s="7" t="s">
        <v>647</v>
      </c>
      <c r="D21" s="93"/>
      <c r="E21" s="93"/>
      <c r="F21" s="92"/>
      <c r="G21" s="93"/>
      <c r="H21" s="93"/>
      <c r="I21" s="93">
        <f t="shared" si="1"/>
        <v>0</v>
      </c>
    </row>
    <row r="22" spans="2:9" ht="24.95" hidden="1" customHeight="1" x14ac:dyDescent="0.2">
      <c r="B22" s="457" t="s">
        <v>625</v>
      </c>
      <c r="C22" s="7" t="s">
        <v>648</v>
      </c>
      <c r="D22" s="93">
        <f>CONSOLIDADO!BD172</f>
        <v>0</v>
      </c>
      <c r="E22" s="93"/>
      <c r="F22" s="92"/>
      <c r="G22" s="93"/>
      <c r="H22" s="93"/>
      <c r="I22" s="93">
        <f t="shared" si="1"/>
        <v>0</v>
      </c>
    </row>
    <row r="23" spans="2:9" ht="24.95" customHeight="1" x14ac:dyDescent="0.2">
      <c r="B23" s="456" t="s">
        <v>905</v>
      </c>
      <c r="C23" s="46" t="s">
        <v>48</v>
      </c>
      <c r="D23" s="92">
        <f>D24+D25+D26+D27+D28</f>
        <v>241293.72999999899</v>
      </c>
      <c r="E23" s="92"/>
      <c r="F23" s="92"/>
      <c r="G23" s="92"/>
      <c r="H23" s="92"/>
      <c r="I23" s="92">
        <f>D23+E23+F23+G23+H23</f>
        <v>241293.72999999899</v>
      </c>
    </row>
    <row r="24" spans="2:9" ht="24.95" customHeight="1" x14ac:dyDescent="0.2">
      <c r="B24" s="457" t="s">
        <v>889</v>
      </c>
      <c r="C24" s="7" t="s">
        <v>906</v>
      </c>
      <c r="D24" s="93">
        <f>CONSOLIDADO!AQ172</f>
        <v>54207.05</v>
      </c>
      <c r="E24" s="93"/>
      <c r="F24" s="92"/>
      <c r="G24" s="93"/>
      <c r="H24" s="93"/>
      <c r="I24" s="93">
        <f t="shared" si="1"/>
        <v>54207.05</v>
      </c>
    </row>
    <row r="25" spans="2:9" ht="24.95" customHeight="1" x14ac:dyDescent="0.2">
      <c r="B25" s="457" t="s">
        <v>891</v>
      </c>
      <c r="C25" s="7" t="s">
        <v>50</v>
      </c>
      <c r="D25" s="93">
        <f>CONSOLIDADO!AR172</f>
        <v>35072.39</v>
      </c>
      <c r="E25" s="93"/>
      <c r="F25" s="92"/>
      <c r="G25" s="93"/>
      <c r="H25" s="93"/>
      <c r="I25" s="93">
        <f t="shared" ref="I25:I28" si="2">D25+E25+F25+G25+H25</f>
        <v>35072.39</v>
      </c>
    </row>
    <row r="26" spans="2:9" ht="24.95" customHeight="1" x14ac:dyDescent="0.2">
      <c r="B26" s="457" t="s">
        <v>893</v>
      </c>
      <c r="C26" s="7" t="s">
        <v>907</v>
      </c>
      <c r="D26" s="93">
        <f>CONSOLIDADO!AS172</f>
        <v>49199.999999999993</v>
      </c>
      <c r="E26" s="93"/>
      <c r="F26" s="92"/>
      <c r="G26" s="93"/>
      <c r="H26" s="93"/>
      <c r="I26" s="93">
        <f t="shared" si="2"/>
        <v>49199.999999999993</v>
      </c>
    </row>
    <row r="27" spans="2:9" ht="24.95" customHeight="1" x14ac:dyDescent="0.2">
      <c r="B27" s="457" t="s">
        <v>895</v>
      </c>
      <c r="C27" s="7" t="s">
        <v>908</v>
      </c>
      <c r="D27" s="93">
        <f>CONSOLIDADO!AT172</f>
        <v>2900</v>
      </c>
      <c r="E27" s="93"/>
      <c r="F27" s="92"/>
      <c r="G27" s="93"/>
      <c r="H27" s="93"/>
      <c r="I27" s="93">
        <f t="shared" si="2"/>
        <v>2900</v>
      </c>
    </row>
    <row r="28" spans="2:9" ht="24.95" customHeight="1" x14ac:dyDescent="0.2">
      <c r="B28" s="457" t="s">
        <v>897</v>
      </c>
      <c r="C28" s="7" t="s">
        <v>909</v>
      </c>
      <c r="D28" s="93">
        <f>CONSOLIDADO!AU172</f>
        <v>99914.289999999004</v>
      </c>
      <c r="E28" s="93"/>
      <c r="F28" s="92"/>
      <c r="G28" s="93"/>
      <c r="H28" s="93"/>
      <c r="I28" s="93">
        <f t="shared" si="2"/>
        <v>99914.289999999004</v>
      </c>
    </row>
    <row r="29" spans="2:9" ht="24.95" customHeight="1" x14ac:dyDescent="0.2">
      <c r="B29" s="456" t="s">
        <v>303</v>
      </c>
      <c r="C29" s="410" t="s">
        <v>276</v>
      </c>
      <c r="D29" s="92">
        <f>D30</f>
        <v>840</v>
      </c>
      <c r="E29" s="92">
        <f t="shared" ref="E29:H30" si="3">E30</f>
        <v>0</v>
      </c>
      <c r="F29" s="92">
        <f t="shared" si="3"/>
        <v>0</v>
      </c>
      <c r="G29" s="92">
        <f t="shared" si="3"/>
        <v>0</v>
      </c>
      <c r="H29" s="92">
        <f t="shared" si="3"/>
        <v>0</v>
      </c>
      <c r="I29" s="92">
        <f>I30</f>
        <v>840</v>
      </c>
    </row>
    <row r="30" spans="2:9" ht="24.95" customHeight="1" x14ac:dyDescent="0.2">
      <c r="B30" s="456" t="s">
        <v>277</v>
      </c>
      <c r="C30" s="46" t="s">
        <v>278</v>
      </c>
      <c r="D30" s="92">
        <f>D31+D32</f>
        <v>840</v>
      </c>
      <c r="E30" s="92">
        <f t="shared" si="3"/>
        <v>0</v>
      </c>
      <c r="F30" s="92">
        <f t="shared" si="3"/>
        <v>0</v>
      </c>
      <c r="G30" s="92">
        <f t="shared" si="3"/>
        <v>0</v>
      </c>
      <c r="H30" s="92">
        <f t="shared" si="3"/>
        <v>0</v>
      </c>
      <c r="I30" s="92">
        <f>I31+I32</f>
        <v>840</v>
      </c>
    </row>
    <row r="31" spans="2:9" ht="21" customHeight="1" x14ac:dyDescent="0.2">
      <c r="B31" s="457" t="s">
        <v>226</v>
      </c>
      <c r="C31" s="7" t="s">
        <v>279</v>
      </c>
      <c r="D31" s="93">
        <v>0</v>
      </c>
      <c r="E31" s="223">
        <v>0</v>
      </c>
      <c r="F31" s="223">
        <v>0</v>
      </c>
      <c r="G31" s="223">
        <f>CONSOLIDADO!BP172</f>
        <v>0</v>
      </c>
      <c r="H31" s="223">
        <v>0</v>
      </c>
      <c r="I31" s="93">
        <f>D31+E31+F31+G31+H31</f>
        <v>0</v>
      </c>
    </row>
    <row r="32" spans="2:9" ht="21" customHeight="1" thickBot="1" x14ac:dyDescent="0.25">
      <c r="B32" s="458" t="s">
        <v>408</v>
      </c>
      <c r="C32" s="452" t="s">
        <v>426</v>
      </c>
      <c r="D32" s="94">
        <f>CONSOLIDADO!BJ172</f>
        <v>840</v>
      </c>
      <c r="E32" s="224">
        <v>0</v>
      </c>
      <c r="F32" s="224">
        <v>0</v>
      </c>
      <c r="G32" s="224">
        <v>0</v>
      </c>
      <c r="H32" s="224">
        <v>0</v>
      </c>
      <c r="I32" s="94">
        <f>D32+E32+F32+G32+H32</f>
        <v>840</v>
      </c>
    </row>
    <row r="33" spans="2:9" ht="23.25" customHeight="1" x14ac:dyDescent="0.2">
      <c r="B33" s="456" t="s">
        <v>304</v>
      </c>
      <c r="C33" s="46" t="s">
        <v>280</v>
      </c>
      <c r="D33" s="92">
        <f>D34</f>
        <v>351604.92000000004</v>
      </c>
      <c r="E33" s="92">
        <f t="shared" ref="E33:H34" si="4">E34</f>
        <v>0</v>
      </c>
      <c r="F33" s="92">
        <f t="shared" si="4"/>
        <v>0</v>
      </c>
      <c r="G33" s="92">
        <f t="shared" si="4"/>
        <v>0</v>
      </c>
      <c r="H33" s="92">
        <f t="shared" si="4"/>
        <v>0</v>
      </c>
      <c r="I33" s="92">
        <f>I34</f>
        <v>351604.92000000004</v>
      </c>
    </row>
    <row r="34" spans="2:9" ht="24.95" customHeight="1" x14ac:dyDescent="0.2">
      <c r="B34" s="456" t="s">
        <v>281</v>
      </c>
      <c r="C34" s="46" t="s">
        <v>282</v>
      </c>
      <c r="D34" s="92">
        <f>D35+D36+D37</f>
        <v>351604.92000000004</v>
      </c>
      <c r="E34" s="92">
        <f t="shared" si="4"/>
        <v>0</v>
      </c>
      <c r="F34" s="92">
        <f t="shared" si="4"/>
        <v>0</v>
      </c>
      <c r="G34" s="92">
        <f t="shared" si="4"/>
        <v>0</v>
      </c>
      <c r="H34" s="92">
        <f t="shared" si="4"/>
        <v>0</v>
      </c>
      <c r="I34" s="92">
        <f>I35+I36+I37</f>
        <v>351604.92000000004</v>
      </c>
    </row>
    <row r="35" spans="2:9" ht="24.95" customHeight="1" x14ac:dyDescent="0.2">
      <c r="B35" s="457" t="s">
        <v>227</v>
      </c>
      <c r="C35" s="7" t="s">
        <v>283</v>
      </c>
      <c r="D35" s="93">
        <f>RESUMEN2!F40</f>
        <v>230867.48</v>
      </c>
      <c r="E35" s="223">
        <v>0</v>
      </c>
      <c r="F35" s="223">
        <v>0</v>
      </c>
      <c r="G35" s="223">
        <v>0</v>
      </c>
      <c r="H35" s="223">
        <v>0</v>
      </c>
      <c r="I35" s="93">
        <f>D35+E35+F35+G35+H35</f>
        <v>230867.48</v>
      </c>
    </row>
    <row r="36" spans="2:9" ht="24.95" customHeight="1" x14ac:dyDescent="0.2">
      <c r="B36" s="459" t="s">
        <v>544</v>
      </c>
      <c r="C36" s="157" t="s">
        <v>548</v>
      </c>
      <c r="D36" s="93">
        <f>RESUMEN2!F41</f>
        <v>120737.44000000002</v>
      </c>
      <c r="E36" s="223">
        <v>0</v>
      </c>
      <c r="F36" s="223">
        <v>0</v>
      </c>
      <c r="G36" s="223">
        <v>0</v>
      </c>
      <c r="H36" s="223">
        <v>0</v>
      </c>
      <c r="I36" s="93">
        <f>D36+E36+F36+G36+H36</f>
        <v>120737.44000000002</v>
      </c>
    </row>
    <row r="37" spans="2:9" ht="24.95" customHeight="1" thickBot="1" x14ac:dyDescent="0.25">
      <c r="B37" s="458" t="s">
        <v>416</v>
      </c>
      <c r="C37" s="7" t="s">
        <v>427</v>
      </c>
      <c r="D37" s="93">
        <f>+CONSOLIDADO!AZ172</f>
        <v>0</v>
      </c>
      <c r="E37" s="223">
        <v>0</v>
      </c>
      <c r="F37" s="223">
        <v>0</v>
      </c>
      <c r="G37" s="223">
        <v>0</v>
      </c>
      <c r="H37" s="223">
        <v>0</v>
      </c>
      <c r="I37" s="93">
        <f>D37+E37+F37+G37+H37</f>
        <v>0</v>
      </c>
    </row>
    <row r="38" spans="2:9" ht="21" customHeight="1" thickBot="1" x14ac:dyDescent="0.25">
      <c r="B38" s="1364" t="s">
        <v>305</v>
      </c>
      <c r="C38" s="1597"/>
      <c r="D38" s="96">
        <f>D9+D16+D29+D33</f>
        <v>979116.42599999893</v>
      </c>
      <c r="E38" s="96">
        <f>E9+E16+E29+E33</f>
        <v>541260.52</v>
      </c>
      <c r="F38" s="96"/>
      <c r="G38" s="96">
        <f>G9+G16+G29+G33</f>
        <v>47075.040000000001</v>
      </c>
      <c r="H38" s="96"/>
      <c r="I38" s="96">
        <f>I9+I16+I29+I33</f>
        <v>1567451.9859999991</v>
      </c>
    </row>
    <row r="40" spans="2:9" x14ac:dyDescent="0.2">
      <c r="I40" s="1"/>
    </row>
    <row r="41" spans="2:9" x14ac:dyDescent="0.2">
      <c r="G41" s="1"/>
    </row>
    <row r="42" spans="2:9" x14ac:dyDescent="0.2">
      <c r="G42" s="1"/>
    </row>
    <row r="43" spans="2:9" x14ac:dyDescent="0.2">
      <c r="G43" s="1"/>
    </row>
    <row r="44" spans="2:9" x14ac:dyDescent="0.2">
      <c r="G44" s="1"/>
    </row>
    <row r="45" spans="2:9" x14ac:dyDescent="0.2">
      <c r="G45" s="1"/>
    </row>
    <row r="46" spans="2:9" x14ac:dyDescent="0.2">
      <c r="G46" s="1"/>
    </row>
    <row r="47" spans="2:9" x14ac:dyDescent="0.2">
      <c r="G47" s="1"/>
    </row>
    <row r="48" spans="2:9" x14ac:dyDescent="0.2">
      <c r="G48" s="1"/>
    </row>
    <row r="49" spans="7:9" x14ac:dyDescent="0.2">
      <c r="G49" s="1"/>
    </row>
    <row r="50" spans="7:9" x14ac:dyDescent="0.2">
      <c r="G50" s="1"/>
    </row>
    <row r="51" spans="7:9" x14ac:dyDescent="0.2">
      <c r="G51" s="1"/>
    </row>
    <row r="52" spans="7:9" x14ac:dyDescent="0.2">
      <c r="G52" s="1"/>
    </row>
    <row r="53" spans="7:9" x14ac:dyDescent="0.2">
      <c r="G53" s="1"/>
    </row>
    <row r="54" spans="7:9" x14ac:dyDescent="0.2">
      <c r="I54" s="16">
        <f>'ING. REALES'!R75</f>
        <v>1567451.9900000002</v>
      </c>
    </row>
    <row r="55" spans="7:9" x14ac:dyDescent="0.2">
      <c r="I55" s="219"/>
    </row>
    <row r="56" spans="7:9" x14ac:dyDescent="0.2">
      <c r="I56" s="1">
        <f>I54-I38</f>
        <v>4.0000011213123798E-3</v>
      </c>
    </row>
    <row r="57" spans="7:9" x14ac:dyDescent="0.2">
      <c r="I57" s="219"/>
    </row>
    <row r="61" spans="7:9" x14ac:dyDescent="0.2">
      <c r="I61" s="219"/>
    </row>
    <row r="67" spans="9:9" x14ac:dyDescent="0.2">
      <c r="I67" s="219"/>
    </row>
  </sheetData>
  <mergeCells count="9">
    <mergeCell ref="F7:F8"/>
    <mergeCell ref="G7:G8"/>
    <mergeCell ref="H7:H8"/>
    <mergeCell ref="I7:I8"/>
    <mergeCell ref="B38:C38"/>
    <mergeCell ref="B7:B8"/>
    <mergeCell ref="C7:C8"/>
    <mergeCell ref="D7:D8"/>
    <mergeCell ref="E7:E8"/>
  </mergeCells>
  <phoneticPr fontId="0" type="noConversion"/>
  <pageMargins left="0.94488188976377963" right="0.35433070866141736" top="0.74803149606299213" bottom="0.27559055118110237" header="0.15748031496062992" footer="0"/>
  <pageSetup scale="7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292F-7DCF-4936-A98A-A59213D8B97F}">
  <sheetPr>
    <tabColor rgb="FF002060"/>
  </sheetPr>
  <dimension ref="A1:P75"/>
  <sheetViews>
    <sheetView topLeftCell="A13" zoomScale="124" zoomScaleNormal="124" workbookViewId="0">
      <selection activeCell="L17" sqref="L17"/>
    </sheetView>
  </sheetViews>
  <sheetFormatPr baseColWidth="10" defaultRowHeight="12.75" x14ac:dyDescent="0.2"/>
  <cols>
    <col min="1" max="1" width="2.85546875" style="720" customWidth="1"/>
    <col min="2" max="2" width="12.7109375" style="722" customWidth="1"/>
    <col min="3" max="3" width="67.7109375" style="722" customWidth="1"/>
    <col min="4" max="4" width="11" style="722" customWidth="1"/>
    <col min="5" max="5" width="0.7109375" style="722" customWidth="1"/>
    <col min="6" max="6" width="8.140625" style="723" customWidth="1"/>
    <col min="7" max="7" width="0.7109375" style="722" customWidth="1"/>
    <col min="8" max="8" width="8.140625" style="723" customWidth="1"/>
    <col min="9" max="9" width="0.7109375" style="722" customWidth="1"/>
    <col min="10" max="10" width="10.85546875" style="722" customWidth="1"/>
    <col min="11" max="11" width="2.140625" style="722" customWidth="1"/>
    <col min="12" max="12" width="14.28515625" style="724" customWidth="1"/>
    <col min="13" max="13" width="12.28515625" style="164" customWidth="1"/>
    <col min="14" max="14" width="4.5703125" style="725" customWidth="1"/>
    <col min="15" max="15" width="9.28515625" style="722" customWidth="1"/>
    <col min="16" max="16" width="39.140625" style="722" customWidth="1"/>
    <col min="17" max="16384" width="11.42578125" style="722"/>
  </cols>
  <sheetData>
    <row r="1" spans="1:15" x14ac:dyDescent="0.2">
      <c r="B1" s="721"/>
      <c r="C1" s="721"/>
    </row>
    <row r="2" spans="1:15" x14ac:dyDescent="0.2">
      <c r="B2" s="1610" t="s">
        <v>709</v>
      </c>
      <c r="C2" s="1610"/>
      <c r="D2" s="1610"/>
      <c r="E2" s="726"/>
      <c r="G2" s="726"/>
      <c r="J2" s="727"/>
    </row>
    <row r="3" spans="1:15" x14ac:dyDescent="0.2">
      <c r="B3" s="1611" t="s">
        <v>710</v>
      </c>
      <c r="C3" s="1611"/>
      <c r="D3" s="1611"/>
      <c r="E3" s="728"/>
      <c r="G3" s="728"/>
      <c r="J3" s="727"/>
    </row>
    <row r="4" spans="1:15" ht="15" x14ac:dyDescent="0.2">
      <c r="B4" s="1612" t="s">
        <v>711</v>
      </c>
      <c r="C4" s="1612"/>
      <c r="D4" s="1612"/>
      <c r="E4" s="884"/>
      <c r="G4" s="884"/>
      <c r="J4" s="727"/>
    </row>
    <row r="5" spans="1:15" x14ac:dyDescent="0.2">
      <c r="B5" s="721"/>
      <c r="C5" s="721"/>
      <c r="D5" s="729"/>
      <c r="E5" s="729"/>
      <c r="G5" s="729"/>
      <c r="J5" s="729"/>
    </row>
    <row r="6" spans="1:15" x14ac:dyDescent="0.2">
      <c r="B6" s="729"/>
      <c r="C6" s="729"/>
      <c r="D6" s="729"/>
      <c r="E6" s="729"/>
      <c r="G6" s="729"/>
      <c r="J6" s="729"/>
    </row>
    <row r="7" spans="1:15" x14ac:dyDescent="0.2">
      <c r="B7" s="730" t="s">
        <v>910</v>
      </c>
    </row>
    <row r="8" spans="1:15" ht="5.25" customHeight="1" x14ac:dyDescent="0.2"/>
    <row r="9" spans="1:15" x14ac:dyDescent="0.2">
      <c r="B9" s="1613" t="s">
        <v>911</v>
      </c>
      <c r="C9" s="1613"/>
      <c r="D9" s="1613"/>
      <c r="E9" s="731"/>
      <c r="G9" s="731"/>
      <c r="J9" s="727"/>
    </row>
    <row r="10" spans="1:15" ht="6" customHeight="1" thickBot="1" x14ac:dyDescent="0.25">
      <c r="B10" s="732"/>
      <c r="C10" s="732"/>
      <c r="D10" s="732"/>
      <c r="E10" s="731"/>
      <c r="G10" s="731"/>
      <c r="J10" s="727"/>
    </row>
    <row r="11" spans="1:15" ht="24.75" customHeight="1" thickBot="1" x14ac:dyDescent="0.25">
      <c r="B11" s="733" t="s">
        <v>712</v>
      </c>
      <c r="C11" s="733" t="s">
        <v>713</v>
      </c>
      <c r="D11" s="734" t="s">
        <v>714</v>
      </c>
      <c r="E11" s="728"/>
      <c r="F11" s="733" t="s">
        <v>715</v>
      </c>
      <c r="G11" s="728"/>
      <c r="H11" s="733" t="s">
        <v>716</v>
      </c>
      <c r="J11" s="733" t="s">
        <v>912</v>
      </c>
    </row>
    <row r="12" spans="1:15" ht="13.5" thickBot="1" x14ac:dyDescent="0.25">
      <c r="A12" s="735"/>
      <c r="B12" s="736" t="s">
        <v>717</v>
      </c>
      <c r="C12" s="737" t="s">
        <v>718</v>
      </c>
      <c r="D12" s="736"/>
      <c r="E12" s="738"/>
      <c r="F12" s="736"/>
      <c r="G12" s="738"/>
      <c r="H12" s="736"/>
      <c r="J12" s="736"/>
    </row>
    <row r="13" spans="1:15" ht="17.25" customHeight="1" x14ac:dyDescent="0.2">
      <c r="A13" s="739">
        <v>1</v>
      </c>
      <c r="B13" s="740" t="s">
        <v>719</v>
      </c>
      <c r="C13" s="741" t="s">
        <v>720</v>
      </c>
      <c r="D13" s="742">
        <v>575.63</v>
      </c>
      <c r="E13" s="743"/>
      <c r="F13" s="744">
        <v>338.83</v>
      </c>
      <c r="H13" s="744">
        <v>98.99</v>
      </c>
      <c r="I13" s="745"/>
      <c r="J13" s="744">
        <f>D13-F13-H13</f>
        <v>137.81</v>
      </c>
      <c r="O13" s="745"/>
    </row>
    <row r="14" spans="1:15" ht="15" customHeight="1" x14ac:dyDescent="0.2">
      <c r="A14" s="739">
        <f>A13+1</f>
        <v>2</v>
      </c>
      <c r="B14" s="746" t="s">
        <v>721</v>
      </c>
      <c r="C14" s="747" t="s">
        <v>722</v>
      </c>
      <c r="D14" s="744">
        <v>0</v>
      </c>
      <c r="E14" s="748"/>
      <c r="F14" s="744">
        <v>0</v>
      </c>
      <c r="G14" s="748"/>
      <c r="H14" s="744">
        <v>0</v>
      </c>
      <c r="J14" s="744">
        <f t="shared" ref="J14:J38" si="0">D14-F14-H14</f>
        <v>0</v>
      </c>
    </row>
    <row r="15" spans="1:15" ht="15" customHeight="1" x14ac:dyDescent="0.2">
      <c r="A15" s="739">
        <f t="shared" ref="A15:A45" si="1">A14+1</f>
        <v>3</v>
      </c>
      <c r="B15" s="746" t="s">
        <v>723</v>
      </c>
      <c r="C15" s="747" t="s">
        <v>724</v>
      </c>
      <c r="D15" s="744">
        <v>904.67</v>
      </c>
      <c r="E15" s="748"/>
      <c r="F15" s="744">
        <v>0</v>
      </c>
      <c r="G15" s="748"/>
      <c r="H15" s="744">
        <v>0</v>
      </c>
      <c r="J15" s="744">
        <f t="shared" si="0"/>
        <v>904.67</v>
      </c>
    </row>
    <row r="16" spans="1:15" x14ac:dyDescent="0.2">
      <c r="A16" s="739">
        <f t="shared" si="1"/>
        <v>4</v>
      </c>
      <c r="B16" s="749" t="s">
        <v>725</v>
      </c>
      <c r="C16" s="750" t="s">
        <v>726</v>
      </c>
      <c r="D16" s="744">
        <v>43.47</v>
      </c>
      <c r="E16" s="748"/>
      <c r="F16" s="744">
        <v>0</v>
      </c>
      <c r="G16" s="748"/>
      <c r="H16" s="744">
        <v>0</v>
      </c>
      <c r="J16" s="744">
        <f t="shared" si="0"/>
        <v>43.47</v>
      </c>
    </row>
    <row r="17" spans="1:10" ht="24.75" customHeight="1" x14ac:dyDescent="0.2">
      <c r="A17" s="739">
        <f t="shared" si="1"/>
        <v>5</v>
      </c>
      <c r="B17" s="746" t="s">
        <v>727</v>
      </c>
      <c r="C17" s="747" t="s">
        <v>728</v>
      </c>
      <c r="D17" s="744">
        <v>3293.4</v>
      </c>
      <c r="E17" s="748"/>
      <c r="F17" s="744">
        <v>289.47000000000003</v>
      </c>
      <c r="G17" s="748"/>
      <c r="H17" s="744">
        <v>0</v>
      </c>
      <c r="J17" s="744">
        <f t="shared" si="0"/>
        <v>3003.9300000000003</v>
      </c>
    </row>
    <row r="18" spans="1:10" ht="22.5" x14ac:dyDescent="0.2">
      <c r="A18" s="739">
        <f t="shared" si="1"/>
        <v>6</v>
      </c>
      <c r="B18" s="751" t="s">
        <v>729</v>
      </c>
      <c r="C18" s="752" t="s">
        <v>730</v>
      </c>
      <c r="D18" s="744">
        <v>3772.49</v>
      </c>
      <c r="E18" s="748"/>
      <c r="F18" s="744">
        <v>0</v>
      </c>
      <c r="G18" s="748"/>
      <c r="H18" s="744">
        <v>0</v>
      </c>
      <c r="J18" s="744">
        <f t="shared" si="0"/>
        <v>3772.49</v>
      </c>
    </row>
    <row r="19" spans="1:10" x14ac:dyDescent="0.2">
      <c r="A19" s="739">
        <f t="shared" si="1"/>
        <v>7</v>
      </c>
      <c r="B19" s="751" t="s">
        <v>731</v>
      </c>
      <c r="C19" s="747" t="s">
        <v>732</v>
      </c>
      <c r="D19" s="744">
        <v>840</v>
      </c>
      <c r="E19" s="748"/>
      <c r="F19" s="744">
        <v>0</v>
      </c>
      <c r="G19" s="748"/>
      <c r="H19" s="744">
        <v>0</v>
      </c>
      <c r="J19" s="744">
        <f t="shared" si="0"/>
        <v>840</v>
      </c>
    </row>
    <row r="20" spans="1:10" x14ac:dyDescent="0.2">
      <c r="A20" s="739">
        <f t="shared" si="1"/>
        <v>8</v>
      </c>
      <c r="B20" s="751" t="s">
        <v>733</v>
      </c>
      <c r="C20" s="747" t="s">
        <v>734</v>
      </c>
      <c r="D20" s="744">
        <v>201.1</v>
      </c>
      <c r="E20" s="748"/>
      <c r="F20" s="744">
        <v>0</v>
      </c>
      <c r="G20" s="748"/>
      <c r="H20" s="744">
        <v>0</v>
      </c>
      <c r="J20" s="744">
        <f t="shared" si="0"/>
        <v>201.1</v>
      </c>
    </row>
    <row r="21" spans="1:10" ht="22.5" x14ac:dyDescent="0.2">
      <c r="A21" s="739">
        <f t="shared" si="1"/>
        <v>9</v>
      </c>
      <c r="B21" s="751" t="s">
        <v>735</v>
      </c>
      <c r="C21" s="747" t="s">
        <v>736</v>
      </c>
      <c r="D21" s="744">
        <v>810</v>
      </c>
      <c r="E21" s="748"/>
      <c r="F21" s="885">
        <v>810</v>
      </c>
      <c r="G21" s="748"/>
      <c r="H21" s="744">
        <v>0</v>
      </c>
      <c r="J21" s="744">
        <f t="shared" si="0"/>
        <v>0</v>
      </c>
    </row>
    <row r="22" spans="1:10" ht="33.75" x14ac:dyDescent="0.2">
      <c r="A22" s="739">
        <f t="shared" si="1"/>
        <v>10</v>
      </c>
      <c r="B22" s="753" t="s">
        <v>737</v>
      </c>
      <c r="C22" s="747" t="s">
        <v>738</v>
      </c>
      <c r="D22" s="742">
        <v>0</v>
      </c>
      <c r="E22" s="748"/>
      <c r="F22" s="742">
        <v>0</v>
      </c>
      <c r="G22" s="748"/>
      <c r="H22" s="742">
        <v>0</v>
      </c>
      <c r="J22" s="742">
        <f t="shared" si="0"/>
        <v>0</v>
      </c>
    </row>
    <row r="23" spans="1:10" ht="22.5" x14ac:dyDescent="0.2">
      <c r="A23" s="739">
        <f t="shared" si="1"/>
        <v>11</v>
      </c>
      <c r="B23" s="751" t="s">
        <v>739</v>
      </c>
      <c r="C23" s="747" t="s">
        <v>740</v>
      </c>
      <c r="D23" s="744">
        <v>106.38</v>
      </c>
      <c r="E23" s="748"/>
      <c r="F23" s="742">
        <v>77.62</v>
      </c>
      <c r="G23" s="748"/>
      <c r="H23" s="742">
        <v>13.76</v>
      </c>
      <c r="J23" s="742">
        <f t="shared" si="0"/>
        <v>14.999999999999991</v>
      </c>
    </row>
    <row r="24" spans="1:10" x14ac:dyDescent="0.2">
      <c r="A24" s="739">
        <f t="shared" si="1"/>
        <v>12</v>
      </c>
      <c r="B24" s="751" t="s">
        <v>741</v>
      </c>
      <c r="C24" s="886" t="s">
        <v>742</v>
      </c>
      <c r="D24" s="744">
        <v>0</v>
      </c>
      <c r="E24" s="748"/>
      <c r="F24" s="742">
        <v>0</v>
      </c>
      <c r="G24" s="748"/>
      <c r="H24" s="742">
        <v>0</v>
      </c>
      <c r="J24" s="742">
        <f t="shared" si="0"/>
        <v>0</v>
      </c>
    </row>
    <row r="25" spans="1:10" ht="22.5" x14ac:dyDescent="0.2">
      <c r="A25" s="739">
        <f t="shared" si="1"/>
        <v>13</v>
      </c>
      <c r="B25" s="751" t="s">
        <v>743</v>
      </c>
      <c r="C25" s="747" t="s">
        <v>744</v>
      </c>
      <c r="D25" s="744">
        <v>681.12</v>
      </c>
      <c r="E25" s="748"/>
      <c r="F25" s="742">
        <v>177</v>
      </c>
      <c r="G25" s="748"/>
      <c r="H25" s="742">
        <v>17.7</v>
      </c>
      <c r="J25" s="742">
        <f t="shared" si="0"/>
        <v>486.42</v>
      </c>
    </row>
    <row r="26" spans="1:10" ht="33.75" x14ac:dyDescent="0.2">
      <c r="A26" s="739">
        <f t="shared" si="1"/>
        <v>14</v>
      </c>
      <c r="B26" s="751" t="s">
        <v>745</v>
      </c>
      <c r="C26" s="747" t="s">
        <v>746</v>
      </c>
      <c r="D26" s="744">
        <v>177.1</v>
      </c>
      <c r="E26" s="748"/>
      <c r="F26" s="742">
        <v>0</v>
      </c>
      <c r="G26" s="748"/>
      <c r="H26" s="742">
        <v>0</v>
      </c>
      <c r="J26" s="742">
        <f t="shared" si="0"/>
        <v>177.1</v>
      </c>
    </row>
    <row r="27" spans="1:10" ht="22.5" x14ac:dyDescent="0.2">
      <c r="A27" s="739">
        <f t="shared" si="1"/>
        <v>15</v>
      </c>
      <c r="B27" s="751" t="s">
        <v>747</v>
      </c>
      <c r="C27" s="747" t="s">
        <v>748</v>
      </c>
      <c r="D27" s="744">
        <v>0</v>
      </c>
      <c r="E27" s="748"/>
      <c r="F27" s="742">
        <v>0</v>
      </c>
      <c r="G27" s="748"/>
      <c r="H27" s="742">
        <v>0</v>
      </c>
      <c r="J27" s="742">
        <f t="shared" si="0"/>
        <v>0</v>
      </c>
    </row>
    <row r="28" spans="1:10" x14ac:dyDescent="0.2">
      <c r="A28" s="739">
        <f t="shared" si="1"/>
        <v>16</v>
      </c>
      <c r="B28" s="751" t="s">
        <v>913</v>
      </c>
      <c r="C28" s="747" t="s">
        <v>914</v>
      </c>
      <c r="D28" s="744">
        <v>10814.457096774293</v>
      </c>
      <c r="E28" s="748"/>
      <c r="F28" s="742">
        <v>444.74</v>
      </c>
      <c r="G28" s="748"/>
      <c r="H28" s="742">
        <v>508.6</v>
      </c>
      <c r="J28" s="742">
        <f t="shared" si="0"/>
        <v>9861.1170967742928</v>
      </c>
    </row>
    <row r="29" spans="1:10" ht="36" customHeight="1" x14ac:dyDescent="0.2">
      <c r="A29" s="739">
        <f t="shared" si="1"/>
        <v>17</v>
      </c>
      <c r="B29" s="751" t="s">
        <v>915</v>
      </c>
      <c r="C29" s="747" t="s">
        <v>916</v>
      </c>
      <c r="D29" s="887">
        <v>2709.5400000000036</v>
      </c>
      <c r="E29" s="888"/>
      <c r="F29" s="889">
        <v>106.5</v>
      </c>
      <c r="G29" s="888"/>
      <c r="H29" s="889">
        <v>0</v>
      </c>
      <c r="I29" s="890"/>
      <c r="J29" s="889">
        <f t="shared" si="0"/>
        <v>2603.0400000000036</v>
      </c>
    </row>
    <row r="30" spans="1:10" ht="33.75" x14ac:dyDescent="0.2">
      <c r="A30" s="739">
        <f t="shared" si="1"/>
        <v>18</v>
      </c>
      <c r="B30" s="751" t="s">
        <v>917</v>
      </c>
      <c r="C30" s="747" t="s">
        <v>918</v>
      </c>
      <c r="D30" s="887">
        <v>716.42</v>
      </c>
      <c r="E30" s="888"/>
      <c r="F30" s="889">
        <v>0</v>
      </c>
      <c r="G30" s="888"/>
      <c r="H30" s="889">
        <v>0</v>
      </c>
      <c r="I30" s="890"/>
      <c r="J30" s="889">
        <f t="shared" si="0"/>
        <v>716.42</v>
      </c>
    </row>
    <row r="31" spans="1:10" ht="22.5" x14ac:dyDescent="0.2">
      <c r="A31" s="739">
        <f t="shared" si="1"/>
        <v>19</v>
      </c>
      <c r="B31" s="751" t="s">
        <v>919</v>
      </c>
      <c r="C31" s="747" t="s">
        <v>920</v>
      </c>
      <c r="D31" s="887">
        <v>310</v>
      </c>
      <c r="E31" s="888"/>
      <c r="F31" s="889">
        <v>310</v>
      </c>
      <c r="G31" s="888"/>
      <c r="H31" s="889">
        <v>0</v>
      </c>
      <c r="I31" s="890"/>
      <c r="J31" s="889">
        <f t="shared" si="0"/>
        <v>0</v>
      </c>
    </row>
    <row r="32" spans="1:10" ht="22.5" x14ac:dyDescent="0.2">
      <c r="A32" s="739">
        <f t="shared" si="1"/>
        <v>20</v>
      </c>
      <c r="B32" s="751" t="s">
        <v>921</v>
      </c>
      <c r="C32" s="747" t="s">
        <v>922</v>
      </c>
      <c r="D32" s="887">
        <v>1998</v>
      </c>
      <c r="E32" s="888"/>
      <c r="F32" s="889">
        <v>0</v>
      </c>
      <c r="G32" s="888"/>
      <c r="H32" s="889">
        <v>0</v>
      </c>
      <c r="I32" s="890"/>
      <c r="J32" s="889">
        <f t="shared" si="0"/>
        <v>1998</v>
      </c>
    </row>
    <row r="33" spans="1:10" ht="22.5" x14ac:dyDescent="0.2">
      <c r="A33" s="739">
        <f t="shared" si="1"/>
        <v>21</v>
      </c>
      <c r="B33" s="751" t="s">
        <v>923</v>
      </c>
      <c r="C33" s="747" t="s">
        <v>924</v>
      </c>
      <c r="D33" s="887">
        <v>194</v>
      </c>
      <c r="E33" s="888"/>
      <c r="F33" s="889">
        <v>0</v>
      </c>
      <c r="G33" s="888"/>
      <c r="H33" s="889">
        <v>0</v>
      </c>
      <c r="I33" s="890"/>
      <c r="J33" s="889">
        <f t="shared" si="0"/>
        <v>194</v>
      </c>
    </row>
    <row r="34" spans="1:10" ht="22.5" x14ac:dyDescent="0.2">
      <c r="A34" s="739">
        <f t="shared" si="1"/>
        <v>22</v>
      </c>
      <c r="B34" s="751" t="s">
        <v>925</v>
      </c>
      <c r="C34" s="747" t="s">
        <v>926</v>
      </c>
      <c r="D34" s="887">
        <v>1109.2500000000014</v>
      </c>
      <c r="E34" s="888"/>
      <c r="F34" s="889">
        <v>0</v>
      </c>
      <c r="G34" s="888"/>
      <c r="H34" s="889">
        <v>21.67</v>
      </c>
      <c r="I34" s="890"/>
      <c r="J34" s="889">
        <f t="shared" si="0"/>
        <v>1087.5800000000013</v>
      </c>
    </row>
    <row r="35" spans="1:10" ht="22.5" x14ac:dyDescent="0.2">
      <c r="A35" s="739">
        <f t="shared" si="1"/>
        <v>23</v>
      </c>
      <c r="B35" s="751" t="s">
        <v>927</v>
      </c>
      <c r="C35" s="747" t="s">
        <v>928</v>
      </c>
      <c r="D35" s="887">
        <v>0</v>
      </c>
      <c r="E35" s="888"/>
      <c r="F35" s="889">
        <v>0</v>
      </c>
      <c r="G35" s="888"/>
      <c r="H35" s="889">
        <v>0</v>
      </c>
      <c r="I35" s="890"/>
      <c r="J35" s="889">
        <f t="shared" si="0"/>
        <v>0</v>
      </c>
    </row>
    <row r="36" spans="1:10" ht="22.5" x14ac:dyDescent="0.2">
      <c r="A36" s="739">
        <f t="shared" si="1"/>
        <v>24</v>
      </c>
      <c r="B36" s="751" t="s">
        <v>929</v>
      </c>
      <c r="C36" s="747" t="s">
        <v>930</v>
      </c>
      <c r="D36" s="887">
        <v>5.98</v>
      </c>
      <c r="E36" s="888"/>
      <c r="F36" s="889">
        <v>0</v>
      </c>
      <c r="G36" s="888"/>
      <c r="H36" s="889">
        <v>0</v>
      </c>
      <c r="I36" s="890"/>
      <c r="J36" s="889">
        <f t="shared" si="0"/>
        <v>5.98</v>
      </c>
    </row>
    <row r="37" spans="1:10" x14ac:dyDescent="0.2">
      <c r="A37" s="739">
        <f t="shared" si="1"/>
        <v>25</v>
      </c>
      <c r="B37" s="751" t="s">
        <v>931</v>
      </c>
      <c r="C37" s="747" t="s">
        <v>932</v>
      </c>
      <c r="D37" s="744">
        <v>0</v>
      </c>
      <c r="E37" s="748"/>
      <c r="F37" s="742">
        <v>0</v>
      </c>
      <c r="G37" s="748"/>
      <c r="H37" s="742">
        <v>0</v>
      </c>
      <c r="J37" s="742">
        <f t="shared" si="0"/>
        <v>0</v>
      </c>
    </row>
    <row r="38" spans="1:10" ht="33.75" x14ac:dyDescent="0.2">
      <c r="A38" s="739">
        <f t="shared" si="1"/>
        <v>26</v>
      </c>
      <c r="B38" s="751" t="s">
        <v>933</v>
      </c>
      <c r="C38" s="747" t="s">
        <v>934</v>
      </c>
      <c r="D38" s="744">
        <v>0</v>
      </c>
      <c r="E38" s="748"/>
      <c r="F38" s="742">
        <v>0</v>
      </c>
      <c r="G38" s="748"/>
      <c r="H38" s="742">
        <v>0</v>
      </c>
      <c r="J38" s="742">
        <f t="shared" si="0"/>
        <v>0</v>
      </c>
    </row>
    <row r="39" spans="1:10" ht="22.5" x14ac:dyDescent="0.2">
      <c r="A39" s="739">
        <f t="shared" si="1"/>
        <v>27</v>
      </c>
      <c r="B39" s="751" t="s">
        <v>935</v>
      </c>
      <c r="C39" s="750" t="s">
        <v>936</v>
      </c>
      <c r="D39" s="742"/>
      <c r="E39" s="891"/>
      <c r="F39" s="742"/>
      <c r="G39" s="891"/>
      <c r="H39" s="742"/>
      <c r="I39" s="892"/>
      <c r="J39" s="742"/>
    </row>
    <row r="40" spans="1:10" ht="22.5" x14ac:dyDescent="0.2">
      <c r="A40" s="739">
        <f t="shared" si="1"/>
        <v>28</v>
      </c>
      <c r="B40" s="751" t="s">
        <v>937</v>
      </c>
      <c r="C40" s="750" t="s">
        <v>938</v>
      </c>
      <c r="D40" s="889">
        <v>767.19</v>
      </c>
      <c r="E40" s="893"/>
      <c r="F40" s="889">
        <v>0</v>
      </c>
      <c r="G40" s="893"/>
      <c r="H40" s="889">
        <v>0</v>
      </c>
      <c r="I40" s="894"/>
      <c r="J40" s="889">
        <f>D40-F40-H40</f>
        <v>767.19</v>
      </c>
    </row>
    <row r="41" spans="1:10" ht="22.5" x14ac:dyDescent="0.2">
      <c r="A41" s="739">
        <f t="shared" si="1"/>
        <v>29</v>
      </c>
      <c r="B41" s="751" t="s">
        <v>939</v>
      </c>
      <c r="C41" s="750" t="s">
        <v>940</v>
      </c>
      <c r="D41" s="742">
        <v>3103.8399999999997</v>
      </c>
      <c r="E41" s="891"/>
      <c r="F41" s="742">
        <v>0</v>
      </c>
      <c r="G41" s="891"/>
      <c r="H41" s="742">
        <v>0</v>
      </c>
      <c r="I41" s="892"/>
      <c r="J41" s="742">
        <f>D41-F41-H41</f>
        <v>3103.8399999999997</v>
      </c>
    </row>
    <row r="42" spans="1:10" ht="22.5" x14ac:dyDescent="0.2">
      <c r="A42" s="739">
        <f t="shared" si="1"/>
        <v>30</v>
      </c>
      <c r="B42" s="751" t="s">
        <v>941</v>
      </c>
      <c r="C42" s="750" t="s">
        <v>942</v>
      </c>
      <c r="D42" s="742">
        <v>5597.3899999999976</v>
      </c>
      <c r="E42" s="891"/>
      <c r="F42" s="742">
        <v>0</v>
      </c>
      <c r="G42" s="891"/>
      <c r="H42" s="742">
        <v>97.39</v>
      </c>
      <c r="I42" s="892"/>
      <c r="J42" s="742">
        <f t="shared" ref="J42:J45" si="2">D42-F42-H42</f>
        <v>5499.9999999999973</v>
      </c>
    </row>
    <row r="43" spans="1:10" ht="22.5" x14ac:dyDescent="0.2">
      <c r="A43" s="739">
        <f t="shared" si="1"/>
        <v>31</v>
      </c>
      <c r="B43" s="751" t="s">
        <v>943</v>
      </c>
      <c r="C43" s="750" t="s">
        <v>944</v>
      </c>
      <c r="D43" s="742">
        <v>3052.5700000000006</v>
      </c>
      <c r="E43" s="891"/>
      <c r="F43" s="742">
        <v>0</v>
      </c>
      <c r="G43" s="891"/>
      <c r="H43" s="742"/>
      <c r="I43" s="892"/>
      <c r="J43" s="742">
        <f>D43-F43-H43</f>
        <v>3052.5700000000006</v>
      </c>
    </row>
    <row r="44" spans="1:10" ht="22.5" x14ac:dyDescent="0.2">
      <c r="A44" s="739">
        <f t="shared" si="1"/>
        <v>32</v>
      </c>
      <c r="B44" s="751" t="s">
        <v>945</v>
      </c>
      <c r="C44" s="750" t="s">
        <v>946</v>
      </c>
      <c r="D44" s="742">
        <v>41.11</v>
      </c>
      <c r="E44" s="891"/>
      <c r="F44" s="742">
        <v>0</v>
      </c>
      <c r="G44" s="891"/>
      <c r="H44" s="742">
        <v>41.11</v>
      </c>
      <c r="I44" s="892"/>
      <c r="J44" s="742">
        <f t="shared" si="2"/>
        <v>0</v>
      </c>
    </row>
    <row r="45" spans="1:10" ht="23.25" thickBot="1" x14ac:dyDescent="0.25">
      <c r="A45" s="739">
        <f t="shared" si="1"/>
        <v>33</v>
      </c>
      <c r="B45" s="751" t="s">
        <v>947</v>
      </c>
      <c r="C45" s="750" t="s">
        <v>948</v>
      </c>
      <c r="D45" s="742">
        <v>6085.8</v>
      </c>
      <c r="E45" s="891"/>
      <c r="F45" s="742">
        <v>0</v>
      </c>
      <c r="G45" s="891"/>
      <c r="H45" s="742">
        <v>36</v>
      </c>
      <c r="I45" s="892"/>
      <c r="J45" s="742">
        <f t="shared" si="2"/>
        <v>6049.8</v>
      </c>
    </row>
    <row r="46" spans="1:10" ht="13.5" thickBot="1" x14ac:dyDescent="0.25">
      <c r="A46" s="735"/>
      <c r="B46" s="736" t="s">
        <v>749</v>
      </c>
      <c r="C46" s="737" t="s">
        <v>718</v>
      </c>
      <c r="D46" s="736"/>
      <c r="E46" s="738"/>
      <c r="F46" s="736"/>
      <c r="G46" s="738"/>
      <c r="H46" s="736"/>
      <c r="J46" s="736"/>
    </row>
    <row r="47" spans="1:10" ht="13.5" customHeight="1" thickBot="1" x14ac:dyDescent="0.25">
      <c r="A47" s="739"/>
      <c r="B47" s="755"/>
      <c r="C47" s="741"/>
      <c r="D47" s="744"/>
      <c r="E47" s="756"/>
      <c r="F47" s="757"/>
      <c r="G47" s="756"/>
      <c r="H47" s="757"/>
      <c r="I47" s="745"/>
      <c r="J47" s="757"/>
    </row>
    <row r="48" spans="1:10" ht="13.5" customHeight="1" thickBot="1" x14ac:dyDescent="0.25">
      <c r="A48" s="739"/>
      <c r="B48" s="736" t="s">
        <v>717</v>
      </c>
      <c r="C48" s="737" t="s">
        <v>750</v>
      </c>
      <c r="D48" s="736"/>
      <c r="E48" s="756"/>
      <c r="F48" s="736"/>
      <c r="G48" s="756"/>
      <c r="H48" s="736"/>
      <c r="I48" s="745"/>
      <c r="J48" s="736"/>
    </row>
    <row r="49" spans="1:14" s="760" customFormat="1" ht="34.5" thickBot="1" x14ac:dyDescent="0.25">
      <c r="A49" s="739">
        <v>1</v>
      </c>
      <c r="B49" s="758" t="s">
        <v>751</v>
      </c>
      <c r="C49" s="750" t="s">
        <v>752</v>
      </c>
      <c r="D49" s="744">
        <v>4573.4399999999996</v>
      </c>
      <c r="E49" s="748"/>
      <c r="F49" s="742">
        <v>0</v>
      </c>
      <c r="G49" s="748"/>
      <c r="H49" s="742">
        <v>0</v>
      </c>
      <c r="I49" s="759"/>
      <c r="J49" s="742">
        <f t="shared" ref="J49:J50" si="3">D49-F49-H49</f>
        <v>4573.4399999999996</v>
      </c>
      <c r="L49" s="724"/>
      <c r="M49" s="761"/>
      <c r="N49" s="762"/>
    </row>
    <row r="50" spans="1:14" s="760" customFormat="1" ht="34.5" hidden="1" thickBot="1" x14ac:dyDescent="0.25">
      <c r="A50" s="739">
        <f t="shared" ref="A50" si="4">A49+1</f>
        <v>2</v>
      </c>
      <c r="B50" s="763" t="s">
        <v>753</v>
      </c>
      <c r="C50" s="764" t="s">
        <v>754</v>
      </c>
      <c r="D50" s="744"/>
      <c r="E50" s="748"/>
      <c r="F50" s="742"/>
      <c r="G50" s="748"/>
      <c r="H50" s="742"/>
      <c r="I50" s="759"/>
      <c r="J50" s="754">
        <f t="shared" si="3"/>
        <v>0</v>
      </c>
      <c r="L50" s="724"/>
      <c r="M50" s="761"/>
      <c r="N50" s="762"/>
    </row>
    <row r="51" spans="1:14" ht="13.5" thickBot="1" x14ac:dyDescent="0.25">
      <c r="A51" s="739"/>
      <c r="B51" s="736" t="s">
        <v>749</v>
      </c>
      <c r="C51" s="737" t="s">
        <v>750</v>
      </c>
      <c r="D51" s="736"/>
      <c r="E51" s="738"/>
      <c r="F51" s="736"/>
      <c r="G51" s="738"/>
      <c r="H51" s="736"/>
      <c r="J51" s="736"/>
    </row>
    <row r="52" spans="1:14" ht="29.25" customHeight="1" thickBot="1" x14ac:dyDescent="0.25">
      <c r="A52" s="739">
        <v>1</v>
      </c>
      <c r="B52" s="765" t="s">
        <v>755</v>
      </c>
      <c r="C52" s="766" t="s">
        <v>756</v>
      </c>
      <c r="D52" s="744">
        <v>20</v>
      </c>
      <c r="E52" s="748"/>
      <c r="F52" s="767">
        <v>0</v>
      </c>
      <c r="G52" s="748"/>
      <c r="H52" s="767">
        <v>0</v>
      </c>
      <c r="I52" s="745"/>
      <c r="J52" s="767">
        <f>D52-F52</f>
        <v>20</v>
      </c>
    </row>
    <row r="53" spans="1:14" ht="15" customHeight="1" thickBot="1" x14ac:dyDescent="0.25">
      <c r="A53" s="739"/>
      <c r="B53" s="768"/>
      <c r="C53" s="769" t="s">
        <v>757</v>
      </c>
      <c r="D53" s="770">
        <f>SUM(D13:D52)</f>
        <v>52504.347096774298</v>
      </c>
      <c r="E53" s="771"/>
      <c r="F53" s="770">
        <f>SUM(F13:F52)</f>
        <v>2554.16</v>
      </c>
      <c r="G53" s="771"/>
      <c r="H53" s="770">
        <f>SUM(H13:H52)</f>
        <v>835.21999999999991</v>
      </c>
      <c r="J53" s="770">
        <f>D53-F53</f>
        <v>49950.187096774302</v>
      </c>
    </row>
    <row r="54" spans="1:14" x14ac:dyDescent="0.2">
      <c r="A54" s="739"/>
      <c r="B54" s="727"/>
      <c r="C54" s="772"/>
      <c r="D54" s="773"/>
      <c r="E54" s="773"/>
      <c r="G54" s="773"/>
      <c r="J54" s="773"/>
    </row>
    <row r="55" spans="1:14" x14ac:dyDescent="0.2">
      <c r="A55" s="739"/>
      <c r="B55" s="727"/>
      <c r="C55" s="772"/>
      <c r="D55" s="773"/>
      <c r="E55" s="773"/>
      <c r="G55" s="773"/>
      <c r="J55" s="773"/>
    </row>
    <row r="56" spans="1:14" x14ac:dyDescent="0.2">
      <c r="A56" s="739"/>
      <c r="B56" s="727"/>
      <c r="C56" s="772"/>
      <c r="D56" s="773"/>
      <c r="E56" s="773"/>
      <c r="G56" s="773"/>
      <c r="J56" s="773"/>
    </row>
    <row r="57" spans="1:14" x14ac:dyDescent="0.2">
      <c r="B57" s="727"/>
      <c r="C57" s="772"/>
      <c r="D57" s="773"/>
      <c r="E57" s="773"/>
      <c r="G57" s="773"/>
      <c r="J57" s="773"/>
    </row>
    <row r="58" spans="1:14" x14ac:dyDescent="0.2">
      <c r="B58" s="727"/>
      <c r="C58" s="772"/>
      <c r="D58" s="773"/>
      <c r="E58" s="773"/>
      <c r="G58" s="773"/>
      <c r="J58" s="773"/>
    </row>
    <row r="59" spans="1:14" x14ac:dyDescent="0.2">
      <c r="B59" s="727"/>
      <c r="C59" s="772"/>
      <c r="D59" s="773"/>
      <c r="E59" s="773"/>
      <c r="G59" s="773"/>
      <c r="J59" s="773"/>
    </row>
    <row r="60" spans="1:14" x14ac:dyDescent="0.2">
      <c r="B60" s="727"/>
      <c r="C60" s="774" t="s">
        <v>758</v>
      </c>
      <c r="D60" s="773"/>
      <c r="E60" s="773"/>
      <c r="G60" s="773"/>
      <c r="J60" s="773"/>
    </row>
    <row r="61" spans="1:14" x14ac:dyDescent="0.2">
      <c r="B61" s="775"/>
      <c r="C61" s="774" t="s">
        <v>759</v>
      </c>
      <c r="D61" s="776"/>
      <c r="E61" s="777"/>
      <c r="G61" s="777"/>
      <c r="J61" s="776"/>
    </row>
    <row r="62" spans="1:14" x14ac:dyDescent="0.2">
      <c r="B62" s="775"/>
      <c r="C62" s="772"/>
      <c r="D62" s="776"/>
      <c r="E62" s="777"/>
      <c r="G62" s="777"/>
      <c r="J62" s="776"/>
    </row>
    <row r="63" spans="1:14" x14ac:dyDescent="0.2">
      <c r="B63" s="775"/>
      <c r="C63" s="772"/>
      <c r="D63" s="776"/>
      <c r="E63" s="777"/>
      <c r="G63" s="777"/>
      <c r="J63" s="776"/>
    </row>
    <row r="64" spans="1:14" x14ac:dyDescent="0.2">
      <c r="B64" s="778"/>
      <c r="C64" s="772"/>
      <c r="D64" s="776"/>
      <c r="E64" s="777"/>
      <c r="G64" s="777"/>
      <c r="J64" s="776"/>
    </row>
    <row r="65" spans="1:16" x14ac:dyDescent="0.2">
      <c r="B65" s="778"/>
      <c r="D65" s="745"/>
      <c r="E65" s="745"/>
      <c r="G65" s="745"/>
      <c r="J65" s="745"/>
    </row>
    <row r="66" spans="1:16" x14ac:dyDescent="0.2">
      <c r="D66" s="745"/>
      <c r="E66" s="745"/>
      <c r="G66" s="745"/>
      <c r="J66" s="745"/>
    </row>
    <row r="67" spans="1:16" x14ac:dyDescent="0.2">
      <c r="D67" s="745"/>
      <c r="E67" s="745"/>
      <c r="G67" s="745"/>
      <c r="J67" s="745"/>
    </row>
    <row r="71" spans="1:16" x14ac:dyDescent="0.2">
      <c r="D71" s="779"/>
      <c r="E71" s="779"/>
      <c r="G71" s="779"/>
      <c r="J71" s="779"/>
    </row>
    <row r="72" spans="1:16" x14ac:dyDescent="0.2">
      <c r="D72" s="779"/>
      <c r="E72" s="779"/>
      <c r="G72" s="779"/>
      <c r="J72" s="779"/>
    </row>
    <row r="73" spans="1:16" s="725" customFormat="1" x14ac:dyDescent="0.2">
      <c r="A73" s="720"/>
      <c r="B73" s="722"/>
      <c r="C73" s="722"/>
      <c r="D73" s="779"/>
      <c r="E73" s="779"/>
      <c r="F73" s="723"/>
      <c r="G73" s="779"/>
      <c r="H73" s="723"/>
      <c r="I73" s="722"/>
      <c r="J73" s="779"/>
      <c r="K73" s="722"/>
      <c r="L73" s="724"/>
      <c r="M73" s="164"/>
      <c r="O73" s="722"/>
      <c r="P73" s="722"/>
    </row>
    <row r="74" spans="1:16" s="725" customFormat="1" x14ac:dyDescent="0.2">
      <c r="A74" s="720"/>
      <c r="B74" s="722"/>
      <c r="C74" s="722"/>
      <c r="D74" s="779"/>
      <c r="E74" s="779"/>
      <c r="F74" s="723"/>
      <c r="G74" s="779"/>
      <c r="H74" s="723"/>
      <c r="I74" s="722"/>
      <c r="J74" s="779"/>
      <c r="K74" s="722"/>
      <c r="L74" s="724"/>
      <c r="M74" s="164"/>
      <c r="O74" s="722"/>
      <c r="P74" s="722"/>
    </row>
    <row r="75" spans="1:16" s="725" customFormat="1" x14ac:dyDescent="0.2">
      <c r="A75" s="720"/>
      <c r="B75" s="722"/>
      <c r="C75" s="722"/>
      <c r="D75" s="779"/>
      <c r="E75" s="779"/>
      <c r="F75" s="723"/>
      <c r="G75" s="779"/>
      <c r="H75" s="723"/>
      <c r="I75" s="722"/>
      <c r="J75" s="779"/>
      <c r="K75" s="722"/>
      <c r="L75" s="724"/>
      <c r="M75" s="164"/>
      <c r="O75" s="722"/>
      <c r="P75" s="722"/>
    </row>
  </sheetData>
  <autoFilter ref="B11:J53" xr:uid="{20539420-593A-4F5A-B5A8-025D4F6F63E0}"/>
  <mergeCells count="4">
    <mergeCell ref="B2:D2"/>
    <mergeCell ref="B3:D3"/>
    <mergeCell ref="B4:D4"/>
    <mergeCell ref="B9:D9"/>
  </mergeCells>
  <pageMargins left="0" right="0" top="0.59055118110236227" bottom="0.7874015748031496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8" tint="0.39997558519241921"/>
  </sheetPr>
  <dimension ref="A1:V111"/>
  <sheetViews>
    <sheetView showGridLines="0" zoomScaleNormal="100" workbookViewId="0">
      <selection activeCell="S17" sqref="S17"/>
    </sheetView>
  </sheetViews>
  <sheetFormatPr baseColWidth="10" defaultRowHeight="12.75" x14ac:dyDescent="0.2"/>
  <cols>
    <col min="1" max="1" width="9.140625" style="7" customWidth="1"/>
    <col min="2" max="2" width="46.7109375" style="7" customWidth="1"/>
    <col min="3" max="3" width="11.85546875" style="7" hidden="1" customWidth="1"/>
    <col min="4" max="4" width="12.85546875" style="7" customWidth="1"/>
    <col min="5" max="5" width="13.28515625" style="7" customWidth="1"/>
    <col min="6" max="7" width="13.28515625" style="7" hidden="1" customWidth="1"/>
    <col min="8" max="9" width="13.5703125" style="7" customWidth="1"/>
    <col min="10" max="10" width="10.7109375" style="7" customWidth="1"/>
    <col min="11" max="11" width="11.5703125" style="7" customWidth="1"/>
    <col min="12" max="12" width="10.140625" style="520" customWidth="1"/>
    <col min="13" max="13" width="12.42578125" style="520" customWidth="1"/>
    <col min="14" max="14" width="14.42578125" style="7" customWidth="1"/>
    <col min="15" max="15" width="14.42578125" style="520" customWidth="1"/>
    <col min="16" max="16" width="11.28515625" style="520" hidden="1" customWidth="1"/>
    <col min="17" max="17" width="14.28515625" style="520" customWidth="1"/>
    <col min="18" max="18" width="14" style="520" customWidth="1"/>
    <col min="19" max="19" width="11.42578125" style="7"/>
    <col min="20" max="21" width="12.85546875" style="216" hidden="1" customWidth="1"/>
    <col min="22" max="22" width="11.42578125" style="7" hidden="1" customWidth="1"/>
    <col min="23" max="16384" width="11.42578125" style="7"/>
  </cols>
  <sheetData>
    <row r="1" spans="1:21" ht="12.75" customHeight="1" x14ac:dyDescent="0.2">
      <c r="A1" s="794" t="s">
        <v>776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</row>
    <row r="2" spans="1:21" x14ac:dyDescent="0.2">
      <c r="A2" s="793" t="s">
        <v>841</v>
      </c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</row>
    <row r="3" spans="1:2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1:21" ht="3.75" customHeight="1" thickBot="1" x14ac:dyDescent="0.25">
      <c r="A4" s="288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509"/>
      <c r="M4" s="509"/>
      <c r="N4" s="288"/>
      <c r="O4" s="509"/>
      <c r="P4" s="509"/>
      <c r="Q4" s="509"/>
      <c r="R4" s="509"/>
    </row>
    <row r="5" spans="1:21" ht="26.25" customHeight="1" x14ac:dyDescent="0.2">
      <c r="A5" s="1368" t="s">
        <v>493</v>
      </c>
      <c r="B5" s="1371" t="s">
        <v>103</v>
      </c>
      <c r="C5" s="786" t="s">
        <v>494</v>
      </c>
      <c r="D5" s="786"/>
      <c r="E5" s="787"/>
      <c r="F5" s="787"/>
      <c r="G5" s="787"/>
      <c r="H5" s="787"/>
      <c r="I5" s="787"/>
      <c r="J5" s="787"/>
      <c r="K5" s="787"/>
      <c r="L5" s="789"/>
      <c r="M5" s="789"/>
      <c r="N5" s="788"/>
      <c r="O5" s="1381" t="s">
        <v>289</v>
      </c>
      <c r="P5" s="1386" t="s">
        <v>421</v>
      </c>
      <c r="Q5" s="1365" t="s">
        <v>291</v>
      </c>
      <c r="R5" s="1378" t="s">
        <v>25</v>
      </c>
    </row>
    <row r="6" spans="1:21" x14ac:dyDescent="0.2">
      <c r="A6" s="1369"/>
      <c r="B6" s="1372"/>
      <c r="C6" s="790" t="s">
        <v>0</v>
      </c>
      <c r="D6" s="790"/>
      <c r="E6" s="791"/>
      <c r="F6" s="791"/>
      <c r="G6" s="791"/>
      <c r="H6" s="792"/>
      <c r="I6" s="853"/>
      <c r="J6" s="1374" t="s">
        <v>396</v>
      </c>
      <c r="K6" s="1374" t="s">
        <v>615</v>
      </c>
      <c r="L6" s="1376" t="s">
        <v>691</v>
      </c>
      <c r="M6" s="1376" t="s">
        <v>954</v>
      </c>
      <c r="N6" s="1384" t="s">
        <v>495</v>
      </c>
      <c r="O6" s="1382"/>
      <c r="P6" s="1387"/>
      <c r="Q6" s="1366"/>
      <c r="R6" s="1379"/>
    </row>
    <row r="7" spans="1:21" ht="37.5" customHeight="1" thickBot="1" x14ac:dyDescent="0.25">
      <c r="A7" s="1370"/>
      <c r="B7" s="1373"/>
      <c r="C7" s="857" t="s">
        <v>775</v>
      </c>
      <c r="D7" s="462" t="s">
        <v>599</v>
      </c>
      <c r="E7" s="463" t="s">
        <v>600</v>
      </c>
      <c r="F7" s="670" t="s">
        <v>694</v>
      </c>
      <c r="G7" s="670" t="s">
        <v>695</v>
      </c>
      <c r="H7" s="253" t="s">
        <v>693</v>
      </c>
      <c r="I7" s="253" t="s">
        <v>837</v>
      </c>
      <c r="J7" s="1375"/>
      <c r="K7" s="1375"/>
      <c r="L7" s="1377"/>
      <c r="M7" s="1377"/>
      <c r="N7" s="1385"/>
      <c r="O7" s="1383"/>
      <c r="P7" s="1388"/>
      <c r="Q7" s="1367"/>
      <c r="R7" s="1380"/>
    </row>
    <row r="8" spans="1:21" x14ac:dyDescent="0.2">
      <c r="A8" s="289">
        <v>11</v>
      </c>
      <c r="B8" s="290" t="s">
        <v>326</v>
      </c>
      <c r="C8" s="858">
        <f t="shared" ref="C8:M8" si="0">C9</f>
        <v>0</v>
      </c>
      <c r="D8" s="896">
        <f t="shared" si="0"/>
        <v>0</v>
      </c>
      <c r="E8" s="897">
        <f t="shared" si="0"/>
        <v>0</v>
      </c>
      <c r="F8" s="897">
        <f t="shared" si="0"/>
        <v>0</v>
      </c>
      <c r="G8" s="897">
        <f t="shared" si="0"/>
        <v>0</v>
      </c>
      <c r="H8" s="897">
        <f>H9</f>
        <v>0</v>
      </c>
      <c r="I8" s="897">
        <f>I9</f>
        <v>0</v>
      </c>
      <c r="J8" s="897">
        <f t="shared" si="0"/>
        <v>0</v>
      </c>
      <c r="K8" s="897">
        <f t="shared" si="0"/>
        <v>0</v>
      </c>
      <c r="L8" s="898">
        <f>L9</f>
        <v>0</v>
      </c>
      <c r="M8" s="899">
        <f t="shared" si="0"/>
        <v>0</v>
      </c>
      <c r="N8" s="900">
        <v>0</v>
      </c>
      <c r="O8" s="899">
        <f>O9</f>
        <v>16137.07</v>
      </c>
      <c r="P8" s="510">
        <f>P9</f>
        <v>0</v>
      </c>
      <c r="Q8" s="511">
        <f>Q9</f>
        <v>0</v>
      </c>
      <c r="R8" s="512">
        <f>Q8+O8</f>
        <v>16137.07</v>
      </c>
    </row>
    <row r="9" spans="1:21" x14ac:dyDescent="0.2">
      <c r="A9" s="291">
        <v>118</v>
      </c>
      <c r="B9" s="292" t="s">
        <v>327</v>
      </c>
      <c r="C9" s="848">
        <f t="shared" ref="C9:K9" si="1">SUM(C10:C17)</f>
        <v>0</v>
      </c>
      <c r="D9" s="901">
        <f t="shared" si="1"/>
        <v>0</v>
      </c>
      <c r="E9" s="902">
        <f t="shared" si="1"/>
        <v>0</v>
      </c>
      <c r="F9" s="902">
        <f t="shared" si="1"/>
        <v>0</v>
      </c>
      <c r="G9" s="902">
        <f t="shared" si="1"/>
        <v>0</v>
      </c>
      <c r="H9" s="902">
        <f>SUM(H10:H17)</f>
        <v>0</v>
      </c>
      <c r="I9" s="902">
        <f>SUM(I10:I17)</f>
        <v>0</v>
      </c>
      <c r="J9" s="902">
        <f t="shared" si="1"/>
        <v>0</v>
      </c>
      <c r="K9" s="902">
        <f t="shared" si="1"/>
        <v>0</v>
      </c>
      <c r="L9" s="902">
        <f>SUM(L10:L17)</f>
        <v>0</v>
      </c>
      <c r="M9" s="844">
        <f t="shared" ref="M9" si="2">SUM(M10:M17)</f>
        <v>0</v>
      </c>
      <c r="N9" s="293">
        <v>0</v>
      </c>
      <c r="O9" s="844">
        <f>SUM(O10:O17)</f>
        <v>16137.07</v>
      </c>
      <c r="P9" s="513">
        <f>SUM(P10:P17)</f>
        <v>0</v>
      </c>
      <c r="Q9" s="514">
        <f>SUM(Q10:Q17)</f>
        <v>0</v>
      </c>
      <c r="R9" s="515">
        <f>+Q9+O9</f>
        <v>16137.07</v>
      </c>
    </row>
    <row r="10" spans="1:21" x14ac:dyDescent="0.2">
      <c r="A10" s="294">
        <v>11801</v>
      </c>
      <c r="B10" s="295" t="s">
        <v>454</v>
      </c>
      <c r="C10" s="859">
        <v>0</v>
      </c>
      <c r="D10" s="296">
        <v>0</v>
      </c>
      <c r="E10" s="297">
        <v>0</v>
      </c>
      <c r="F10" s="297">
        <v>0</v>
      </c>
      <c r="G10" s="297">
        <v>0</v>
      </c>
      <c r="H10" s="297">
        <v>0</v>
      </c>
      <c r="I10" s="297">
        <v>0</v>
      </c>
      <c r="J10" s="297">
        <v>0</v>
      </c>
      <c r="K10" s="297">
        <v>0</v>
      </c>
      <c r="L10" s="297">
        <v>0</v>
      </c>
      <c r="M10" s="842">
        <v>0</v>
      </c>
      <c r="N10" s="293">
        <v>0</v>
      </c>
      <c r="O10" s="903">
        <f>4304.15+2000</f>
        <v>6304.15</v>
      </c>
      <c r="P10" s="840">
        <v>0</v>
      </c>
      <c r="Q10" s="841">
        <v>0</v>
      </c>
      <c r="R10" s="516">
        <f t="shared" ref="R10:R17" si="3">Q10+O10</f>
        <v>6304.15</v>
      </c>
      <c r="T10" s="216">
        <f>5839.06</f>
        <v>5839.06</v>
      </c>
      <c r="U10" s="883">
        <f>O10-T10</f>
        <v>465.08999999999924</v>
      </c>
    </row>
    <row r="11" spans="1:21" x14ac:dyDescent="0.2">
      <c r="A11" s="294">
        <v>11802</v>
      </c>
      <c r="B11" s="295" t="s">
        <v>455</v>
      </c>
      <c r="C11" s="859">
        <v>0</v>
      </c>
      <c r="D11" s="296">
        <v>0</v>
      </c>
      <c r="E11" s="297">
        <v>0</v>
      </c>
      <c r="F11" s="297">
        <v>0</v>
      </c>
      <c r="G11" s="297">
        <v>0</v>
      </c>
      <c r="H11" s="297">
        <v>0</v>
      </c>
      <c r="I11" s="297">
        <v>0</v>
      </c>
      <c r="J11" s="297">
        <v>0</v>
      </c>
      <c r="K11" s="297">
        <v>0</v>
      </c>
      <c r="L11" s="297">
        <v>0</v>
      </c>
      <c r="M11" s="842">
        <v>0</v>
      </c>
      <c r="N11" s="293">
        <v>0</v>
      </c>
      <c r="O11" s="903">
        <v>1823.64</v>
      </c>
      <c r="P11" s="840">
        <v>0</v>
      </c>
      <c r="Q11" s="841">
        <v>0</v>
      </c>
      <c r="R11" s="516">
        <f t="shared" si="3"/>
        <v>1823.64</v>
      </c>
      <c r="T11" s="216">
        <v>904.85</v>
      </c>
      <c r="U11" s="216">
        <f t="shared" ref="U11:U52" si="4">O11-T11</f>
        <v>918.79000000000008</v>
      </c>
    </row>
    <row r="12" spans="1:21" x14ac:dyDescent="0.2">
      <c r="A12" s="294">
        <v>11804</v>
      </c>
      <c r="B12" s="295" t="s">
        <v>456</v>
      </c>
      <c r="C12" s="859">
        <v>0</v>
      </c>
      <c r="D12" s="296">
        <v>0</v>
      </c>
      <c r="E12" s="297">
        <v>0</v>
      </c>
      <c r="F12" s="297">
        <v>0</v>
      </c>
      <c r="G12" s="297">
        <v>0</v>
      </c>
      <c r="H12" s="297">
        <v>0</v>
      </c>
      <c r="I12" s="297">
        <v>0</v>
      </c>
      <c r="J12" s="297">
        <v>0</v>
      </c>
      <c r="K12" s="297">
        <v>0</v>
      </c>
      <c r="L12" s="297">
        <v>0</v>
      </c>
      <c r="M12" s="842">
        <v>0</v>
      </c>
      <c r="N12" s="293">
        <v>0</v>
      </c>
      <c r="O12" s="903">
        <v>5341.4</v>
      </c>
      <c r="P12" s="840">
        <v>0</v>
      </c>
      <c r="Q12" s="841">
        <v>0</v>
      </c>
      <c r="R12" s="516">
        <f t="shared" si="3"/>
        <v>5341.4</v>
      </c>
      <c r="T12" s="216">
        <v>4118.91</v>
      </c>
      <c r="U12" s="216">
        <f t="shared" si="4"/>
        <v>1222.4899999999998</v>
      </c>
    </row>
    <row r="13" spans="1:21" hidden="1" x14ac:dyDescent="0.2">
      <c r="A13" s="294">
        <v>11812</v>
      </c>
      <c r="B13" s="298" t="s">
        <v>457</v>
      </c>
      <c r="C13" s="859">
        <v>0</v>
      </c>
      <c r="D13" s="296">
        <v>0</v>
      </c>
      <c r="E13" s="297">
        <v>0</v>
      </c>
      <c r="F13" s="297">
        <v>0</v>
      </c>
      <c r="G13" s="297">
        <v>0</v>
      </c>
      <c r="H13" s="297">
        <v>0</v>
      </c>
      <c r="I13" s="297">
        <v>0</v>
      </c>
      <c r="J13" s="297">
        <v>0</v>
      </c>
      <c r="K13" s="297">
        <v>0</v>
      </c>
      <c r="L13" s="297">
        <v>0</v>
      </c>
      <c r="M13" s="842">
        <v>0</v>
      </c>
      <c r="N13" s="293">
        <v>0</v>
      </c>
      <c r="O13" s="903">
        <v>0</v>
      </c>
      <c r="P13" s="840">
        <v>0</v>
      </c>
      <c r="Q13" s="841">
        <v>0</v>
      </c>
      <c r="R13" s="516">
        <f t="shared" si="3"/>
        <v>0</v>
      </c>
      <c r="U13" s="216">
        <f t="shared" si="4"/>
        <v>0</v>
      </c>
    </row>
    <row r="14" spans="1:21" hidden="1" x14ac:dyDescent="0.2">
      <c r="A14" s="294">
        <v>11813</v>
      </c>
      <c r="B14" s="298" t="s">
        <v>550</v>
      </c>
      <c r="C14" s="859">
        <v>0</v>
      </c>
      <c r="D14" s="296">
        <v>0</v>
      </c>
      <c r="E14" s="297">
        <v>0</v>
      </c>
      <c r="F14" s="297">
        <v>0</v>
      </c>
      <c r="G14" s="297">
        <v>0</v>
      </c>
      <c r="H14" s="297">
        <v>0</v>
      </c>
      <c r="I14" s="297">
        <v>0</v>
      </c>
      <c r="J14" s="297">
        <v>0</v>
      </c>
      <c r="K14" s="297">
        <v>0</v>
      </c>
      <c r="L14" s="297">
        <v>0</v>
      </c>
      <c r="M14" s="842">
        <v>0</v>
      </c>
      <c r="N14" s="293">
        <v>0</v>
      </c>
      <c r="O14" s="903">
        <v>0</v>
      </c>
      <c r="P14" s="840">
        <v>0</v>
      </c>
      <c r="Q14" s="841">
        <v>0</v>
      </c>
      <c r="R14" s="516">
        <f t="shared" si="3"/>
        <v>0</v>
      </c>
      <c r="U14" s="216">
        <f t="shared" si="4"/>
        <v>0</v>
      </c>
    </row>
    <row r="15" spans="1:21" x14ac:dyDescent="0.2">
      <c r="A15" s="294">
        <v>11816</v>
      </c>
      <c r="B15" s="295" t="s">
        <v>458</v>
      </c>
      <c r="C15" s="859">
        <v>0</v>
      </c>
      <c r="D15" s="296">
        <v>0</v>
      </c>
      <c r="E15" s="297">
        <v>0</v>
      </c>
      <c r="F15" s="297">
        <v>0</v>
      </c>
      <c r="G15" s="297">
        <v>0</v>
      </c>
      <c r="H15" s="297">
        <v>0</v>
      </c>
      <c r="I15" s="297">
        <v>0</v>
      </c>
      <c r="J15" s="297">
        <v>0</v>
      </c>
      <c r="K15" s="297">
        <v>0</v>
      </c>
      <c r="L15" s="297">
        <v>0</v>
      </c>
      <c r="M15" s="842">
        <v>0</v>
      </c>
      <c r="N15" s="293">
        <v>0</v>
      </c>
      <c r="O15" s="903">
        <v>232.58</v>
      </c>
      <c r="P15" s="840">
        <v>0</v>
      </c>
      <c r="Q15" s="841">
        <v>0</v>
      </c>
      <c r="R15" s="516">
        <f t="shared" si="3"/>
        <v>232.58</v>
      </c>
      <c r="U15" s="216">
        <f t="shared" si="4"/>
        <v>232.58</v>
      </c>
    </row>
    <row r="16" spans="1:21" x14ac:dyDescent="0.2">
      <c r="A16" s="294">
        <v>11818</v>
      </c>
      <c r="B16" s="295" t="s">
        <v>459</v>
      </c>
      <c r="C16" s="859">
        <v>0</v>
      </c>
      <c r="D16" s="296">
        <v>0</v>
      </c>
      <c r="E16" s="297">
        <v>0</v>
      </c>
      <c r="F16" s="297">
        <v>0</v>
      </c>
      <c r="G16" s="297">
        <v>0</v>
      </c>
      <c r="H16" s="297">
        <v>0</v>
      </c>
      <c r="I16" s="297">
        <v>0</v>
      </c>
      <c r="J16" s="297">
        <v>0</v>
      </c>
      <c r="K16" s="297">
        <v>0</v>
      </c>
      <c r="L16" s="297">
        <v>0</v>
      </c>
      <c r="M16" s="842">
        <v>0</v>
      </c>
      <c r="N16" s="293">
        <v>0</v>
      </c>
      <c r="O16" s="842">
        <f>710*3.43</f>
        <v>2435.3000000000002</v>
      </c>
      <c r="P16" s="840">
        <v>0</v>
      </c>
      <c r="Q16" s="841">
        <v>0</v>
      </c>
      <c r="R16" s="516">
        <f t="shared" si="3"/>
        <v>2435.3000000000002</v>
      </c>
      <c r="T16" s="216">
        <v>2285.5100000000002</v>
      </c>
      <c r="U16" s="883">
        <f t="shared" si="4"/>
        <v>149.78999999999996</v>
      </c>
    </row>
    <row r="17" spans="1:21" x14ac:dyDescent="0.2">
      <c r="A17" s="294">
        <v>11899</v>
      </c>
      <c r="B17" s="295" t="s">
        <v>460</v>
      </c>
      <c r="C17" s="859"/>
      <c r="D17" s="296">
        <v>0</v>
      </c>
      <c r="E17" s="297">
        <v>0</v>
      </c>
      <c r="F17" s="297">
        <v>0</v>
      </c>
      <c r="G17" s="297">
        <v>0</v>
      </c>
      <c r="H17" s="297">
        <v>0</v>
      </c>
      <c r="I17" s="297">
        <v>0</v>
      </c>
      <c r="J17" s="297">
        <v>0</v>
      </c>
      <c r="K17" s="297">
        <v>0</v>
      </c>
      <c r="L17" s="297">
        <v>0</v>
      </c>
      <c r="M17" s="842">
        <v>0</v>
      </c>
      <c r="N17" s="293">
        <v>0</v>
      </c>
      <c r="O17" s="842">
        <v>0</v>
      </c>
      <c r="P17" s="840">
        <v>0</v>
      </c>
      <c r="Q17" s="841">
        <v>0</v>
      </c>
      <c r="R17" s="516">
        <f t="shared" si="3"/>
        <v>0</v>
      </c>
      <c r="U17" s="216">
        <f t="shared" si="4"/>
        <v>0</v>
      </c>
    </row>
    <row r="18" spans="1:21" x14ac:dyDescent="0.2">
      <c r="A18" s="291">
        <v>12</v>
      </c>
      <c r="B18" s="292" t="s">
        <v>6</v>
      </c>
      <c r="C18" s="848">
        <f t="shared" ref="C18:K18" si="5">C19+C32</f>
        <v>0</v>
      </c>
      <c r="D18" s="901">
        <f t="shared" si="5"/>
        <v>0</v>
      </c>
      <c r="E18" s="902">
        <f t="shared" si="5"/>
        <v>0</v>
      </c>
      <c r="F18" s="902">
        <f t="shared" si="5"/>
        <v>0</v>
      </c>
      <c r="G18" s="902">
        <f t="shared" si="5"/>
        <v>0</v>
      </c>
      <c r="H18" s="902">
        <f>H19+H32</f>
        <v>0</v>
      </c>
      <c r="I18" s="902">
        <f>I19+I32</f>
        <v>0</v>
      </c>
      <c r="J18" s="902">
        <f t="shared" si="5"/>
        <v>0</v>
      </c>
      <c r="K18" s="902">
        <f t="shared" si="5"/>
        <v>0</v>
      </c>
      <c r="L18" s="902">
        <f>L19+L32</f>
        <v>0</v>
      </c>
      <c r="M18" s="844">
        <f t="shared" ref="M18" si="6">M19+M32</f>
        <v>0</v>
      </c>
      <c r="N18" s="299">
        <v>0</v>
      </c>
      <c r="O18" s="844">
        <f>+O19+O32</f>
        <v>111740.59</v>
      </c>
      <c r="P18" s="843">
        <f>P19+P32</f>
        <v>0</v>
      </c>
      <c r="Q18" s="845">
        <f>Q19+Q32</f>
        <v>0</v>
      </c>
      <c r="R18" s="515">
        <f>+Q18+O18</f>
        <v>111740.59</v>
      </c>
      <c r="U18" s="216">
        <f t="shared" si="4"/>
        <v>111740.59</v>
      </c>
    </row>
    <row r="19" spans="1:21" x14ac:dyDescent="0.2">
      <c r="A19" s="291">
        <v>121</v>
      </c>
      <c r="B19" s="292" t="s">
        <v>328</v>
      </c>
      <c r="C19" s="848">
        <f t="shared" ref="C19:K19" si="7">SUM(C22:C30)</f>
        <v>0</v>
      </c>
      <c r="D19" s="901">
        <f t="shared" si="7"/>
        <v>0</v>
      </c>
      <c r="E19" s="902">
        <f t="shared" si="7"/>
        <v>0</v>
      </c>
      <c r="F19" s="902">
        <f t="shared" si="7"/>
        <v>0</v>
      </c>
      <c r="G19" s="902">
        <f t="shared" si="7"/>
        <v>0</v>
      </c>
      <c r="H19" s="902">
        <f>SUM(H22:H30)</f>
        <v>0</v>
      </c>
      <c r="I19" s="902">
        <f>SUM(I22:I30)</f>
        <v>0</v>
      </c>
      <c r="J19" s="902">
        <f t="shared" si="7"/>
        <v>0</v>
      </c>
      <c r="K19" s="902">
        <f t="shared" si="7"/>
        <v>0</v>
      </c>
      <c r="L19" s="902">
        <f>SUM(L22:L30)</f>
        <v>0</v>
      </c>
      <c r="M19" s="844">
        <f t="shared" ref="M19" si="8">SUM(M22:M30)</f>
        <v>0</v>
      </c>
      <c r="N19" s="299">
        <v>0</v>
      </c>
      <c r="O19" s="844">
        <f>SUM(O20:O31)</f>
        <v>105476.48999999999</v>
      </c>
      <c r="P19" s="843">
        <f>SUM(P22:P30)</f>
        <v>0</v>
      </c>
      <c r="Q19" s="845">
        <f>SUM(Q22:Q30)</f>
        <v>0</v>
      </c>
      <c r="R19" s="515">
        <f t="shared" ref="R19:R45" si="9">Q19+O19</f>
        <v>105476.48999999999</v>
      </c>
      <c r="U19" s="216">
        <f t="shared" si="4"/>
        <v>105476.48999999999</v>
      </c>
    </row>
    <row r="20" spans="1:21" x14ac:dyDescent="0.2">
      <c r="A20" s="294">
        <v>12105</v>
      </c>
      <c r="B20" s="295" t="s">
        <v>461</v>
      </c>
      <c r="C20" s="859">
        <v>0</v>
      </c>
      <c r="D20" s="296">
        <v>0</v>
      </c>
      <c r="E20" s="297">
        <v>0</v>
      </c>
      <c r="F20" s="297">
        <v>0</v>
      </c>
      <c r="G20" s="297">
        <v>0</v>
      </c>
      <c r="H20" s="297">
        <v>0</v>
      </c>
      <c r="I20" s="297">
        <v>0</v>
      </c>
      <c r="J20" s="297">
        <v>0</v>
      </c>
      <c r="K20" s="297">
        <v>0</v>
      </c>
      <c r="L20" s="297">
        <v>0</v>
      </c>
      <c r="M20" s="842">
        <v>0</v>
      </c>
      <c r="N20" s="293">
        <v>0</v>
      </c>
      <c r="O20" s="842">
        <v>10735.76</v>
      </c>
      <c r="P20" s="840">
        <v>0</v>
      </c>
      <c r="Q20" s="841">
        <v>0</v>
      </c>
      <c r="R20" s="516">
        <f t="shared" si="9"/>
        <v>10735.76</v>
      </c>
      <c r="U20" s="216">
        <f t="shared" si="4"/>
        <v>10735.76</v>
      </c>
    </row>
    <row r="21" spans="1:21" x14ac:dyDescent="0.2">
      <c r="A21" s="294">
        <v>12106</v>
      </c>
      <c r="B21" s="295" t="s">
        <v>462</v>
      </c>
      <c r="C21" s="859">
        <v>0</v>
      </c>
      <c r="D21" s="296">
        <v>0</v>
      </c>
      <c r="E21" s="297">
        <v>0</v>
      </c>
      <c r="F21" s="297">
        <v>0</v>
      </c>
      <c r="G21" s="297">
        <v>0</v>
      </c>
      <c r="H21" s="297">
        <v>0</v>
      </c>
      <c r="I21" s="297">
        <v>0</v>
      </c>
      <c r="J21" s="297">
        <v>0</v>
      </c>
      <c r="K21" s="297">
        <v>0</v>
      </c>
      <c r="L21" s="297">
        <v>0</v>
      </c>
      <c r="M21" s="842">
        <v>0</v>
      </c>
      <c r="N21" s="293">
        <v>0</v>
      </c>
      <c r="O21" s="842">
        <v>247.68</v>
      </c>
      <c r="P21" s="840">
        <v>0</v>
      </c>
      <c r="Q21" s="841">
        <v>0</v>
      </c>
      <c r="R21" s="516">
        <f t="shared" si="9"/>
        <v>247.68</v>
      </c>
      <c r="U21" s="216">
        <f t="shared" si="4"/>
        <v>247.68</v>
      </c>
    </row>
    <row r="22" spans="1:21" x14ac:dyDescent="0.2">
      <c r="A22" s="294">
        <v>12108</v>
      </c>
      <c r="B22" s="295" t="s">
        <v>463</v>
      </c>
      <c r="C22" s="859">
        <v>0</v>
      </c>
      <c r="D22" s="296">
        <v>0</v>
      </c>
      <c r="E22" s="297">
        <v>0</v>
      </c>
      <c r="F22" s="297">
        <v>0</v>
      </c>
      <c r="G22" s="297">
        <v>0</v>
      </c>
      <c r="H22" s="297">
        <v>0</v>
      </c>
      <c r="I22" s="297">
        <v>0</v>
      </c>
      <c r="J22" s="297">
        <v>0</v>
      </c>
      <c r="K22" s="297">
        <v>0</v>
      </c>
      <c r="L22" s="297">
        <v>0</v>
      </c>
      <c r="M22" s="842">
        <v>0</v>
      </c>
      <c r="N22" s="293">
        <v>0</v>
      </c>
      <c r="O22" s="903">
        <v>1000.33</v>
      </c>
      <c r="P22" s="840">
        <v>0</v>
      </c>
      <c r="Q22" s="841">
        <v>0</v>
      </c>
      <c r="R22" s="516">
        <f t="shared" si="9"/>
        <v>1000.33</v>
      </c>
      <c r="U22" s="216">
        <f t="shared" si="4"/>
        <v>1000.33</v>
      </c>
    </row>
    <row r="23" spans="1:21" x14ac:dyDescent="0.2">
      <c r="A23" s="294">
        <v>12109</v>
      </c>
      <c r="B23" s="295" t="s">
        <v>464</v>
      </c>
      <c r="C23" s="859">
        <v>0</v>
      </c>
      <c r="D23" s="296">
        <v>0</v>
      </c>
      <c r="E23" s="297">
        <v>0</v>
      </c>
      <c r="F23" s="297">
        <v>0</v>
      </c>
      <c r="G23" s="297">
        <v>0</v>
      </c>
      <c r="H23" s="297">
        <v>0</v>
      </c>
      <c r="I23" s="297">
        <v>0</v>
      </c>
      <c r="J23" s="297">
        <v>0</v>
      </c>
      <c r="K23" s="297">
        <v>0</v>
      </c>
      <c r="L23" s="297">
        <v>0</v>
      </c>
      <c r="M23" s="842">
        <v>0</v>
      </c>
      <c r="N23" s="293">
        <v>0</v>
      </c>
      <c r="O23" s="903">
        <v>4206.8900000000003</v>
      </c>
      <c r="P23" s="840">
        <v>0</v>
      </c>
      <c r="Q23" s="841">
        <v>0</v>
      </c>
      <c r="R23" s="516">
        <f t="shared" si="9"/>
        <v>4206.8900000000003</v>
      </c>
      <c r="U23" s="216">
        <f t="shared" si="4"/>
        <v>4206.8900000000003</v>
      </c>
    </row>
    <row r="24" spans="1:21" hidden="1" x14ac:dyDescent="0.2">
      <c r="A24" s="294">
        <v>12110</v>
      </c>
      <c r="B24" s="295" t="s">
        <v>465</v>
      </c>
      <c r="C24" s="859">
        <v>0</v>
      </c>
      <c r="D24" s="296">
        <v>0</v>
      </c>
      <c r="E24" s="297">
        <v>0</v>
      </c>
      <c r="F24" s="297">
        <v>0</v>
      </c>
      <c r="G24" s="297">
        <v>0</v>
      </c>
      <c r="H24" s="297">
        <v>0</v>
      </c>
      <c r="I24" s="297">
        <v>0</v>
      </c>
      <c r="J24" s="297">
        <v>0</v>
      </c>
      <c r="K24" s="297">
        <v>0</v>
      </c>
      <c r="L24" s="297">
        <v>0</v>
      </c>
      <c r="M24" s="842">
        <v>0</v>
      </c>
      <c r="N24" s="293">
        <v>0</v>
      </c>
      <c r="O24" s="842">
        <v>0</v>
      </c>
      <c r="P24" s="840">
        <v>0</v>
      </c>
      <c r="Q24" s="841">
        <v>0</v>
      </c>
      <c r="R24" s="516">
        <f t="shared" si="9"/>
        <v>0</v>
      </c>
      <c r="U24" s="216">
        <f t="shared" si="4"/>
        <v>0</v>
      </c>
    </row>
    <row r="25" spans="1:21" x14ac:dyDescent="0.2">
      <c r="A25" s="294">
        <v>12111</v>
      </c>
      <c r="B25" s="295" t="s">
        <v>466</v>
      </c>
      <c r="C25" s="859">
        <v>0</v>
      </c>
      <c r="D25" s="296">
        <v>0</v>
      </c>
      <c r="E25" s="297">
        <v>0</v>
      </c>
      <c r="F25" s="297">
        <v>0</v>
      </c>
      <c r="G25" s="297">
        <v>0</v>
      </c>
      <c r="H25" s="297">
        <v>0</v>
      </c>
      <c r="I25" s="297">
        <v>0</v>
      </c>
      <c r="J25" s="297">
        <v>0</v>
      </c>
      <c r="K25" s="297">
        <v>0</v>
      </c>
      <c r="L25" s="297">
        <v>0</v>
      </c>
      <c r="M25" s="842">
        <v>0</v>
      </c>
      <c r="N25" s="293">
        <v>0</v>
      </c>
      <c r="O25" s="903">
        <v>2144.0500000000002</v>
      </c>
      <c r="P25" s="840">
        <v>0</v>
      </c>
      <c r="Q25" s="841">
        <v>0</v>
      </c>
      <c r="R25" s="516">
        <f t="shared" si="9"/>
        <v>2144.0500000000002</v>
      </c>
      <c r="U25" s="216">
        <f t="shared" si="4"/>
        <v>2144.0500000000002</v>
      </c>
    </row>
    <row r="26" spans="1:21" x14ac:dyDescent="0.2">
      <c r="A26" s="294">
        <v>12114</v>
      </c>
      <c r="B26" s="295" t="s">
        <v>467</v>
      </c>
      <c r="C26" s="859">
        <v>0</v>
      </c>
      <c r="D26" s="296">
        <v>0</v>
      </c>
      <c r="E26" s="297">
        <v>0</v>
      </c>
      <c r="F26" s="297">
        <v>0</v>
      </c>
      <c r="G26" s="297">
        <v>0</v>
      </c>
      <c r="H26" s="297">
        <v>0</v>
      </c>
      <c r="I26" s="297">
        <v>0</v>
      </c>
      <c r="J26" s="297">
        <v>0</v>
      </c>
      <c r="K26" s="297">
        <v>0</v>
      </c>
      <c r="L26" s="297">
        <v>0</v>
      </c>
      <c r="M26" s="842">
        <v>0</v>
      </c>
      <c r="N26" s="293">
        <v>0</v>
      </c>
      <c r="O26" s="842">
        <f>ROUND(((O10+O11+O12+O13+O15+O20+O21+O22+O23+O25+O28+O29+O30+O31+O33+O34+O37+O38+O49)*5%),2)</f>
        <v>13210.81</v>
      </c>
      <c r="P26" s="840">
        <v>0</v>
      </c>
      <c r="Q26" s="841">
        <v>0</v>
      </c>
      <c r="R26" s="516">
        <f t="shared" si="9"/>
        <v>13210.81</v>
      </c>
      <c r="U26" s="216">
        <f t="shared" si="4"/>
        <v>13210.81</v>
      </c>
    </row>
    <row r="27" spans="1:21" x14ac:dyDescent="0.2">
      <c r="A27" s="294">
        <v>12115</v>
      </c>
      <c r="B27" s="295" t="s">
        <v>468</v>
      </c>
      <c r="C27" s="859">
        <v>0</v>
      </c>
      <c r="D27" s="296">
        <v>0</v>
      </c>
      <c r="E27" s="297">
        <v>0</v>
      </c>
      <c r="F27" s="297">
        <v>0</v>
      </c>
      <c r="G27" s="297">
        <v>0</v>
      </c>
      <c r="H27" s="297">
        <v>0</v>
      </c>
      <c r="I27" s="297">
        <v>0</v>
      </c>
      <c r="J27" s="297">
        <v>0</v>
      </c>
      <c r="K27" s="297">
        <v>0</v>
      </c>
      <c r="L27" s="297">
        <v>0</v>
      </c>
      <c r="M27" s="842">
        <v>0</v>
      </c>
      <c r="N27" s="293">
        <v>0</v>
      </c>
      <c r="O27" s="842">
        <v>61.56</v>
      </c>
      <c r="P27" s="840">
        <v>0</v>
      </c>
      <c r="Q27" s="841">
        <v>0</v>
      </c>
      <c r="R27" s="516">
        <f t="shared" si="9"/>
        <v>61.56</v>
      </c>
      <c r="U27" s="216">
        <f t="shared" si="4"/>
        <v>61.56</v>
      </c>
    </row>
    <row r="28" spans="1:21" x14ac:dyDescent="0.2">
      <c r="A28" s="294">
        <v>12117</v>
      </c>
      <c r="B28" s="295" t="s">
        <v>469</v>
      </c>
      <c r="C28" s="859">
        <v>0</v>
      </c>
      <c r="D28" s="296">
        <v>0</v>
      </c>
      <c r="E28" s="297">
        <v>0</v>
      </c>
      <c r="F28" s="297">
        <v>0</v>
      </c>
      <c r="G28" s="297">
        <v>0</v>
      </c>
      <c r="H28" s="297">
        <v>0</v>
      </c>
      <c r="I28" s="297">
        <v>0</v>
      </c>
      <c r="J28" s="297">
        <v>0</v>
      </c>
      <c r="K28" s="297">
        <v>0</v>
      </c>
      <c r="L28" s="297">
        <v>0</v>
      </c>
      <c r="M28" s="842">
        <v>0</v>
      </c>
      <c r="N28" s="293">
        <v>0</v>
      </c>
      <c r="O28" s="903">
        <v>201.05</v>
      </c>
      <c r="P28" s="840">
        <v>0</v>
      </c>
      <c r="Q28" s="841">
        <v>0</v>
      </c>
      <c r="R28" s="516">
        <f t="shared" si="9"/>
        <v>201.05</v>
      </c>
      <c r="U28" s="216">
        <f t="shared" si="4"/>
        <v>201.05</v>
      </c>
    </row>
    <row r="29" spans="1:21" x14ac:dyDescent="0.2">
      <c r="A29" s="294">
        <v>12118</v>
      </c>
      <c r="B29" s="295" t="s">
        <v>470</v>
      </c>
      <c r="C29" s="859">
        <v>0</v>
      </c>
      <c r="D29" s="296">
        <v>0</v>
      </c>
      <c r="E29" s="297">
        <v>0</v>
      </c>
      <c r="F29" s="297">
        <v>0</v>
      </c>
      <c r="G29" s="297">
        <v>0</v>
      </c>
      <c r="H29" s="297">
        <v>0</v>
      </c>
      <c r="I29" s="297">
        <v>0</v>
      </c>
      <c r="J29" s="297">
        <v>0</v>
      </c>
      <c r="K29" s="297">
        <v>0</v>
      </c>
      <c r="L29" s="297">
        <v>0</v>
      </c>
      <c r="M29" s="842">
        <v>0</v>
      </c>
      <c r="N29" s="293">
        <v>0</v>
      </c>
      <c r="O29" s="903">
        <f>68135.3+4500</f>
        <v>72635.3</v>
      </c>
      <c r="P29" s="840">
        <v>0</v>
      </c>
      <c r="Q29" s="841">
        <v>0</v>
      </c>
      <c r="R29" s="516">
        <f t="shared" si="9"/>
        <v>72635.3</v>
      </c>
      <c r="T29" s="216">
        <v>72529.84</v>
      </c>
      <c r="U29" s="883">
        <f t="shared" si="4"/>
        <v>105.4600000000064</v>
      </c>
    </row>
    <row r="30" spans="1:21" x14ac:dyDescent="0.2">
      <c r="A30" s="294">
        <v>12119</v>
      </c>
      <c r="B30" s="295" t="s">
        <v>471</v>
      </c>
      <c r="C30" s="859">
        <v>0</v>
      </c>
      <c r="D30" s="296">
        <v>0</v>
      </c>
      <c r="E30" s="297">
        <v>0</v>
      </c>
      <c r="F30" s="297">
        <v>0</v>
      </c>
      <c r="G30" s="297">
        <v>0</v>
      </c>
      <c r="H30" s="297">
        <v>0</v>
      </c>
      <c r="I30" s="297">
        <v>0</v>
      </c>
      <c r="J30" s="297">
        <v>0</v>
      </c>
      <c r="K30" s="297">
        <v>0</v>
      </c>
      <c r="L30" s="297">
        <v>0</v>
      </c>
      <c r="M30" s="842">
        <v>0</v>
      </c>
      <c r="N30" s="293">
        <v>0</v>
      </c>
      <c r="O30" s="904">
        <v>36.450000000000003</v>
      </c>
      <c r="P30" s="840">
        <v>0</v>
      </c>
      <c r="Q30" s="841">
        <v>0</v>
      </c>
      <c r="R30" s="516">
        <f t="shared" si="9"/>
        <v>36.450000000000003</v>
      </c>
      <c r="U30" s="216">
        <f t="shared" si="4"/>
        <v>36.450000000000003</v>
      </c>
    </row>
    <row r="31" spans="1:21" x14ac:dyDescent="0.2">
      <c r="A31" s="294">
        <v>12199</v>
      </c>
      <c r="B31" s="295" t="s">
        <v>472</v>
      </c>
      <c r="C31" s="859">
        <v>0</v>
      </c>
      <c r="D31" s="296">
        <v>0</v>
      </c>
      <c r="E31" s="297">
        <v>0</v>
      </c>
      <c r="F31" s="297">
        <v>0</v>
      </c>
      <c r="G31" s="297">
        <v>0</v>
      </c>
      <c r="H31" s="297">
        <v>0</v>
      </c>
      <c r="I31" s="297">
        <v>0</v>
      </c>
      <c r="J31" s="297">
        <v>0</v>
      </c>
      <c r="K31" s="297">
        <v>0</v>
      </c>
      <c r="L31" s="297">
        <v>0</v>
      </c>
      <c r="M31" s="842">
        <v>0</v>
      </c>
      <c r="N31" s="293">
        <v>0</v>
      </c>
      <c r="O31" s="903">
        <v>996.61</v>
      </c>
      <c r="P31" s="840">
        <v>0</v>
      </c>
      <c r="Q31" s="841">
        <v>0</v>
      </c>
      <c r="R31" s="516">
        <f t="shared" si="9"/>
        <v>996.61</v>
      </c>
      <c r="U31" s="216">
        <f t="shared" si="4"/>
        <v>996.61</v>
      </c>
    </row>
    <row r="32" spans="1:21" x14ac:dyDescent="0.2">
      <c r="A32" s="291">
        <v>122</v>
      </c>
      <c r="B32" s="292" t="s">
        <v>329</v>
      </c>
      <c r="C32" s="848">
        <f t="shared" ref="C32:K32" si="10">SUM(C33:C34)</f>
        <v>0</v>
      </c>
      <c r="D32" s="901">
        <f t="shared" si="10"/>
        <v>0</v>
      </c>
      <c r="E32" s="902">
        <f t="shared" si="10"/>
        <v>0</v>
      </c>
      <c r="F32" s="902">
        <f t="shared" si="10"/>
        <v>0</v>
      </c>
      <c r="G32" s="902">
        <f t="shared" si="10"/>
        <v>0</v>
      </c>
      <c r="H32" s="902">
        <f>SUM(H33:H34)</f>
        <v>0</v>
      </c>
      <c r="I32" s="902">
        <f>SUM(I33:I34)</f>
        <v>0</v>
      </c>
      <c r="J32" s="902">
        <f t="shared" si="10"/>
        <v>0</v>
      </c>
      <c r="K32" s="902">
        <f t="shared" si="10"/>
        <v>0</v>
      </c>
      <c r="L32" s="902">
        <f>SUM(L33:L34)</f>
        <v>0</v>
      </c>
      <c r="M32" s="844">
        <f t="shared" ref="M32" si="11">SUM(M33:M34)</f>
        <v>0</v>
      </c>
      <c r="N32" s="299">
        <v>0</v>
      </c>
      <c r="O32" s="844">
        <f>SUM(O33:O34)</f>
        <v>6264.1</v>
      </c>
      <c r="P32" s="843">
        <f>SUM(P33:P34)</f>
        <v>0</v>
      </c>
      <c r="Q32" s="845">
        <f>SUM(Q33:Q34)</f>
        <v>0</v>
      </c>
      <c r="R32" s="515">
        <f t="shared" si="9"/>
        <v>6264.1</v>
      </c>
      <c r="U32" s="216">
        <f t="shared" si="4"/>
        <v>6264.1</v>
      </c>
    </row>
    <row r="33" spans="1:22" x14ac:dyDescent="0.2">
      <c r="A33" s="294">
        <v>12210</v>
      </c>
      <c r="B33" s="295" t="s">
        <v>473</v>
      </c>
      <c r="C33" s="859">
        <v>0</v>
      </c>
      <c r="D33" s="296">
        <v>0</v>
      </c>
      <c r="E33" s="297">
        <v>0</v>
      </c>
      <c r="F33" s="297">
        <v>0</v>
      </c>
      <c r="G33" s="297">
        <v>0</v>
      </c>
      <c r="H33" s="297">
        <v>0</v>
      </c>
      <c r="I33" s="297">
        <v>0</v>
      </c>
      <c r="J33" s="297">
        <v>0</v>
      </c>
      <c r="K33" s="297">
        <v>0</v>
      </c>
      <c r="L33" s="297">
        <v>0</v>
      </c>
      <c r="M33" s="842">
        <v>0</v>
      </c>
      <c r="N33" s="293">
        <f t="shared" ref="N33:N34" si="12">J33+D33+E33+I33+H33+C33+K33+L33+M33</f>
        <v>0</v>
      </c>
      <c r="O33" s="842">
        <f>2000+4000</f>
        <v>6000</v>
      </c>
      <c r="P33" s="840">
        <v>0</v>
      </c>
      <c r="Q33" s="841">
        <v>0</v>
      </c>
      <c r="R33" s="516">
        <f t="shared" si="9"/>
        <v>6000</v>
      </c>
      <c r="T33" s="216">
        <v>5857.26</v>
      </c>
      <c r="U33" s="883">
        <f t="shared" si="4"/>
        <v>142.73999999999978</v>
      </c>
    </row>
    <row r="34" spans="1:22" x14ac:dyDescent="0.2">
      <c r="A34" s="294">
        <v>12211</v>
      </c>
      <c r="B34" s="295" t="s">
        <v>474</v>
      </c>
      <c r="C34" s="859">
        <v>0</v>
      </c>
      <c r="D34" s="296">
        <v>0</v>
      </c>
      <c r="E34" s="297">
        <v>0</v>
      </c>
      <c r="F34" s="297">
        <v>0</v>
      </c>
      <c r="G34" s="297">
        <v>0</v>
      </c>
      <c r="H34" s="297">
        <v>0</v>
      </c>
      <c r="I34" s="297">
        <v>0</v>
      </c>
      <c r="J34" s="297">
        <v>0</v>
      </c>
      <c r="K34" s="297">
        <v>0</v>
      </c>
      <c r="L34" s="297">
        <v>0</v>
      </c>
      <c r="M34" s="842">
        <v>0</v>
      </c>
      <c r="N34" s="293">
        <f t="shared" si="12"/>
        <v>0</v>
      </c>
      <c r="O34" s="842">
        <v>264.10000000000002</v>
      </c>
      <c r="P34" s="840">
        <v>0</v>
      </c>
      <c r="Q34" s="841">
        <v>0</v>
      </c>
      <c r="R34" s="516">
        <f t="shared" si="9"/>
        <v>264.10000000000002</v>
      </c>
      <c r="U34" s="216">
        <f t="shared" si="4"/>
        <v>264.10000000000002</v>
      </c>
    </row>
    <row r="35" spans="1:22" x14ac:dyDescent="0.2">
      <c r="A35" s="291">
        <v>14</v>
      </c>
      <c r="B35" s="292" t="s">
        <v>8</v>
      </c>
      <c r="C35" s="848">
        <f t="shared" ref="C35:M35" si="13">C36</f>
        <v>0</v>
      </c>
      <c r="D35" s="901">
        <f t="shared" si="13"/>
        <v>0</v>
      </c>
      <c r="E35" s="902">
        <f t="shared" si="13"/>
        <v>0</v>
      </c>
      <c r="F35" s="902">
        <f t="shared" si="13"/>
        <v>0</v>
      </c>
      <c r="G35" s="902">
        <f t="shared" si="13"/>
        <v>0</v>
      </c>
      <c r="H35" s="902">
        <f>H36</f>
        <v>0</v>
      </c>
      <c r="I35" s="902">
        <f>I36</f>
        <v>0</v>
      </c>
      <c r="J35" s="902">
        <f t="shared" si="13"/>
        <v>0</v>
      </c>
      <c r="K35" s="902">
        <f t="shared" si="13"/>
        <v>0</v>
      </c>
      <c r="L35" s="902">
        <f>L36</f>
        <v>0</v>
      </c>
      <c r="M35" s="844">
        <f t="shared" si="13"/>
        <v>0</v>
      </c>
      <c r="N35" s="299">
        <v>0</v>
      </c>
      <c r="O35" s="844">
        <f>+O36</f>
        <v>152046.14000000001</v>
      </c>
      <c r="P35" s="843">
        <f>P36</f>
        <v>0</v>
      </c>
      <c r="Q35" s="845">
        <f>Q36</f>
        <v>0</v>
      </c>
      <c r="R35" s="515">
        <f t="shared" si="9"/>
        <v>152046.14000000001</v>
      </c>
      <c r="U35" s="216">
        <f t="shared" si="4"/>
        <v>152046.14000000001</v>
      </c>
    </row>
    <row r="36" spans="1:22" x14ac:dyDescent="0.2">
      <c r="A36" s="291">
        <v>142</v>
      </c>
      <c r="B36" s="292" t="s">
        <v>409</v>
      </c>
      <c r="C36" s="848">
        <v>0</v>
      </c>
      <c r="D36" s="901">
        <v>0</v>
      </c>
      <c r="E36" s="902">
        <v>0</v>
      </c>
      <c r="F36" s="902">
        <v>0</v>
      </c>
      <c r="G36" s="902">
        <v>0</v>
      </c>
      <c r="H36" s="902">
        <v>0</v>
      </c>
      <c r="I36" s="902">
        <v>0</v>
      </c>
      <c r="J36" s="902">
        <v>0</v>
      </c>
      <c r="K36" s="902">
        <v>0</v>
      </c>
      <c r="L36" s="902">
        <v>0</v>
      </c>
      <c r="M36" s="844">
        <v>0</v>
      </c>
      <c r="N36" s="299">
        <v>0</v>
      </c>
      <c r="O36" s="844">
        <f>SUM(O37:O38)</f>
        <v>152046.14000000001</v>
      </c>
      <c r="P36" s="843">
        <v>0</v>
      </c>
      <c r="Q36" s="845">
        <v>0</v>
      </c>
      <c r="R36" s="515">
        <f t="shared" si="9"/>
        <v>152046.14000000001</v>
      </c>
      <c r="U36" s="216">
        <f t="shared" si="4"/>
        <v>152046.14000000001</v>
      </c>
    </row>
    <row r="37" spans="1:22" x14ac:dyDescent="0.2">
      <c r="A37" s="294">
        <v>14201</v>
      </c>
      <c r="B37" s="295" t="s">
        <v>475</v>
      </c>
      <c r="C37" s="859">
        <v>0</v>
      </c>
      <c r="D37" s="296">
        <v>0</v>
      </c>
      <c r="E37" s="297">
        <v>0</v>
      </c>
      <c r="F37" s="297">
        <v>0</v>
      </c>
      <c r="G37" s="297">
        <v>0</v>
      </c>
      <c r="H37" s="297">
        <v>0</v>
      </c>
      <c r="I37" s="297">
        <v>0</v>
      </c>
      <c r="J37" s="297">
        <v>0</v>
      </c>
      <c r="K37" s="297">
        <v>0</v>
      </c>
      <c r="L37" s="297">
        <v>0</v>
      </c>
      <c r="M37" s="842">
        <v>0</v>
      </c>
      <c r="N37" s="293">
        <f t="shared" ref="N37:N38" si="14">J37+D37+E37+I37+H37+C37+K37+L37+M37</f>
        <v>0</v>
      </c>
      <c r="O37" s="842">
        <f>110428.01+13000+1500+500+6000+10000</f>
        <v>141428.01</v>
      </c>
      <c r="P37" s="840">
        <v>0</v>
      </c>
      <c r="Q37" s="841">
        <v>0</v>
      </c>
      <c r="R37" s="516">
        <f t="shared" si="9"/>
        <v>141428.01</v>
      </c>
      <c r="T37" s="216">
        <f>117320.55+5185.53</f>
        <v>122506.08</v>
      </c>
      <c r="U37" s="883">
        <f t="shared" si="4"/>
        <v>18921.930000000008</v>
      </c>
      <c r="V37" s="193"/>
    </row>
    <row r="38" spans="1:22" x14ac:dyDescent="0.2">
      <c r="A38" s="294">
        <v>14299</v>
      </c>
      <c r="B38" s="295" t="s">
        <v>476</v>
      </c>
      <c r="C38" s="859">
        <v>0</v>
      </c>
      <c r="D38" s="296">
        <v>0</v>
      </c>
      <c r="E38" s="297">
        <v>0</v>
      </c>
      <c r="F38" s="297">
        <v>0</v>
      </c>
      <c r="G38" s="297">
        <v>0</v>
      </c>
      <c r="H38" s="297">
        <v>0</v>
      </c>
      <c r="I38" s="297">
        <v>0</v>
      </c>
      <c r="J38" s="297">
        <v>0</v>
      </c>
      <c r="K38" s="297">
        <v>0</v>
      </c>
      <c r="L38" s="297">
        <v>0</v>
      </c>
      <c r="M38" s="842">
        <v>0</v>
      </c>
      <c r="N38" s="293">
        <f t="shared" si="14"/>
        <v>0</v>
      </c>
      <c r="O38" s="842">
        <f>6813.37+3800+5-0.24</f>
        <v>10618.13</v>
      </c>
      <c r="P38" s="840">
        <v>0</v>
      </c>
      <c r="Q38" s="841">
        <v>0</v>
      </c>
      <c r="R38" s="516">
        <f t="shared" si="9"/>
        <v>10618.13</v>
      </c>
      <c r="T38" s="216">
        <v>10440</v>
      </c>
      <c r="U38" s="883">
        <f t="shared" si="4"/>
        <v>178.1299999999992</v>
      </c>
    </row>
    <row r="39" spans="1:22" x14ac:dyDescent="0.2">
      <c r="A39" s="291">
        <v>15</v>
      </c>
      <c r="B39" s="292" t="s">
        <v>9</v>
      </c>
      <c r="C39" s="848">
        <f t="shared" ref="C39:G39" si="15">C40</f>
        <v>0</v>
      </c>
      <c r="D39" s="901">
        <f t="shared" si="15"/>
        <v>0</v>
      </c>
      <c r="E39" s="902">
        <f t="shared" si="15"/>
        <v>0</v>
      </c>
      <c r="F39" s="902">
        <f t="shared" si="15"/>
        <v>0</v>
      </c>
      <c r="G39" s="902">
        <f t="shared" si="15"/>
        <v>0</v>
      </c>
      <c r="H39" s="902">
        <f>H40</f>
        <v>0</v>
      </c>
      <c r="I39" s="902">
        <f>I40</f>
        <v>0</v>
      </c>
      <c r="J39" s="902">
        <f>J40+J50</f>
        <v>0</v>
      </c>
      <c r="K39" s="902">
        <f>K40+K50</f>
        <v>0</v>
      </c>
      <c r="L39" s="902">
        <f>L40</f>
        <v>0</v>
      </c>
      <c r="M39" s="844">
        <f t="shared" ref="M39" si="16">M40</f>
        <v>0</v>
      </c>
      <c r="N39" s="905">
        <v>0</v>
      </c>
      <c r="O39" s="844">
        <f>O42+O48+O50</f>
        <v>18164.34</v>
      </c>
      <c r="P39" s="299">
        <f>P40</f>
        <v>0</v>
      </c>
      <c r="Q39" s="844">
        <f>Q40+Q50</f>
        <v>0</v>
      </c>
      <c r="R39" s="515">
        <f t="shared" si="9"/>
        <v>18164.34</v>
      </c>
      <c r="U39" s="216">
        <f t="shared" si="4"/>
        <v>18164.34</v>
      </c>
    </row>
    <row r="40" spans="1:22" hidden="1" x14ac:dyDescent="0.2">
      <c r="A40" s="291">
        <v>151</v>
      </c>
      <c r="B40" s="292" t="s">
        <v>10</v>
      </c>
      <c r="C40" s="848">
        <f t="shared" ref="C40:M40" si="17">SUM(C41)</f>
        <v>0</v>
      </c>
      <c r="D40" s="901">
        <f t="shared" si="17"/>
        <v>0</v>
      </c>
      <c r="E40" s="902">
        <f t="shared" si="17"/>
        <v>0</v>
      </c>
      <c r="F40" s="902">
        <f t="shared" si="17"/>
        <v>0</v>
      </c>
      <c r="G40" s="902">
        <f t="shared" si="17"/>
        <v>0</v>
      </c>
      <c r="H40" s="902">
        <f>SUM(H41)</f>
        <v>0</v>
      </c>
      <c r="I40" s="902">
        <f>SUM(I41)</f>
        <v>0</v>
      </c>
      <c r="J40" s="902">
        <f t="shared" si="17"/>
        <v>0</v>
      </c>
      <c r="K40" s="902">
        <f t="shared" si="17"/>
        <v>0</v>
      </c>
      <c r="L40" s="902">
        <f>SUM(L41)</f>
        <v>0</v>
      </c>
      <c r="M40" s="844">
        <f t="shared" si="17"/>
        <v>0</v>
      </c>
      <c r="N40" s="299">
        <v>0</v>
      </c>
      <c r="O40" s="844">
        <f>SUM(O41)</f>
        <v>0</v>
      </c>
      <c r="P40" s="843">
        <f>SUM(P41)</f>
        <v>0</v>
      </c>
      <c r="Q40" s="845">
        <f>SUM(Q41)</f>
        <v>0</v>
      </c>
      <c r="R40" s="515">
        <f t="shared" si="9"/>
        <v>0</v>
      </c>
      <c r="U40" s="216">
        <f t="shared" si="4"/>
        <v>0</v>
      </c>
    </row>
    <row r="41" spans="1:22" hidden="1" x14ac:dyDescent="0.2">
      <c r="A41" s="294">
        <v>15105</v>
      </c>
      <c r="B41" s="295" t="s">
        <v>477</v>
      </c>
      <c r="C41" s="859"/>
      <c r="D41" s="296"/>
      <c r="E41" s="297"/>
      <c r="F41" s="297"/>
      <c r="G41" s="297"/>
      <c r="H41" s="297"/>
      <c r="I41" s="297"/>
      <c r="J41" s="297"/>
      <c r="K41" s="297"/>
      <c r="L41" s="297"/>
      <c r="M41" s="842"/>
      <c r="N41" s="299">
        <f>J41+D41+E41+I41+H41+C41+K41+L41+M41</f>
        <v>0</v>
      </c>
      <c r="O41" s="842"/>
      <c r="P41" s="840"/>
      <c r="Q41" s="841"/>
      <c r="R41" s="516">
        <f t="shared" si="9"/>
        <v>0</v>
      </c>
      <c r="U41" s="216">
        <f t="shared" si="4"/>
        <v>0</v>
      </c>
    </row>
    <row r="42" spans="1:22" x14ac:dyDescent="0.2">
      <c r="A42" s="291">
        <v>153</v>
      </c>
      <c r="B42" s="292" t="s">
        <v>10</v>
      </c>
      <c r="C42" s="848">
        <f t="shared" ref="C42:K42" si="18">SUM(C47)</f>
        <v>0</v>
      </c>
      <c r="D42" s="901">
        <f t="shared" si="18"/>
        <v>0</v>
      </c>
      <c r="E42" s="902">
        <f t="shared" si="18"/>
        <v>0</v>
      </c>
      <c r="F42" s="902">
        <f t="shared" si="18"/>
        <v>0</v>
      </c>
      <c r="G42" s="902">
        <f t="shared" si="18"/>
        <v>0</v>
      </c>
      <c r="H42" s="902">
        <f>SUM(H47)</f>
        <v>0</v>
      </c>
      <c r="I42" s="902">
        <f>SUM(I47)</f>
        <v>0</v>
      </c>
      <c r="J42" s="902">
        <f t="shared" si="18"/>
        <v>0</v>
      </c>
      <c r="K42" s="902">
        <f t="shared" si="18"/>
        <v>0</v>
      </c>
      <c r="L42" s="902">
        <f>SUM(L47)</f>
        <v>0</v>
      </c>
      <c r="M42" s="844">
        <f t="shared" ref="M42" si="19">SUM(M47)</f>
        <v>0</v>
      </c>
      <c r="N42" s="299">
        <v>0</v>
      </c>
      <c r="O42" s="844">
        <f>SUM(O43:O46)</f>
        <v>14809.05</v>
      </c>
      <c r="P42" s="843">
        <f>SUM(P47)</f>
        <v>0</v>
      </c>
      <c r="Q42" s="845">
        <f>SUM(Q47)</f>
        <v>0</v>
      </c>
      <c r="R42" s="515">
        <f t="shared" si="9"/>
        <v>14809.05</v>
      </c>
      <c r="U42" s="216">
        <f t="shared" si="4"/>
        <v>14809.05</v>
      </c>
    </row>
    <row r="43" spans="1:22" x14ac:dyDescent="0.2">
      <c r="A43" s="294">
        <v>15301</v>
      </c>
      <c r="B43" s="295" t="s">
        <v>478</v>
      </c>
      <c r="C43" s="849">
        <v>0</v>
      </c>
      <c r="D43" s="906">
        <v>0</v>
      </c>
      <c r="E43" s="300">
        <v>0</v>
      </c>
      <c r="F43" s="300">
        <v>0</v>
      </c>
      <c r="G43" s="300">
        <v>0</v>
      </c>
      <c r="H43" s="300">
        <v>0</v>
      </c>
      <c r="I43" s="300">
        <v>0</v>
      </c>
      <c r="J43" s="300">
        <v>0</v>
      </c>
      <c r="K43" s="300">
        <v>0</v>
      </c>
      <c r="L43" s="300">
        <v>0</v>
      </c>
      <c r="M43" s="903">
        <v>0</v>
      </c>
      <c r="N43" s="907">
        <f t="shared" ref="N43:N46" si="20">J43+D43+E43+I43+H43+C43+K43+L43+M43</f>
        <v>0</v>
      </c>
      <c r="O43" s="842">
        <f>6579.83+3000+500-0.17</f>
        <v>10079.66</v>
      </c>
      <c r="P43" s="846">
        <v>0</v>
      </c>
      <c r="Q43" s="847">
        <v>0</v>
      </c>
      <c r="R43" s="516">
        <f t="shared" si="9"/>
        <v>10079.66</v>
      </c>
      <c r="T43" s="216">
        <v>9420.15</v>
      </c>
      <c r="U43" s="883">
        <f t="shared" si="4"/>
        <v>659.51000000000022</v>
      </c>
    </row>
    <row r="44" spans="1:22" x14ac:dyDescent="0.2">
      <c r="A44" s="294">
        <v>15302</v>
      </c>
      <c r="B44" s="295" t="s">
        <v>479</v>
      </c>
      <c r="C44" s="849">
        <v>0</v>
      </c>
      <c r="D44" s="906">
        <v>0</v>
      </c>
      <c r="E44" s="300">
        <v>0</v>
      </c>
      <c r="F44" s="300">
        <v>0</v>
      </c>
      <c r="G44" s="300">
        <v>0</v>
      </c>
      <c r="H44" s="300">
        <v>0</v>
      </c>
      <c r="I44" s="300">
        <v>0</v>
      </c>
      <c r="J44" s="300">
        <v>0</v>
      </c>
      <c r="K44" s="300">
        <v>0</v>
      </c>
      <c r="L44" s="300">
        <v>0</v>
      </c>
      <c r="M44" s="903">
        <v>0</v>
      </c>
      <c r="N44" s="907">
        <f t="shared" si="20"/>
        <v>0</v>
      </c>
      <c r="O44" s="842">
        <f>1186.53+3000+500</f>
        <v>4686.53</v>
      </c>
      <c r="P44" s="846">
        <v>0</v>
      </c>
      <c r="Q44" s="847">
        <v>0</v>
      </c>
      <c r="R44" s="516">
        <f t="shared" si="9"/>
        <v>4686.53</v>
      </c>
      <c r="T44" s="216">
        <v>3793.99</v>
      </c>
      <c r="U44" s="883">
        <f t="shared" si="4"/>
        <v>892.54</v>
      </c>
    </row>
    <row r="45" spans="1:22" hidden="1" x14ac:dyDescent="0.2">
      <c r="A45" s="294">
        <v>15310</v>
      </c>
      <c r="B45" s="295" t="s">
        <v>480</v>
      </c>
      <c r="C45" s="849">
        <v>0</v>
      </c>
      <c r="D45" s="906">
        <v>0</v>
      </c>
      <c r="E45" s="300">
        <v>0</v>
      </c>
      <c r="F45" s="300">
        <v>0</v>
      </c>
      <c r="G45" s="300">
        <v>0</v>
      </c>
      <c r="H45" s="300">
        <v>0</v>
      </c>
      <c r="I45" s="300">
        <v>0</v>
      </c>
      <c r="J45" s="300">
        <v>0</v>
      </c>
      <c r="K45" s="300">
        <v>0</v>
      </c>
      <c r="L45" s="902"/>
      <c r="M45" s="903">
        <v>0</v>
      </c>
      <c r="N45" s="907">
        <f t="shared" si="20"/>
        <v>0</v>
      </c>
      <c r="O45" s="842">
        <v>0</v>
      </c>
      <c r="P45" s="843"/>
      <c r="Q45" s="845">
        <v>0</v>
      </c>
      <c r="R45" s="516">
        <f t="shared" si="9"/>
        <v>0</v>
      </c>
      <c r="U45" s="216">
        <f t="shared" si="4"/>
        <v>0</v>
      </c>
    </row>
    <row r="46" spans="1:22" x14ac:dyDescent="0.2">
      <c r="A46" s="294">
        <v>15312</v>
      </c>
      <c r="B46" s="295" t="s">
        <v>481</v>
      </c>
      <c r="C46" s="849">
        <v>0</v>
      </c>
      <c r="D46" s="906">
        <v>0</v>
      </c>
      <c r="E46" s="300">
        <v>0</v>
      </c>
      <c r="F46" s="300">
        <v>0</v>
      </c>
      <c r="G46" s="300">
        <v>0</v>
      </c>
      <c r="H46" s="300">
        <v>0</v>
      </c>
      <c r="I46" s="300">
        <v>0</v>
      </c>
      <c r="J46" s="300">
        <v>0</v>
      </c>
      <c r="K46" s="300">
        <v>0</v>
      </c>
      <c r="L46" s="297"/>
      <c r="M46" s="903">
        <v>0</v>
      </c>
      <c r="N46" s="907">
        <f t="shared" si="20"/>
        <v>0</v>
      </c>
      <c r="O46" s="842">
        <v>42.86</v>
      </c>
      <c r="P46" s="840"/>
      <c r="Q46" s="841">
        <v>0</v>
      </c>
      <c r="R46" s="516">
        <f>Q46+O46</f>
        <v>42.86</v>
      </c>
      <c r="U46" s="216">
        <f t="shared" si="4"/>
        <v>42.86</v>
      </c>
    </row>
    <row r="47" spans="1:22" ht="13.5" hidden="1" customHeight="1" x14ac:dyDescent="0.2">
      <c r="A47" s="294">
        <v>15314</v>
      </c>
      <c r="B47" s="295" t="s">
        <v>482</v>
      </c>
      <c r="C47" s="859"/>
      <c r="D47" s="296"/>
      <c r="E47" s="297"/>
      <c r="F47" s="297"/>
      <c r="G47" s="297"/>
      <c r="H47" s="297"/>
      <c r="I47" s="297"/>
      <c r="J47" s="297"/>
      <c r="K47" s="297"/>
      <c r="L47" s="297"/>
      <c r="M47" s="842"/>
      <c r="N47" s="293"/>
      <c r="O47" s="842"/>
      <c r="P47" s="840"/>
      <c r="Q47" s="841"/>
      <c r="R47" s="516"/>
      <c r="U47" s="216">
        <f t="shared" si="4"/>
        <v>0</v>
      </c>
    </row>
    <row r="48" spans="1:22" x14ac:dyDescent="0.2">
      <c r="A48" s="291">
        <v>154</v>
      </c>
      <c r="B48" s="292" t="s">
        <v>397</v>
      </c>
      <c r="C48" s="848">
        <f>SUM(C49)</f>
        <v>0</v>
      </c>
      <c r="D48" s="901">
        <f t="shared" ref="D48:K48" si="21">SUM(D53)</f>
        <v>0</v>
      </c>
      <c r="E48" s="902">
        <f t="shared" si="21"/>
        <v>0</v>
      </c>
      <c r="F48" s="902">
        <f t="shared" si="21"/>
        <v>0</v>
      </c>
      <c r="G48" s="902">
        <f>SUM(G49)</f>
        <v>0</v>
      </c>
      <c r="H48" s="902">
        <f>SUM(H49)</f>
        <v>0</v>
      </c>
      <c r="I48" s="902">
        <f>SUM(I49)</f>
        <v>0</v>
      </c>
      <c r="J48" s="902">
        <f t="shared" si="21"/>
        <v>0</v>
      </c>
      <c r="K48" s="902">
        <f t="shared" si="21"/>
        <v>0</v>
      </c>
      <c r="L48" s="902">
        <f>SUM(L53)</f>
        <v>0</v>
      </c>
      <c r="M48" s="844">
        <f>SUM(M49)</f>
        <v>0</v>
      </c>
      <c r="N48" s="299">
        <v>0</v>
      </c>
      <c r="O48" s="844">
        <f>SUM(O49)</f>
        <v>0</v>
      </c>
      <c r="P48" s="843">
        <f>SUM(P53)</f>
        <v>0</v>
      </c>
      <c r="Q48" s="845">
        <f>SUM(Q53)</f>
        <v>0</v>
      </c>
      <c r="R48" s="515">
        <f>Q48+O48</f>
        <v>0</v>
      </c>
      <c r="U48" s="216">
        <f t="shared" si="4"/>
        <v>0</v>
      </c>
    </row>
    <row r="49" spans="1:21" x14ac:dyDescent="0.2">
      <c r="A49" s="294">
        <v>15402</v>
      </c>
      <c r="B49" s="295" t="s">
        <v>483</v>
      </c>
      <c r="C49" s="849">
        <v>0</v>
      </c>
      <c r="D49" s="906">
        <v>0</v>
      </c>
      <c r="E49" s="300">
        <v>0</v>
      </c>
      <c r="F49" s="300">
        <v>0</v>
      </c>
      <c r="G49" s="300">
        <v>0</v>
      </c>
      <c r="H49" s="300">
        <v>0</v>
      </c>
      <c r="I49" s="300">
        <v>0</v>
      </c>
      <c r="J49" s="300">
        <v>0</v>
      </c>
      <c r="K49" s="300">
        <v>0</v>
      </c>
      <c r="L49" s="902">
        <v>0</v>
      </c>
      <c r="M49" s="903">
        <v>0</v>
      </c>
      <c r="N49" s="907">
        <v>0</v>
      </c>
      <c r="O49" s="842">
        <v>0</v>
      </c>
      <c r="P49" s="843">
        <v>0</v>
      </c>
      <c r="Q49" s="845">
        <v>0</v>
      </c>
      <c r="R49" s="516">
        <f>Q49+O49</f>
        <v>0</v>
      </c>
      <c r="U49" s="216">
        <f t="shared" si="4"/>
        <v>0</v>
      </c>
    </row>
    <row r="50" spans="1:21" x14ac:dyDescent="0.2">
      <c r="A50" s="291">
        <v>157</v>
      </c>
      <c r="B50" s="292" t="s">
        <v>330</v>
      </c>
      <c r="C50" s="848">
        <f t="shared" ref="C50:M50" si="22">C51</f>
        <v>0</v>
      </c>
      <c r="D50" s="901">
        <f t="shared" si="22"/>
        <v>0</v>
      </c>
      <c r="E50" s="902">
        <f t="shared" si="22"/>
        <v>0</v>
      </c>
      <c r="F50" s="902">
        <f t="shared" si="22"/>
        <v>0</v>
      </c>
      <c r="G50" s="902">
        <f t="shared" si="22"/>
        <v>0</v>
      </c>
      <c r="H50" s="902">
        <f>H51</f>
        <v>0</v>
      </c>
      <c r="I50" s="902">
        <f>I51</f>
        <v>0</v>
      </c>
      <c r="J50" s="902">
        <f t="shared" si="22"/>
        <v>0</v>
      </c>
      <c r="K50" s="902">
        <f t="shared" si="22"/>
        <v>0</v>
      </c>
      <c r="L50" s="902">
        <f>L51</f>
        <v>0</v>
      </c>
      <c r="M50" s="844">
        <f t="shared" si="22"/>
        <v>0</v>
      </c>
      <c r="N50" s="299">
        <v>0</v>
      </c>
      <c r="O50" s="844">
        <f>O51+O52</f>
        <v>3355.29</v>
      </c>
      <c r="P50" s="843">
        <f>P51</f>
        <v>0</v>
      </c>
      <c r="Q50" s="845">
        <f>Q51</f>
        <v>0</v>
      </c>
      <c r="R50" s="515">
        <f>Q50+O50</f>
        <v>3355.29</v>
      </c>
      <c r="U50" s="216">
        <f t="shared" si="4"/>
        <v>3355.29</v>
      </c>
    </row>
    <row r="51" spans="1:21" x14ac:dyDescent="0.2">
      <c r="A51" s="294">
        <v>15703</v>
      </c>
      <c r="B51" s="295" t="s">
        <v>484</v>
      </c>
      <c r="C51" s="859">
        <v>0</v>
      </c>
      <c r="D51" s="296">
        <v>0</v>
      </c>
      <c r="E51" s="297">
        <v>0</v>
      </c>
      <c r="F51" s="297">
        <v>0</v>
      </c>
      <c r="G51" s="297">
        <v>0</v>
      </c>
      <c r="H51" s="297">
        <v>0</v>
      </c>
      <c r="I51" s="297">
        <v>0</v>
      </c>
      <c r="J51" s="297">
        <v>0</v>
      </c>
      <c r="K51" s="297">
        <v>0</v>
      </c>
      <c r="L51" s="297">
        <v>0</v>
      </c>
      <c r="M51" s="842">
        <v>0</v>
      </c>
      <c r="N51" s="293">
        <f t="shared" ref="N51:N52" si="23">J51+D51+E51+I51+H51+C51+K51+L51+M51</f>
        <v>0</v>
      </c>
      <c r="O51" s="842">
        <v>0</v>
      </c>
      <c r="P51" s="840">
        <v>0</v>
      </c>
      <c r="Q51" s="841">
        <v>0</v>
      </c>
      <c r="R51" s="516">
        <f>+Q51+O51</f>
        <v>0</v>
      </c>
      <c r="U51" s="216">
        <f t="shared" si="4"/>
        <v>0</v>
      </c>
    </row>
    <row r="52" spans="1:21" x14ac:dyDescent="0.2">
      <c r="A52" s="294">
        <v>15799</v>
      </c>
      <c r="B52" s="302" t="s">
        <v>688</v>
      </c>
      <c r="C52" s="859"/>
      <c r="D52" s="296">
        <v>0</v>
      </c>
      <c r="E52" s="297">
        <v>0</v>
      </c>
      <c r="F52" s="297">
        <v>0</v>
      </c>
      <c r="G52" s="297">
        <v>0</v>
      </c>
      <c r="H52" s="297">
        <v>0</v>
      </c>
      <c r="I52" s="297">
        <v>0</v>
      </c>
      <c r="J52" s="297">
        <v>0</v>
      </c>
      <c r="K52" s="297">
        <v>0</v>
      </c>
      <c r="L52" s="297">
        <v>0</v>
      </c>
      <c r="M52" s="842">
        <v>0</v>
      </c>
      <c r="N52" s="293">
        <f t="shared" si="23"/>
        <v>0</v>
      </c>
      <c r="O52" s="842">
        <f>1392.8+1962.49</f>
        <v>3355.29</v>
      </c>
      <c r="P52" s="840">
        <v>0</v>
      </c>
      <c r="Q52" s="841">
        <v>0</v>
      </c>
      <c r="R52" s="516">
        <f>Q52+O52</f>
        <v>3355.29</v>
      </c>
      <c r="T52" s="216">
        <v>3355.29</v>
      </c>
      <c r="U52" s="883">
        <f t="shared" si="4"/>
        <v>0</v>
      </c>
    </row>
    <row r="53" spans="1:21" x14ac:dyDescent="0.2">
      <c r="A53" s="291">
        <v>16</v>
      </c>
      <c r="B53" s="292" t="s">
        <v>96</v>
      </c>
      <c r="C53" s="848">
        <f t="shared" ref="C53:Q54" si="24">C54</f>
        <v>0</v>
      </c>
      <c r="D53" s="901">
        <f t="shared" si="24"/>
        <v>0</v>
      </c>
      <c r="E53" s="902">
        <f t="shared" si="24"/>
        <v>0</v>
      </c>
      <c r="F53" s="902">
        <f t="shared" si="24"/>
        <v>0</v>
      </c>
      <c r="G53" s="902">
        <f t="shared" si="24"/>
        <v>370929.54</v>
      </c>
      <c r="H53" s="902">
        <f>H54</f>
        <v>370929.54</v>
      </c>
      <c r="I53" s="902">
        <f>I54</f>
        <v>223413.02</v>
      </c>
      <c r="J53" s="902">
        <f t="shared" si="24"/>
        <v>0</v>
      </c>
      <c r="K53" s="902">
        <f t="shared" si="24"/>
        <v>0</v>
      </c>
      <c r="L53" s="902">
        <f>L54</f>
        <v>0</v>
      </c>
      <c r="M53" s="844">
        <f t="shared" si="24"/>
        <v>351604.92</v>
      </c>
      <c r="N53" s="299">
        <f>N54</f>
        <v>945947.48</v>
      </c>
      <c r="O53" s="844">
        <f t="shared" si="24"/>
        <v>0</v>
      </c>
      <c r="P53" s="843">
        <f t="shared" si="24"/>
        <v>0</v>
      </c>
      <c r="Q53" s="845">
        <f t="shared" si="24"/>
        <v>0</v>
      </c>
      <c r="R53" s="515">
        <f>O53+N53</f>
        <v>945947.48</v>
      </c>
    </row>
    <row r="54" spans="1:21" x14ac:dyDescent="0.2">
      <c r="A54" s="291">
        <v>162</v>
      </c>
      <c r="B54" s="292" t="s">
        <v>331</v>
      </c>
      <c r="C54" s="848">
        <f t="shared" si="24"/>
        <v>0</v>
      </c>
      <c r="D54" s="901">
        <f>SUM(D55:D56)</f>
        <v>0</v>
      </c>
      <c r="E54" s="902">
        <f t="shared" si="24"/>
        <v>0</v>
      </c>
      <c r="F54" s="902">
        <f>F55</f>
        <v>0</v>
      </c>
      <c r="G54" s="902">
        <f>G55+G56</f>
        <v>370929.54</v>
      </c>
      <c r="H54" s="902">
        <f>H55+H56</f>
        <v>370929.54</v>
      </c>
      <c r="I54" s="902">
        <f>I55+I56</f>
        <v>223413.02</v>
      </c>
      <c r="J54" s="902">
        <f t="shared" si="24"/>
        <v>0</v>
      </c>
      <c r="K54" s="902">
        <f t="shared" si="24"/>
        <v>0</v>
      </c>
      <c r="L54" s="902">
        <f>L55</f>
        <v>0</v>
      </c>
      <c r="M54" s="844">
        <f>SUM(M55:M56)</f>
        <v>351604.92</v>
      </c>
      <c r="N54" s="299">
        <f>N55+N56</f>
        <v>945947.48</v>
      </c>
      <c r="O54" s="844">
        <f t="shared" si="24"/>
        <v>0</v>
      </c>
      <c r="P54" s="843">
        <f t="shared" si="24"/>
        <v>0</v>
      </c>
      <c r="Q54" s="845">
        <f t="shared" si="24"/>
        <v>0</v>
      </c>
      <c r="R54" s="515">
        <f>R55+R56</f>
        <v>945947.48</v>
      </c>
    </row>
    <row r="55" spans="1:21" hidden="1" x14ac:dyDescent="0.2">
      <c r="A55" s="294">
        <v>16201</v>
      </c>
      <c r="B55" s="295" t="s">
        <v>485</v>
      </c>
      <c r="C55" s="859">
        <v>0</v>
      </c>
      <c r="D55" s="296">
        <v>0</v>
      </c>
      <c r="E55" s="297">
        <v>0</v>
      </c>
      <c r="F55" s="297">
        <v>0</v>
      </c>
      <c r="G55" s="297">
        <v>0</v>
      </c>
      <c r="H55" s="297">
        <v>0</v>
      </c>
      <c r="I55" s="297">
        <v>0</v>
      </c>
      <c r="J55" s="297">
        <v>0</v>
      </c>
      <c r="K55" s="297">
        <v>0</v>
      </c>
      <c r="L55" s="297"/>
      <c r="M55" s="842">
        <v>0</v>
      </c>
      <c r="N55" s="293">
        <f>J55+D55+E55+I55+H55+C55+K55+L55+M55</f>
        <v>0</v>
      </c>
      <c r="O55" s="842">
        <v>0</v>
      </c>
      <c r="P55" s="840"/>
      <c r="Q55" s="841">
        <v>0</v>
      </c>
      <c r="R55" s="516">
        <f>O55+N55</f>
        <v>0</v>
      </c>
    </row>
    <row r="56" spans="1:21" x14ac:dyDescent="0.2">
      <c r="A56" s="294">
        <v>16207</v>
      </c>
      <c r="B56" s="302" t="s">
        <v>692</v>
      </c>
      <c r="C56" s="859">
        <v>0</v>
      </c>
      <c r="D56" s="296">
        <v>0</v>
      </c>
      <c r="E56" s="297">
        <v>0</v>
      </c>
      <c r="F56" s="297">
        <v>0</v>
      </c>
      <c r="G56" s="297">
        <f>(30910.8*11+30910.74)</f>
        <v>370929.54</v>
      </c>
      <c r="H56" s="297">
        <f>F56+G56</f>
        <v>370929.54</v>
      </c>
      <c r="I56" s="297">
        <f>(18617.75*11+18617.77)</f>
        <v>223413.02</v>
      </c>
      <c r="J56" s="297">
        <v>0</v>
      </c>
      <c r="K56" s="297">
        <v>0</v>
      </c>
      <c r="L56" s="297"/>
      <c r="M56" s="842">
        <f>29300.41*12</f>
        <v>351604.92</v>
      </c>
      <c r="N56" s="293">
        <f>J56+D56+E56+H56+I56+C56+K56+L56+M56</f>
        <v>945947.48</v>
      </c>
      <c r="O56" s="842">
        <v>0</v>
      </c>
      <c r="P56" s="840"/>
      <c r="Q56" s="841">
        <v>0</v>
      </c>
      <c r="R56" s="516">
        <f>O56+N56</f>
        <v>945947.48</v>
      </c>
    </row>
    <row r="57" spans="1:21" hidden="1" x14ac:dyDescent="0.2">
      <c r="A57" s="291">
        <v>163</v>
      </c>
      <c r="B57" s="292" t="s">
        <v>486</v>
      </c>
      <c r="C57" s="848">
        <v>0</v>
      </c>
      <c r="D57" s="901">
        <v>0</v>
      </c>
      <c r="E57" s="902">
        <v>0</v>
      </c>
      <c r="F57" s="902">
        <v>0</v>
      </c>
      <c r="G57" s="902">
        <v>0</v>
      </c>
      <c r="H57" s="902">
        <v>0</v>
      </c>
      <c r="I57" s="902">
        <v>0</v>
      </c>
      <c r="J57" s="902">
        <v>0</v>
      </c>
      <c r="K57" s="902">
        <v>0</v>
      </c>
      <c r="L57" s="902">
        <v>0</v>
      </c>
      <c r="M57" s="844">
        <v>0</v>
      </c>
      <c r="N57" s="299">
        <v>0</v>
      </c>
      <c r="O57" s="844">
        <v>0</v>
      </c>
      <c r="P57" s="843">
        <v>0</v>
      </c>
      <c r="Q57" s="845">
        <v>0</v>
      </c>
      <c r="R57" s="515">
        <v>0</v>
      </c>
    </row>
    <row r="58" spans="1:21" hidden="1" x14ac:dyDescent="0.2">
      <c r="A58" s="294">
        <v>16304</v>
      </c>
      <c r="B58" s="295" t="s">
        <v>487</v>
      </c>
      <c r="C58" s="859">
        <v>0</v>
      </c>
      <c r="D58" s="296">
        <v>0</v>
      </c>
      <c r="E58" s="297">
        <v>0</v>
      </c>
      <c r="F58" s="297">
        <v>0</v>
      </c>
      <c r="G58" s="297">
        <v>0</v>
      </c>
      <c r="H58" s="297">
        <v>0</v>
      </c>
      <c r="I58" s="297">
        <v>0</v>
      </c>
      <c r="J58" s="297">
        <v>0</v>
      </c>
      <c r="K58" s="297">
        <v>0</v>
      </c>
      <c r="L58" s="297">
        <v>0</v>
      </c>
      <c r="M58" s="842">
        <v>0</v>
      </c>
      <c r="N58" s="293">
        <f>J58+D58+E58+I58+H58+C58+K58+L58+M58</f>
        <v>0</v>
      </c>
      <c r="O58" s="842">
        <v>0</v>
      </c>
      <c r="P58" s="840">
        <v>0</v>
      </c>
      <c r="Q58" s="841">
        <v>0</v>
      </c>
      <c r="R58" s="516">
        <v>0</v>
      </c>
    </row>
    <row r="59" spans="1:21" hidden="1" x14ac:dyDescent="0.2">
      <c r="A59" s="291">
        <v>21</v>
      </c>
      <c r="B59" s="292" t="s">
        <v>488</v>
      </c>
      <c r="C59" s="848">
        <v>0</v>
      </c>
      <c r="D59" s="901">
        <v>0</v>
      </c>
      <c r="E59" s="902">
        <v>0</v>
      </c>
      <c r="F59" s="902">
        <v>0</v>
      </c>
      <c r="G59" s="902">
        <v>0</v>
      </c>
      <c r="H59" s="902">
        <v>0</v>
      </c>
      <c r="I59" s="902">
        <v>0</v>
      </c>
      <c r="J59" s="902">
        <v>0</v>
      </c>
      <c r="K59" s="902">
        <v>0</v>
      </c>
      <c r="L59" s="297">
        <v>0</v>
      </c>
      <c r="M59" s="844">
        <v>0</v>
      </c>
      <c r="N59" s="299">
        <v>0</v>
      </c>
      <c r="O59" s="844">
        <f>+O60</f>
        <v>0</v>
      </c>
      <c r="P59" s="840">
        <v>0</v>
      </c>
      <c r="Q59" s="845">
        <v>0</v>
      </c>
      <c r="R59" s="515">
        <v>0</v>
      </c>
    </row>
    <row r="60" spans="1:21" hidden="1" x14ac:dyDescent="0.2">
      <c r="A60" s="294">
        <v>212</v>
      </c>
      <c r="B60" s="295" t="s">
        <v>489</v>
      </c>
      <c r="C60" s="859">
        <v>0</v>
      </c>
      <c r="D60" s="296">
        <v>0</v>
      </c>
      <c r="E60" s="297">
        <v>0</v>
      </c>
      <c r="F60" s="297">
        <v>0</v>
      </c>
      <c r="G60" s="297">
        <v>0</v>
      </c>
      <c r="H60" s="297">
        <v>0</v>
      </c>
      <c r="I60" s="297">
        <v>0</v>
      </c>
      <c r="J60" s="297">
        <v>0</v>
      </c>
      <c r="K60" s="297">
        <v>0</v>
      </c>
      <c r="L60" s="297">
        <v>0</v>
      </c>
      <c r="M60" s="842">
        <v>0</v>
      </c>
      <c r="N60" s="293">
        <f t="shared" ref="N60:N61" si="25">J60+D60+E60+I60+H60+C60+K60+L60+M60</f>
        <v>0</v>
      </c>
      <c r="O60" s="842">
        <v>0</v>
      </c>
      <c r="P60" s="840">
        <v>0</v>
      </c>
      <c r="Q60" s="841">
        <v>0</v>
      </c>
      <c r="R60" s="516">
        <v>0</v>
      </c>
    </row>
    <row r="61" spans="1:21" hidden="1" x14ac:dyDescent="0.2">
      <c r="A61" s="294">
        <v>21201</v>
      </c>
      <c r="B61" s="295" t="s">
        <v>490</v>
      </c>
      <c r="C61" s="859">
        <v>0</v>
      </c>
      <c r="D61" s="296">
        <v>0</v>
      </c>
      <c r="E61" s="297">
        <v>0</v>
      </c>
      <c r="F61" s="297">
        <v>0</v>
      </c>
      <c r="G61" s="297">
        <v>0</v>
      </c>
      <c r="H61" s="297">
        <v>0</v>
      </c>
      <c r="I61" s="297">
        <v>0</v>
      </c>
      <c r="J61" s="297">
        <v>0</v>
      </c>
      <c r="K61" s="297">
        <v>0</v>
      </c>
      <c r="L61" s="297">
        <v>0</v>
      </c>
      <c r="M61" s="842">
        <v>0</v>
      </c>
      <c r="N61" s="293">
        <f t="shared" si="25"/>
        <v>0</v>
      </c>
      <c r="O61" s="842">
        <v>0</v>
      </c>
      <c r="P61" s="840">
        <v>0</v>
      </c>
      <c r="Q61" s="841">
        <v>0</v>
      </c>
      <c r="R61" s="516">
        <v>0</v>
      </c>
    </row>
    <row r="62" spans="1:21" hidden="1" x14ac:dyDescent="0.2">
      <c r="A62" s="291">
        <v>22</v>
      </c>
      <c r="B62" s="292" t="s">
        <v>12</v>
      </c>
      <c r="C62" s="848">
        <f t="shared" ref="C62:Q62" si="26">C63</f>
        <v>0</v>
      </c>
      <c r="D62" s="901">
        <f t="shared" si="26"/>
        <v>0</v>
      </c>
      <c r="E62" s="902">
        <f t="shared" si="26"/>
        <v>0</v>
      </c>
      <c r="F62" s="902">
        <f t="shared" si="26"/>
        <v>0</v>
      </c>
      <c r="G62" s="902">
        <f t="shared" si="26"/>
        <v>0</v>
      </c>
      <c r="H62" s="902">
        <f t="shared" si="26"/>
        <v>0</v>
      </c>
      <c r="I62" s="902">
        <f t="shared" si="26"/>
        <v>0</v>
      </c>
      <c r="J62" s="902">
        <f t="shared" si="26"/>
        <v>0</v>
      </c>
      <c r="K62" s="902">
        <f t="shared" si="26"/>
        <v>0</v>
      </c>
      <c r="L62" s="902">
        <f>L63</f>
        <v>0</v>
      </c>
      <c r="M62" s="844">
        <f t="shared" si="26"/>
        <v>0</v>
      </c>
      <c r="N62" s="299">
        <f>N63</f>
        <v>0</v>
      </c>
      <c r="O62" s="844">
        <f t="shared" si="26"/>
        <v>0</v>
      </c>
      <c r="P62" s="843">
        <f t="shared" si="26"/>
        <v>0</v>
      </c>
      <c r="Q62" s="845">
        <f t="shared" si="26"/>
        <v>0</v>
      </c>
      <c r="R62" s="515">
        <f>R63</f>
        <v>0</v>
      </c>
    </row>
    <row r="63" spans="1:21" hidden="1" x14ac:dyDescent="0.2">
      <c r="A63" s="291">
        <v>222</v>
      </c>
      <c r="B63" s="292" t="s">
        <v>332</v>
      </c>
      <c r="C63" s="848">
        <f t="shared" ref="C63:Q63" si="27">C64</f>
        <v>0</v>
      </c>
      <c r="D63" s="901">
        <f t="shared" si="27"/>
        <v>0</v>
      </c>
      <c r="E63" s="902">
        <f t="shared" si="27"/>
        <v>0</v>
      </c>
      <c r="F63" s="902">
        <f t="shared" si="27"/>
        <v>0</v>
      </c>
      <c r="G63" s="902">
        <f t="shared" si="27"/>
        <v>0</v>
      </c>
      <c r="H63" s="902">
        <f t="shared" si="27"/>
        <v>0</v>
      </c>
      <c r="I63" s="902">
        <f t="shared" si="27"/>
        <v>0</v>
      </c>
      <c r="J63" s="902">
        <f t="shared" si="27"/>
        <v>0</v>
      </c>
      <c r="K63" s="902">
        <f t="shared" si="27"/>
        <v>0</v>
      </c>
      <c r="L63" s="902">
        <f>L64</f>
        <v>0</v>
      </c>
      <c r="M63" s="844">
        <f t="shared" si="27"/>
        <v>0</v>
      </c>
      <c r="N63" s="299">
        <f>N64</f>
        <v>0</v>
      </c>
      <c r="O63" s="844">
        <f t="shared" si="27"/>
        <v>0</v>
      </c>
      <c r="P63" s="843">
        <f t="shared" si="27"/>
        <v>0</v>
      </c>
      <c r="Q63" s="845">
        <f t="shared" si="27"/>
        <v>0</v>
      </c>
      <c r="R63" s="515">
        <f>Q63+O63+N63</f>
        <v>0</v>
      </c>
    </row>
    <row r="64" spans="1:21" hidden="1" x14ac:dyDescent="0.2">
      <c r="A64" s="294">
        <v>22201</v>
      </c>
      <c r="B64" s="295" t="s">
        <v>491</v>
      </c>
      <c r="C64" s="859">
        <v>0</v>
      </c>
      <c r="D64" s="296">
        <v>0</v>
      </c>
      <c r="E64" s="297">
        <v>0</v>
      </c>
      <c r="F64" s="297">
        <v>0</v>
      </c>
      <c r="G64" s="297">
        <v>0</v>
      </c>
      <c r="H64" s="297">
        <v>0</v>
      </c>
      <c r="I64" s="297">
        <v>0</v>
      </c>
      <c r="J64" s="297">
        <v>0</v>
      </c>
      <c r="K64" s="297">
        <v>0</v>
      </c>
      <c r="L64" s="297"/>
      <c r="M64" s="842">
        <v>0</v>
      </c>
      <c r="N64" s="293">
        <f>J64+D64+E64+I64+H64+C64+K64+L64+M64</f>
        <v>0</v>
      </c>
      <c r="O64" s="842">
        <v>0</v>
      </c>
      <c r="P64" s="840"/>
      <c r="Q64" s="841">
        <v>0</v>
      </c>
      <c r="R64" s="516">
        <f>+Q64+O64+N64+P64</f>
        <v>0</v>
      </c>
    </row>
    <row r="65" spans="1:21" x14ac:dyDescent="0.2">
      <c r="A65" s="291">
        <v>31</v>
      </c>
      <c r="B65" s="292" t="s">
        <v>333</v>
      </c>
      <c r="C65" s="848">
        <f t="shared" ref="C65:M66" si="28">C66</f>
        <v>0</v>
      </c>
      <c r="D65" s="901">
        <f t="shared" si="28"/>
        <v>0</v>
      </c>
      <c r="E65" s="902">
        <f t="shared" si="28"/>
        <v>0</v>
      </c>
      <c r="F65" s="902">
        <f t="shared" si="28"/>
        <v>0</v>
      </c>
      <c r="G65" s="902">
        <f t="shared" si="28"/>
        <v>0</v>
      </c>
      <c r="H65" s="902">
        <f t="shared" si="28"/>
        <v>0</v>
      </c>
      <c r="I65" s="902">
        <f t="shared" si="28"/>
        <v>0</v>
      </c>
      <c r="J65" s="902">
        <f t="shared" si="28"/>
        <v>0</v>
      </c>
      <c r="K65" s="902">
        <f t="shared" si="28"/>
        <v>0</v>
      </c>
      <c r="L65" s="902">
        <f>L66</f>
        <v>0</v>
      </c>
      <c r="M65" s="844">
        <f t="shared" si="28"/>
        <v>0</v>
      </c>
      <c r="N65" s="299">
        <v>0</v>
      </c>
      <c r="O65" s="844">
        <f t="shared" ref="O65:P66" si="29">O66</f>
        <v>0</v>
      </c>
      <c r="P65" s="843">
        <f t="shared" si="29"/>
        <v>0</v>
      </c>
      <c r="Q65" s="845">
        <f>Q66</f>
        <v>42506.60000000002</v>
      </c>
      <c r="R65" s="515">
        <f>Q65+O65</f>
        <v>42506.60000000002</v>
      </c>
    </row>
    <row r="66" spans="1:21" x14ac:dyDescent="0.2">
      <c r="A66" s="291">
        <v>313</v>
      </c>
      <c r="B66" s="292" t="s">
        <v>334</v>
      </c>
      <c r="C66" s="848">
        <f t="shared" si="28"/>
        <v>0</v>
      </c>
      <c r="D66" s="901">
        <f t="shared" si="28"/>
        <v>0</v>
      </c>
      <c r="E66" s="902">
        <f t="shared" si="28"/>
        <v>0</v>
      </c>
      <c r="F66" s="902">
        <f t="shared" si="28"/>
        <v>0</v>
      </c>
      <c r="G66" s="902">
        <f t="shared" si="28"/>
        <v>0</v>
      </c>
      <c r="H66" s="902">
        <f t="shared" si="28"/>
        <v>0</v>
      </c>
      <c r="I66" s="902">
        <f t="shared" si="28"/>
        <v>0</v>
      </c>
      <c r="J66" s="902">
        <f t="shared" si="28"/>
        <v>0</v>
      </c>
      <c r="K66" s="902">
        <f t="shared" si="28"/>
        <v>0</v>
      </c>
      <c r="L66" s="902">
        <f>L67</f>
        <v>0</v>
      </c>
      <c r="M66" s="844">
        <f t="shared" si="28"/>
        <v>0</v>
      </c>
      <c r="N66" s="299">
        <v>0</v>
      </c>
      <c r="O66" s="844">
        <f t="shared" si="29"/>
        <v>0</v>
      </c>
      <c r="P66" s="843">
        <f t="shared" si="29"/>
        <v>0</v>
      </c>
      <c r="Q66" s="845">
        <f>Q67</f>
        <v>42506.60000000002</v>
      </c>
      <c r="R66" s="515">
        <f>+Q66+O66</f>
        <v>42506.60000000002</v>
      </c>
    </row>
    <row r="67" spans="1:21" x14ac:dyDescent="0.2">
      <c r="A67" s="294">
        <v>31304</v>
      </c>
      <c r="B67" s="302" t="s">
        <v>86</v>
      </c>
      <c r="C67" s="859">
        <v>0</v>
      </c>
      <c r="D67" s="296">
        <v>0</v>
      </c>
      <c r="E67" s="297">
        <v>0</v>
      </c>
      <c r="F67" s="297">
        <v>0</v>
      </c>
      <c r="G67" s="297">
        <v>0</v>
      </c>
      <c r="H67" s="297">
        <v>0</v>
      </c>
      <c r="I67" s="297">
        <v>0</v>
      </c>
      <c r="J67" s="297">
        <v>0</v>
      </c>
      <c r="K67" s="297">
        <v>0</v>
      </c>
      <c r="L67" s="297">
        <v>0</v>
      </c>
      <c r="M67" s="842">
        <v>0</v>
      </c>
      <c r="N67" s="293">
        <f>J67+D67+E67+I67+H67+C67+K67+L67+M67</f>
        <v>0</v>
      </c>
      <c r="O67" s="842">
        <v>0</v>
      </c>
      <c r="P67" s="840">
        <v>0</v>
      </c>
      <c r="Q67" s="710">
        <v>42506.60000000002</v>
      </c>
      <c r="R67" s="516">
        <f>+Q67+O67+N67+P67</f>
        <v>42506.60000000002</v>
      </c>
    </row>
    <row r="68" spans="1:21" x14ac:dyDescent="0.2">
      <c r="A68" s="291">
        <v>32</v>
      </c>
      <c r="B68" s="292" t="s">
        <v>13</v>
      </c>
      <c r="C68" s="848">
        <f t="shared" ref="C68:H68" si="30">C69+C72</f>
        <v>0</v>
      </c>
      <c r="D68" s="901">
        <f t="shared" si="30"/>
        <v>5487.16</v>
      </c>
      <c r="E68" s="902">
        <f t="shared" si="30"/>
        <v>201.1</v>
      </c>
      <c r="F68" s="902">
        <f t="shared" si="30"/>
        <v>8491.5</v>
      </c>
      <c r="G68" s="902">
        <f t="shared" si="30"/>
        <v>0</v>
      </c>
      <c r="H68" s="902">
        <f t="shared" si="30"/>
        <v>8491.5</v>
      </c>
      <c r="I68" s="902">
        <f t="shared" ref="I68" si="31">I69+I72</f>
        <v>17880.71</v>
      </c>
      <c r="J68" s="902">
        <f>J69</f>
        <v>840</v>
      </c>
      <c r="K68" s="902">
        <f>K69</f>
        <v>177.1</v>
      </c>
      <c r="L68" s="902">
        <f>L69</f>
        <v>91.38</v>
      </c>
      <c r="M68" s="844">
        <f t="shared" ref="M68" si="32">M69+M72</f>
        <v>0</v>
      </c>
      <c r="N68" s="299">
        <f>+N69+N72</f>
        <v>33168.949999999997</v>
      </c>
      <c r="O68" s="844">
        <f>O69+O72</f>
        <v>243172.38</v>
      </c>
      <c r="P68" s="843">
        <f>P69</f>
        <v>0</v>
      </c>
      <c r="Q68" s="845">
        <f>Q69+Q72</f>
        <v>4568.4399999999996</v>
      </c>
      <c r="R68" s="515">
        <f>+R69+R72</f>
        <v>280909.77</v>
      </c>
    </row>
    <row r="69" spans="1:21" x14ac:dyDescent="0.2">
      <c r="A69" s="291">
        <v>321</v>
      </c>
      <c r="B69" s="292" t="s">
        <v>335</v>
      </c>
      <c r="C69" s="848">
        <f t="shared" ref="C69:O69" si="33">SUM(C70:C71)</f>
        <v>0</v>
      </c>
      <c r="D69" s="901">
        <f t="shared" si="33"/>
        <v>5487.16</v>
      </c>
      <c r="E69" s="902">
        <f t="shared" si="33"/>
        <v>201.1</v>
      </c>
      <c r="F69" s="902">
        <f t="shared" ref="F69:G69" si="34">SUM(F70:F71)</f>
        <v>8491.5</v>
      </c>
      <c r="G69" s="902">
        <f t="shared" si="34"/>
        <v>0</v>
      </c>
      <c r="H69" s="902">
        <f t="shared" ref="H69:I69" si="35">SUM(H70:H71)</f>
        <v>8491.5</v>
      </c>
      <c r="I69" s="902">
        <f t="shared" si="35"/>
        <v>17880.71</v>
      </c>
      <c r="J69" s="844">
        <f t="shared" si="33"/>
        <v>840</v>
      </c>
      <c r="K69" s="844">
        <f>SUM(K70:K71)</f>
        <v>177.1</v>
      </c>
      <c r="L69" s="902">
        <f t="shared" ref="L69" si="36">SUM(L70:L71)</f>
        <v>91.38</v>
      </c>
      <c r="M69" s="844">
        <f t="shared" ref="M69" si="37">SUM(M70:M71)</f>
        <v>0</v>
      </c>
      <c r="N69" s="299">
        <f>SUM(N70:N71)</f>
        <v>33168.949999999997</v>
      </c>
      <c r="O69" s="844">
        <f t="shared" si="33"/>
        <v>83.47</v>
      </c>
      <c r="P69" s="843">
        <f t="shared" ref="P69" si="38">SUM(P70:P71)</f>
        <v>0</v>
      </c>
      <c r="Q69" s="845">
        <f>SUM(Q70:Q71)</f>
        <v>4568.4399999999996</v>
      </c>
      <c r="R69" s="515">
        <f>SUM(R70:R71)</f>
        <v>37820.86</v>
      </c>
    </row>
    <row r="70" spans="1:21" x14ac:dyDescent="0.2">
      <c r="A70" s="301">
        <v>32102</v>
      </c>
      <c r="B70" s="302" t="s">
        <v>573</v>
      </c>
      <c r="C70" s="849">
        <v>0</v>
      </c>
      <c r="D70" s="906">
        <v>0</v>
      </c>
      <c r="E70" s="300">
        <v>0</v>
      </c>
      <c r="F70" s="300">
        <v>0</v>
      </c>
      <c r="G70" s="300">
        <v>0</v>
      </c>
      <c r="H70" s="300">
        <v>0</v>
      </c>
      <c r="I70" s="300">
        <v>0</v>
      </c>
      <c r="J70" s="300">
        <v>0</v>
      </c>
      <c r="K70" s="300">
        <v>0</v>
      </c>
      <c r="L70" s="902">
        <v>0</v>
      </c>
      <c r="M70" s="903">
        <v>0</v>
      </c>
      <c r="N70" s="293">
        <f>+D70+C70+J70</f>
        <v>0</v>
      </c>
      <c r="O70" s="842">
        <v>0</v>
      </c>
      <c r="P70" s="843">
        <v>0</v>
      </c>
      <c r="Q70" s="847">
        <v>0</v>
      </c>
      <c r="R70" s="516">
        <f>+Q70+O70+N70+P70</f>
        <v>0</v>
      </c>
    </row>
    <row r="71" spans="1:21" x14ac:dyDescent="0.2">
      <c r="A71" s="294">
        <v>32102</v>
      </c>
      <c r="B71" s="302" t="s">
        <v>517</v>
      </c>
      <c r="C71" s="856">
        <v>0</v>
      </c>
      <c r="D71" s="296">
        <f>904.67+3772.49+810</f>
        <v>5487.16</v>
      </c>
      <c r="E71" s="297">
        <v>201.1</v>
      </c>
      <c r="F71" s="297">
        <v>8491.5</v>
      </c>
      <c r="G71" s="297">
        <v>0</v>
      </c>
      <c r="H71" s="297">
        <f>F71+G71</f>
        <v>8491.5</v>
      </c>
      <c r="I71" s="297">
        <f>3103.84+5597.39+3052.57+41.11+6085.8</f>
        <v>17880.71</v>
      </c>
      <c r="J71" s="300">
        <v>840</v>
      </c>
      <c r="K71" s="300">
        <v>177.1</v>
      </c>
      <c r="L71" s="297">
        <f>106.38-15</f>
        <v>91.38</v>
      </c>
      <c r="M71" s="842">
        <v>0</v>
      </c>
      <c r="N71" s="293">
        <f>C71+D71+E71+H71+I71+J71+K71+L71</f>
        <v>33168.949999999997</v>
      </c>
      <c r="O71" s="842">
        <f>43.47+5+20+15</f>
        <v>83.47</v>
      </c>
      <c r="P71" s="840">
        <v>0</v>
      </c>
      <c r="Q71" s="841">
        <f>4573.44-5</f>
        <v>4568.4399999999996</v>
      </c>
      <c r="R71" s="516">
        <f>+Q71+O71+N71+P71</f>
        <v>37820.86</v>
      </c>
      <c r="T71" s="216">
        <v>52504.35</v>
      </c>
      <c r="U71" s="216">
        <f>+R71-T71</f>
        <v>-14683.489999999998</v>
      </c>
    </row>
    <row r="72" spans="1:21" x14ac:dyDescent="0.2">
      <c r="A72" s="291">
        <v>322</v>
      </c>
      <c r="B72" s="292" t="s">
        <v>336</v>
      </c>
      <c r="C72" s="848">
        <f t="shared" ref="C72:M72" si="39">C73</f>
        <v>0</v>
      </c>
      <c r="D72" s="901">
        <f t="shared" si="39"/>
        <v>0</v>
      </c>
      <c r="E72" s="902">
        <f t="shared" si="39"/>
        <v>0</v>
      </c>
      <c r="F72" s="902">
        <f t="shared" si="39"/>
        <v>0</v>
      </c>
      <c r="G72" s="902">
        <f t="shared" si="39"/>
        <v>0</v>
      </c>
      <c r="H72" s="902">
        <f t="shared" si="39"/>
        <v>0</v>
      </c>
      <c r="I72" s="902">
        <f t="shared" si="39"/>
        <v>0</v>
      </c>
      <c r="J72" s="902">
        <f t="shared" si="39"/>
        <v>0</v>
      </c>
      <c r="K72" s="902">
        <f t="shared" si="39"/>
        <v>0</v>
      </c>
      <c r="L72" s="902">
        <f>L73</f>
        <v>0</v>
      </c>
      <c r="M72" s="844">
        <f t="shared" si="39"/>
        <v>0</v>
      </c>
      <c r="N72" s="299">
        <f>+N73</f>
        <v>0</v>
      </c>
      <c r="O72" s="844">
        <f>O73</f>
        <v>243088.91</v>
      </c>
      <c r="P72" s="843">
        <f>P73</f>
        <v>0</v>
      </c>
      <c r="Q72" s="845">
        <f>Q73</f>
        <v>0</v>
      </c>
      <c r="R72" s="515">
        <f>N72+Q72+O72</f>
        <v>243088.91</v>
      </c>
      <c r="U72" s="216">
        <f>575.63+3293.4+10814.46</f>
        <v>14683.49</v>
      </c>
    </row>
    <row r="73" spans="1:21" ht="13.5" thickBot="1" x14ac:dyDescent="0.25">
      <c r="A73" s="303">
        <v>32201</v>
      </c>
      <c r="B73" s="304" t="s">
        <v>336</v>
      </c>
      <c r="C73" s="860">
        <v>0</v>
      </c>
      <c r="D73" s="908">
        <v>0</v>
      </c>
      <c r="E73" s="909">
        <v>0</v>
      </c>
      <c r="F73" s="851">
        <v>0</v>
      </c>
      <c r="G73" s="909">
        <v>0</v>
      </c>
      <c r="H73" s="851">
        <v>0</v>
      </c>
      <c r="I73" s="851">
        <v>0</v>
      </c>
      <c r="J73" s="910">
        <v>0</v>
      </c>
      <c r="K73" s="910"/>
      <c r="L73" s="909">
        <v>0</v>
      </c>
      <c r="M73" s="851">
        <v>0</v>
      </c>
      <c r="N73" s="293">
        <f>C73+D73+E73+J73+K73</f>
        <v>0</v>
      </c>
      <c r="O73" s="911">
        <f>ROUND(((245544.35)*99%),2)</f>
        <v>243088.91</v>
      </c>
      <c r="P73" s="852">
        <v>0</v>
      </c>
      <c r="Q73" s="710"/>
      <c r="R73" s="516">
        <f>+Q73+O73+N73+P73</f>
        <v>243088.91</v>
      </c>
    </row>
    <row r="74" spans="1:21" ht="13.5" thickBot="1" x14ac:dyDescent="0.25">
      <c r="A74" s="1363" t="s">
        <v>492</v>
      </c>
      <c r="B74" s="1364"/>
      <c r="C74" s="518">
        <f t="shared" ref="C74:K74" si="40">C8+C18+C35+C39+C53+C59+C62+C65+C68</f>
        <v>0</v>
      </c>
      <c r="D74" s="508">
        <f t="shared" si="40"/>
        <v>5487.16</v>
      </c>
      <c r="E74" s="508">
        <f t="shared" si="40"/>
        <v>201.1</v>
      </c>
      <c r="F74" s="671">
        <f t="shared" si="40"/>
        <v>8491.5</v>
      </c>
      <c r="G74" s="671">
        <f t="shared" si="40"/>
        <v>370929.54</v>
      </c>
      <c r="H74" s="508">
        <f>H8+H18+H35+H39+H53+H59+H62+H65+H68</f>
        <v>379421.04</v>
      </c>
      <c r="I74" s="508">
        <f>I8+I18+I35+I39+I53+I59+I62+I65+I68</f>
        <v>241293.72999999998</v>
      </c>
      <c r="J74" s="508">
        <f t="shared" si="40"/>
        <v>840</v>
      </c>
      <c r="K74" s="508">
        <f t="shared" si="40"/>
        <v>177.1</v>
      </c>
      <c r="L74" s="518">
        <f>L8+L18+L35+L39+L53+L59+L62+L65+L68</f>
        <v>91.38</v>
      </c>
      <c r="M74" s="508">
        <f>M8+M18+M35+M39+M53+M59+M62+M65+M68</f>
        <v>351604.92</v>
      </c>
      <c r="N74" s="508">
        <f>C74+D74+E74+H74+I74+J74+K74+L74+M74</f>
        <v>979116.42999999993</v>
      </c>
      <c r="O74" s="517">
        <f>O68+O39+O35+O18+O8</f>
        <v>541260.5199999999</v>
      </c>
      <c r="P74" s="518">
        <f>P8+P18+P35+P39+P53+P59+P62+P65+P68</f>
        <v>0</v>
      </c>
      <c r="Q74" s="508">
        <f>Q8+Q18+Q35+Q39+Q53+Q59+Q62+Q65+Q68</f>
        <v>47075.040000000023</v>
      </c>
      <c r="R74" s="517">
        <f>R8+R18+R35+R39+R53+R59+R62+R66+R68</f>
        <v>1567451.9900000002</v>
      </c>
      <c r="U74" s="216">
        <f>+U72+U71</f>
        <v>0</v>
      </c>
    </row>
    <row r="75" spans="1:21" ht="13.5" thickBot="1" x14ac:dyDescent="0.25">
      <c r="A75" s="1363" t="s">
        <v>337</v>
      </c>
      <c r="B75" s="1364"/>
      <c r="C75" s="861">
        <f>+C74</f>
        <v>0</v>
      </c>
      <c r="D75" s="305">
        <f>+D74</f>
        <v>5487.16</v>
      </c>
      <c r="E75" s="305">
        <f t="shared" ref="E75" si="41">+E74</f>
        <v>201.1</v>
      </c>
      <c r="F75" s="671">
        <f>+F74</f>
        <v>8491.5</v>
      </c>
      <c r="G75" s="671">
        <f>+G74</f>
        <v>370929.54</v>
      </c>
      <c r="H75" s="305">
        <f>+H74</f>
        <v>379421.04</v>
      </c>
      <c r="I75" s="305">
        <f>+I74</f>
        <v>241293.72999999998</v>
      </c>
      <c r="J75" s="305">
        <f t="shared" ref="J75:P75" si="42">+J74</f>
        <v>840</v>
      </c>
      <c r="K75" s="305">
        <f>+K74</f>
        <v>177.1</v>
      </c>
      <c r="L75" s="519">
        <f t="shared" ref="L75" si="43">+L74</f>
        <v>91.38</v>
      </c>
      <c r="M75" s="305">
        <f>+M74</f>
        <v>351604.92</v>
      </c>
      <c r="N75" s="306">
        <f>+N74</f>
        <v>979116.42999999993</v>
      </c>
      <c r="O75" s="517">
        <f>+O74</f>
        <v>541260.5199999999</v>
      </c>
      <c r="P75" s="519">
        <f t="shared" si="42"/>
        <v>0</v>
      </c>
      <c r="Q75" s="508">
        <f>+Q74</f>
        <v>47075.040000000023</v>
      </c>
      <c r="R75" s="517">
        <f>+R74</f>
        <v>1567451.9900000002</v>
      </c>
    </row>
    <row r="76" spans="1:21" x14ac:dyDescent="0.2">
      <c r="O76" s="672"/>
      <c r="R76" s="521"/>
    </row>
    <row r="77" spans="1:21" x14ac:dyDescent="0.2">
      <c r="O77" s="672"/>
      <c r="R77" s="521"/>
    </row>
    <row r="78" spans="1:21" x14ac:dyDescent="0.2">
      <c r="O78" s="672"/>
      <c r="R78" s="521"/>
    </row>
    <row r="79" spans="1:21" x14ac:dyDescent="0.2">
      <c r="O79" s="672"/>
      <c r="R79" s="521"/>
    </row>
    <row r="80" spans="1:21" x14ac:dyDescent="0.2">
      <c r="O80" s="672"/>
      <c r="R80" s="521"/>
    </row>
    <row r="81" spans="1:18" x14ac:dyDescent="0.2">
      <c r="F81" s="851">
        <f>+F75-106.5-310-21.67</f>
        <v>8053.33</v>
      </c>
      <c r="H81" s="867">
        <f>+D75+E75+H75+I75+J75+K75+L75+M75</f>
        <v>979116.42999999993</v>
      </c>
      <c r="M81" s="521"/>
      <c r="N81" s="867">
        <f>+H81-N75</f>
        <v>0</v>
      </c>
    </row>
    <row r="82" spans="1:18" x14ac:dyDescent="0.2">
      <c r="E82" s="867"/>
      <c r="M82" s="521"/>
    </row>
    <row r="83" spans="1:18" x14ac:dyDescent="0.2">
      <c r="O83" s="872"/>
    </row>
    <row r="84" spans="1:18" x14ac:dyDescent="0.2">
      <c r="E84" s="157" t="s">
        <v>864</v>
      </c>
      <c r="F84" s="7">
        <f>2709.54+716.42+310+1998+194+1109.25+5.98+767.19</f>
        <v>7810.3799999999992</v>
      </c>
    </row>
    <row r="90" spans="1:18" x14ac:dyDescent="0.2">
      <c r="A90" s="294">
        <v>16207</v>
      </c>
      <c r="B90" s="302" t="s">
        <v>692</v>
      </c>
      <c r="C90" s="296">
        <v>0</v>
      </c>
      <c r="D90" s="297">
        <v>0</v>
      </c>
      <c r="E90" s="297">
        <v>0</v>
      </c>
      <c r="F90" s="297">
        <v>0</v>
      </c>
      <c r="G90" s="297">
        <f>30910.8*11+30910.74</f>
        <v>370929.54</v>
      </c>
      <c r="H90" s="297">
        <f>F90+G90</f>
        <v>370929.54</v>
      </c>
      <c r="I90" s="297"/>
      <c r="J90" s="297">
        <v>0</v>
      </c>
      <c r="K90" s="297">
        <v>0</v>
      </c>
      <c r="L90" s="840"/>
      <c r="M90" s="840"/>
      <c r="N90" s="293">
        <f>J90+D90+E90+H90+C90+K90</f>
        <v>370929.54</v>
      </c>
      <c r="O90" s="842">
        <v>0</v>
      </c>
      <c r="P90" s="840"/>
      <c r="Q90" s="841">
        <v>0</v>
      </c>
      <c r="R90" s="516">
        <f>O90+N90</f>
        <v>370929.54</v>
      </c>
    </row>
    <row r="92" spans="1:18" x14ac:dyDescent="0.2">
      <c r="G92" s="218">
        <f>31988.29*11+31988.32</f>
        <v>383859.51</v>
      </c>
      <c r="H92" s="1215" t="s">
        <v>965</v>
      </c>
    </row>
    <row r="93" spans="1:18" x14ac:dyDescent="0.2">
      <c r="G93" s="46"/>
    </row>
    <row r="94" spans="1:18" x14ac:dyDescent="0.2">
      <c r="E94" s="157" t="s">
        <v>836</v>
      </c>
      <c r="G94" s="854">
        <f>G92-G90</f>
        <v>12929.97000000003</v>
      </c>
      <c r="O94" s="521"/>
    </row>
    <row r="95" spans="1:18" x14ac:dyDescent="0.2">
      <c r="G95" s="46"/>
    </row>
    <row r="99" spans="1:18" x14ac:dyDescent="0.2">
      <c r="A99" s="294">
        <v>32102</v>
      </c>
      <c r="B99" s="302" t="s">
        <v>517</v>
      </c>
      <c r="C99" s="850">
        <v>0</v>
      </c>
      <c r="D99" s="297"/>
      <c r="E99" s="297"/>
      <c r="F99" s="297">
        <f>681.12+1109.25</f>
        <v>1790.37</v>
      </c>
      <c r="G99" s="297">
        <v>10814.46</v>
      </c>
      <c r="H99" s="297">
        <f>F99+G99</f>
        <v>12604.829999999998</v>
      </c>
      <c r="I99" s="297">
        <f>3103.84+5597.39+3052.57+41+11+6085.8</f>
        <v>17891.599999999999</v>
      </c>
      <c r="J99" s="300"/>
      <c r="K99" s="300">
        <f>338.35</f>
        <v>338.35</v>
      </c>
      <c r="L99" s="840">
        <f>106.38-15</f>
        <v>91.38</v>
      </c>
      <c r="M99" s="840"/>
      <c r="N99" s="293">
        <f>C99+D99+E99+H99+J99+K99+L99</f>
        <v>13034.559999999998</v>
      </c>
      <c r="O99" s="842">
        <f>137.81</f>
        <v>137.81</v>
      </c>
      <c r="P99" s="840">
        <v>0</v>
      </c>
      <c r="Q99" s="841">
        <f>5301.67+1579.26-5-5</f>
        <v>6870.93</v>
      </c>
      <c r="R99" s="516">
        <f>+Q99+O99+N99+P99</f>
        <v>20043.3</v>
      </c>
    </row>
    <row r="103" spans="1:18" x14ac:dyDescent="0.2">
      <c r="D103" s="46" t="s">
        <v>289</v>
      </c>
    </row>
    <row r="104" spans="1:18" x14ac:dyDescent="0.2">
      <c r="D104" s="157"/>
    </row>
    <row r="105" spans="1:18" x14ac:dyDescent="0.2">
      <c r="D105" s="855" t="s">
        <v>287</v>
      </c>
      <c r="F105" s="157"/>
      <c r="G105" s="157"/>
    </row>
    <row r="106" spans="1:18" x14ac:dyDescent="0.2">
      <c r="C106" s="7">
        <v>15402</v>
      </c>
      <c r="D106" s="157" t="s">
        <v>838</v>
      </c>
      <c r="F106" s="526">
        <f>380.95*12</f>
        <v>4571.3999999999996</v>
      </c>
      <c r="G106" s="157"/>
    </row>
    <row r="107" spans="1:18" x14ac:dyDescent="0.2">
      <c r="C107" s="7">
        <v>12114</v>
      </c>
      <c r="D107" s="157" t="s">
        <v>840</v>
      </c>
      <c r="F107" s="526">
        <f>19.05*12</f>
        <v>228.60000000000002</v>
      </c>
      <c r="G107" s="157"/>
    </row>
    <row r="108" spans="1:18" x14ac:dyDescent="0.2">
      <c r="C108" s="7">
        <v>31202</v>
      </c>
      <c r="D108" s="157" t="s">
        <v>839</v>
      </c>
      <c r="F108" s="216">
        <f>575.63+3293.4</f>
        <v>3869.03</v>
      </c>
    </row>
    <row r="109" spans="1:18" x14ac:dyDescent="0.2">
      <c r="D109" s="46" t="s">
        <v>25</v>
      </c>
      <c r="F109" s="854">
        <f>SUM(F106:F108)</f>
        <v>8669.0300000000007</v>
      </c>
    </row>
    <row r="110" spans="1:18" x14ac:dyDescent="0.2">
      <c r="F110" s="179"/>
    </row>
    <row r="111" spans="1:18" x14ac:dyDescent="0.2">
      <c r="D111" s="855" t="s">
        <v>288</v>
      </c>
    </row>
  </sheetData>
  <mergeCells count="13">
    <mergeCell ref="R5:R7"/>
    <mergeCell ref="O5:O7"/>
    <mergeCell ref="N6:N7"/>
    <mergeCell ref="J6:J7"/>
    <mergeCell ref="P5:P7"/>
    <mergeCell ref="A74:B74"/>
    <mergeCell ref="A75:B75"/>
    <mergeCell ref="Q5:Q7"/>
    <mergeCell ref="A5:A7"/>
    <mergeCell ref="B5:B7"/>
    <mergeCell ref="K6:K7"/>
    <mergeCell ref="L6:L7"/>
    <mergeCell ref="M6:M7"/>
  </mergeCells>
  <phoneticPr fontId="9" type="noConversion"/>
  <printOptions horizontalCentered="1"/>
  <pageMargins left="0.11811023622047245" right="0.11811023622047245" top="0.59055118110236227" bottom="0.15748031496062992" header="0" footer="0"/>
  <pageSetup scale="65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0.39997558519241921"/>
  </sheetPr>
  <dimension ref="A2:T57"/>
  <sheetViews>
    <sheetView showGridLines="0" workbookViewId="0">
      <selection activeCell="H39" sqref="H39"/>
    </sheetView>
  </sheetViews>
  <sheetFormatPr baseColWidth="10" defaultColWidth="9.140625" defaultRowHeight="12.75" x14ac:dyDescent="0.2"/>
  <cols>
    <col min="1" max="1" width="5.42578125" style="28" customWidth="1"/>
    <col min="2" max="2" width="30.140625" style="28" customWidth="1"/>
    <col min="3" max="3" width="17.7109375" style="28" customWidth="1"/>
    <col min="4" max="4" width="9.5703125" style="28" customWidth="1"/>
    <col min="5" max="5" width="15.140625" style="28" customWidth="1"/>
    <col min="6" max="6" width="9.140625" style="28" customWidth="1"/>
    <col min="7" max="7" width="11.28515625" style="28" customWidth="1"/>
    <col min="8" max="8" width="12.42578125" style="28" customWidth="1"/>
    <col min="9" max="9" width="14.42578125" style="28" customWidth="1"/>
    <col min="10" max="10" width="15.42578125" style="28" customWidth="1"/>
    <col min="11" max="15" width="9.140625" style="28" hidden="1" customWidth="1"/>
    <col min="16" max="16" width="10" style="28" hidden="1" customWidth="1"/>
    <col min="17" max="17" width="9.140625" style="28" hidden="1" customWidth="1"/>
    <col min="18" max="18" width="9.140625" style="217" customWidth="1"/>
    <col min="19" max="19" width="10.42578125" style="28" customWidth="1"/>
    <col min="20" max="21" width="9.140625" style="28" customWidth="1"/>
    <col min="22" max="16384" width="9.140625" style="28"/>
  </cols>
  <sheetData>
    <row r="2" spans="1:20" ht="12.75" customHeight="1" x14ac:dyDescent="0.2">
      <c r="A2" s="1389" t="s">
        <v>790</v>
      </c>
      <c r="B2" s="1389"/>
      <c r="C2" s="1389"/>
      <c r="D2" s="1389"/>
      <c r="E2" s="1389"/>
      <c r="F2" s="1389"/>
      <c r="G2" s="1389"/>
      <c r="H2" s="1389"/>
      <c r="I2" s="1389"/>
      <c r="J2" s="1389"/>
      <c r="K2" s="1389"/>
      <c r="L2" s="7"/>
      <c r="M2" s="7"/>
      <c r="N2" s="7"/>
      <c r="O2" s="7"/>
      <c r="P2" s="7"/>
      <c r="Q2" s="7"/>
    </row>
    <row r="3" spans="1:20" ht="46.5" customHeight="1" thickBot="1" x14ac:dyDescent="0.25">
      <c r="A3" s="1390"/>
      <c r="B3" s="1390"/>
      <c r="C3" s="1390"/>
      <c r="D3" s="1390"/>
      <c r="E3" s="1390"/>
      <c r="F3" s="1390"/>
      <c r="G3" s="1390"/>
      <c r="H3" s="1390"/>
      <c r="I3" s="1390"/>
      <c r="J3" s="1390"/>
      <c r="K3" s="1390"/>
      <c r="L3" s="7"/>
      <c r="M3" s="7"/>
      <c r="N3" s="7"/>
      <c r="O3" s="7"/>
      <c r="P3" s="7"/>
      <c r="Q3" s="7"/>
    </row>
    <row r="4" spans="1:20" ht="27.75" customHeight="1" thickBot="1" x14ac:dyDescent="0.25">
      <c r="A4" s="1391" t="s">
        <v>373</v>
      </c>
      <c r="B4" s="1391" t="s">
        <v>519</v>
      </c>
      <c r="C4" s="1410" t="s">
        <v>520</v>
      </c>
      <c r="D4" s="1411" t="s">
        <v>375</v>
      </c>
      <c r="E4" s="1411" t="s">
        <v>338</v>
      </c>
      <c r="F4" s="1399" t="s">
        <v>339</v>
      </c>
      <c r="G4" s="1406" t="s">
        <v>340</v>
      </c>
      <c r="H4" s="1407"/>
      <c r="I4" s="207" t="s">
        <v>17</v>
      </c>
      <c r="J4" s="1403" t="s">
        <v>446</v>
      </c>
      <c r="K4" s="1402" t="s">
        <v>341</v>
      </c>
      <c r="L4" s="1391"/>
      <c r="M4" s="1391"/>
      <c r="N4" s="1391"/>
      <c r="O4" s="1391"/>
      <c r="P4" s="1391" t="s">
        <v>342</v>
      </c>
      <c r="Q4" s="1391" t="s">
        <v>343</v>
      </c>
    </row>
    <row r="5" spans="1:20" ht="23.25" customHeight="1" thickBot="1" x14ac:dyDescent="0.25">
      <c r="A5" s="1391"/>
      <c r="B5" s="1391"/>
      <c r="C5" s="1410"/>
      <c r="D5" s="1411"/>
      <c r="E5" s="1411"/>
      <c r="F5" s="1399"/>
      <c r="G5" s="1408" t="s">
        <v>380</v>
      </c>
      <c r="H5" s="1412" t="s">
        <v>16</v>
      </c>
      <c r="I5" s="1397" t="s">
        <v>344</v>
      </c>
      <c r="J5" s="1404"/>
      <c r="K5" s="31" t="s">
        <v>345</v>
      </c>
      <c r="L5" s="1391" t="s">
        <v>346</v>
      </c>
      <c r="M5" s="1391"/>
      <c r="N5" s="1391"/>
      <c r="O5" s="1391"/>
      <c r="P5" s="1391"/>
      <c r="Q5" s="1391"/>
    </row>
    <row r="6" spans="1:20" ht="15.75" customHeight="1" thickBot="1" x14ac:dyDescent="0.25">
      <c r="A6" s="1391"/>
      <c r="B6" s="1391"/>
      <c r="C6" s="1410"/>
      <c r="D6" s="1411"/>
      <c r="E6" s="1411"/>
      <c r="F6" s="1399"/>
      <c r="G6" s="1409"/>
      <c r="H6" s="1413"/>
      <c r="I6" s="1398"/>
      <c r="J6" s="1405"/>
      <c r="K6" s="31" t="s">
        <v>347</v>
      </c>
      <c r="L6" s="27" t="s">
        <v>348</v>
      </c>
      <c r="M6" s="27" t="s">
        <v>19</v>
      </c>
      <c r="N6" s="27" t="s">
        <v>349</v>
      </c>
      <c r="O6" s="27" t="s">
        <v>350</v>
      </c>
      <c r="P6" s="1391"/>
      <c r="Q6" s="1391"/>
    </row>
    <row r="7" spans="1:20" ht="31.5" customHeight="1" thickBot="1" x14ac:dyDescent="0.25">
      <c r="A7" s="208">
        <v>1</v>
      </c>
      <c r="B7" s="209" t="s">
        <v>539</v>
      </c>
      <c r="C7" s="183"/>
      <c r="D7" s="307">
        <v>1</v>
      </c>
      <c r="E7" s="308" t="s">
        <v>340</v>
      </c>
      <c r="F7" s="309" t="s">
        <v>20</v>
      </c>
      <c r="G7" s="464">
        <v>1000</v>
      </c>
      <c r="H7" s="310">
        <f>G7*12</f>
        <v>12000</v>
      </c>
      <c r="I7" s="210">
        <v>0</v>
      </c>
      <c r="J7" s="211">
        <f>+I7+H7</f>
        <v>12000</v>
      </c>
      <c r="K7" s="35">
        <v>0</v>
      </c>
      <c r="L7" s="34"/>
      <c r="M7" s="34">
        <v>0</v>
      </c>
      <c r="N7" s="34"/>
      <c r="O7" s="34">
        <v>0</v>
      </c>
      <c r="P7" s="34">
        <v>0</v>
      </c>
      <c r="Q7" s="34"/>
      <c r="S7" s="29"/>
      <c r="T7" s="36"/>
    </row>
    <row r="8" spans="1:20" ht="31.5" hidden="1" customHeight="1" thickBot="1" x14ac:dyDescent="0.25">
      <c r="A8" s="212">
        <v>2</v>
      </c>
      <c r="B8" s="178"/>
      <c r="C8" s="213"/>
      <c r="D8" s="311">
        <v>1</v>
      </c>
      <c r="E8" s="312" t="s">
        <v>340</v>
      </c>
      <c r="F8" s="499" t="s">
        <v>20</v>
      </c>
      <c r="G8" s="313"/>
      <c r="H8" s="314">
        <f>G8*12</f>
        <v>0</v>
      </c>
      <c r="I8" s="214">
        <v>0</v>
      </c>
      <c r="J8" s="215">
        <f>+I8+H8</f>
        <v>0</v>
      </c>
      <c r="K8" s="35">
        <v>0</v>
      </c>
      <c r="L8" s="34"/>
      <c r="M8" s="34">
        <v>0</v>
      </c>
      <c r="N8" s="34"/>
      <c r="O8" s="34">
        <v>0</v>
      </c>
      <c r="P8" s="34">
        <v>0</v>
      </c>
      <c r="Q8" s="34"/>
      <c r="S8" s="29"/>
      <c r="T8" s="36"/>
    </row>
    <row r="9" spans="1:20" ht="14.25" customHeight="1" thickBot="1" x14ac:dyDescent="0.25">
      <c r="A9" s="1393" t="s">
        <v>372</v>
      </c>
      <c r="B9" s="1394"/>
      <c r="C9" s="1394"/>
      <c r="D9" s="1394"/>
      <c r="E9" s="1394"/>
      <c r="F9" s="1394"/>
      <c r="G9" s="500">
        <f>SUM(G7:G8)</f>
        <v>1000</v>
      </c>
      <c r="H9" s="505">
        <f>SUM(H7:H8)</f>
        <v>12000</v>
      </c>
      <c r="I9" s="184">
        <f>I7</f>
        <v>0</v>
      </c>
      <c r="J9" s="188">
        <f>SUM(J7:J8)</f>
        <v>12000</v>
      </c>
      <c r="K9" s="40" t="e">
        <f>SUM(#REF!)</f>
        <v>#REF!</v>
      </c>
      <c r="L9" s="39" t="e">
        <f>SUM(#REF!)</f>
        <v>#REF!</v>
      </c>
      <c r="M9" s="39" t="e">
        <f>SUM(#REF!)</f>
        <v>#REF!</v>
      </c>
      <c r="N9" s="39" t="e">
        <f>SUM(#REF!)</f>
        <v>#REF!</v>
      </c>
      <c r="O9" s="39" t="e">
        <f>SUM(#REF!)</f>
        <v>#REF!</v>
      </c>
      <c r="P9" s="39" t="e">
        <f>SUM(#REF!)</f>
        <v>#REF!</v>
      </c>
      <c r="Q9" s="39" t="e">
        <f>SUM(#REF!)</f>
        <v>#REF!</v>
      </c>
    </row>
    <row r="10" spans="1:20" ht="13.5" hidden="1" thickBot="1" x14ac:dyDescent="0.25">
      <c r="A10" s="41"/>
      <c r="B10" s="41"/>
      <c r="C10" s="33" t="s">
        <v>353</v>
      </c>
      <c r="D10" s="33"/>
      <c r="E10" s="33" t="s">
        <v>26</v>
      </c>
      <c r="F10" s="315" t="s">
        <v>21</v>
      </c>
      <c r="G10" s="501"/>
      <c r="H10" s="316">
        <f t="shared" ref="H10:H17" si="0">G10*12</f>
        <v>0</v>
      </c>
      <c r="I10" s="185"/>
      <c r="J10" s="189"/>
      <c r="K10" s="37">
        <v>0</v>
      </c>
      <c r="L10" s="38"/>
      <c r="M10" s="38">
        <v>0</v>
      </c>
      <c r="N10" s="38"/>
      <c r="O10" s="38">
        <f t="shared" ref="O10:O17" si="1">SUM(L10:N10)</f>
        <v>0</v>
      </c>
      <c r="P10" s="38">
        <f t="shared" ref="P10:P17" si="2">H10*0.01</f>
        <v>0</v>
      </c>
      <c r="Q10" s="38"/>
    </row>
    <row r="11" spans="1:20" ht="13.5" hidden="1" thickBot="1" x14ac:dyDescent="0.25">
      <c r="A11" s="41"/>
      <c r="B11" s="41"/>
      <c r="C11" s="33" t="s">
        <v>354</v>
      </c>
      <c r="D11" s="33"/>
      <c r="E11" s="33" t="s">
        <v>26</v>
      </c>
      <c r="F11" s="315" t="s">
        <v>21</v>
      </c>
      <c r="G11" s="501"/>
      <c r="H11" s="316">
        <f t="shared" si="0"/>
        <v>0</v>
      </c>
      <c r="I11" s="185"/>
      <c r="J11" s="189"/>
      <c r="K11" s="37">
        <v>0</v>
      </c>
      <c r="L11" s="38"/>
      <c r="M11" s="38">
        <v>0</v>
      </c>
      <c r="N11" s="38"/>
      <c r="O11" s="38">
        <f t="shared" si="1"/>
        <v>0</v>
      </c>
      <c r="P11" s="38">
        <f t="shared" si="2"/>
        <v>0</v>
      </c>
      <c r="Q11" s="38"/>
    </row>
    <row r="12" spans="1:20" ht="13.5" hidden="1" thickBot="1" x14ac:dyDescent="0.25">
      <c r="A12" s="41"/>
      <c r="B12" s="41"/>
      <c r="C12" s="33" t="s">
        <v>355</v>
      </c>
      <c r="D12" s="33"/>
      <c r="E12" s="33" t="s">
        <v>26</v>
      </c>
      <c r="F12" s="315" t="s">
        <v>21</v>
      </c>
      <c r="G12" s="501"/>
      <c r="H12" s="316">
        <f t="shared" si="0"/>
        <v>0</v>
      </c>
      <c r="I12" s="185"/>
      <c r="J12" s="189"/>
      <c r="K12" s="37">
        <v>0</v>
      </c>
      <c r="L12" s="38"/>
      <c r="M12" s="38">
        <v>0</v>
      </c>
      <c r="N12" s="38"/>
      <c r="O12" s="38">
        <f t="shared" si="1"/>
        <v>0</v>
      </c>
      <c r="P12" s="38">
        <f t="shared" si="2"/>
        <v>0</v>
      </c>
      <c r="Q12" s="38"/>
    </row>
    <row r="13" spans="1:20" ht="13.5" hidden="1" thickBot="1" x14ac:dyDescent="0.25">
      <c r="A13" s="41"/>
      <c r="B13" s="41"/>
      <c r="C13" s="33" t="s">
        <v>356</v>
      </c>
      <c r="D13" s="33"/>
      <c r="E13" s="33" t="s">
        <v>26</v>
      </c>
      <c r="F13" s="315" t="s">
        <v>21</v>
      </c>
      <c r="G13" s="501"/>
      <c r="H13" s="316">
        <f t="shared" si="0"/>
        <v>0</v>
      </c>
      <c r="I13" s="185"/>
      <c r="J13" s="189"/>
      <c r="K13" s="37">
        <v>0</v>
      </c>
      <c r="L13" s="38"/>
      <c r="M13" s="38">
        <v>0</v>
      </c>
      <c r="N13" s="38"/>
      <c r="O13" s="38">
        <f t="shared" si="1"/>
        <v>0</v>
      </c>
      <c r="P13" s="38">
        <f t="shared" si="2"/>
        <v>0</v>
      </c>
      <c r="Q13" s="38"/>
    </row>
    <row r="14" spans="1:20" ht="13.5" hidden="1" thickBot="1" x14ac:dyDescent="0.25">
      <c r="A14" s="41"/>
      <c r="B14" s="41"/>
      <c r="C14" s="33" t="s">
        <v>357</v>
      </c>
      <c r="D14" s="33"/>
      <c r="E14" s="33" t="s">
        <v>26</v>
      </c>
      <c r="F14" s="315" t="s">
        <v>21</v>
      </c>
      <c r="G14" s="501"/>
      <c r="H14" s="316">
        <f t="shared" si="0"/>
        <v>0</v>
      </c>
      <c r="I14" s="185"/>
      <c r="J14" s="189"/>
      <c r="K14" s="37">
        <v>0</v>
      </c>
      <c r="L14" s="38"/>
      <c r="M14" s="38">
        <v>0</v>
      </c>
      <c r="N14" s="38"/>
      <c r="O14" s="38">
        <f t="shared" si="1"/>
        <v>0</v>
      </c>
      <c r="P14" s="38">
        <f t="shared" si="2"/>
        <v>0</v>
      </c>
      <c r="Q14" s="38"/>
    </row>
    <row r="15" spans="1:20" ht="19.5" hidden="1" customHeight="1" x14ac:dyDescent="0.2">
      <c r="A15" s="41"/>
      <c r="B15" s="41"/>
      <c r="C15" s="33" t="s">
        <v>358</v>
      </c>
      <c r="D15" s="33"/>
      <c r="E15" s="33" t="s">
        <v>26</v>
      </c>
      <c r="F15" s="315" t="s">
        <v>21</v>
      </c>
      <c r="G15" s="501"/>
      <c r="H15" s="316">
        <f t="shared" si="0"/>
        <v>0</v>
      </c>
      <c r="I15" s="185"/>
      <c r="J15" s="189"/>
      <c r="K15" s="37">
        <v>0</v>
      </c>
      <c r="L15" s="38"/>
      <c r="M15" s="38">
        <v>0</v>
      </c>
      <c r="N15" s="38"/>
      <c r="O15" s="38">
        <f t="shared" si="1"/>
        <v>0</v>
      </c>
      <c r="P15" s="38">
        <f t="shared" si="2"/>
        <v>0</v>
      </c>
      <c r="Q15" s="38"/>
    </row>
    <row r="16" spans="1:20" ht="13.5" hidden="1" thickBot="1" x14ac:dyDescent="0.25">
      <c r="A16" s="41"/>
      <c r="B16" s="41"/>
      <c r="C16" s="33" t="s">
        <v>360</v>
      </c>
      <c r="D16" s="33"/>
      <c r="E16" s="33" t="s">
        <v>26</v>
      </c>
      <c r="F16" s="315" t="s">
        <v>21</v>
      </c>
      <c r="G16" s="501"/>
      <c r="H16" s="316">
        <f t="shared" si="0"/>
        <v>0</v>
      </c>
      <c r="I16" s="185"/>
      <c r="J16" s="189"/>
      <c r="K16" s="37">
        <v>0</v>
      </c>
      <c r="L16" s="38"/>
      <c r="M16" s="38">
        <v>0</v>
      </c>
      <c r="N16" s="38"/>
      <c r="O16" s="38">
        <f t="shared" si="1"/>
        <v>0</v>
      </c>
      <c r="P16" s="38">
        <f t="shared" si="2"/>
        <v>0</v>
      </c>
      <c r="Q16" s="38"/>
    </row>
    <row r="17" spans="1:17" ht="13.5" hidden="1" thickBot="1" x14ac:dyDescent="0.25">
      <c r="A17" s="41"/>
      <c r="B17" s="41"/>
      <c r="C17" s="33" t="s">
        <v>362</v>
      </c>
      <c r="D17" s="33"/>
      <c r="E17" s="33" t="s">
        <v>26</v>
      </c>
      <c r="F17" s="315" t="s">
        <v>21</v>
      </c>
      <c r="G17" s="501"/>
      <c r="H17" s="316">
        <f t="shared" si="0"/>
        <v>0</v>
      </c>
      <c r="I17" s="185"/>
      <c r="J17" s="189"/>
      <c r="K17" s="37">
        <v>0</v>
      </c>
      <c r="L17" s="38"/>
      <c r="M17" s="38">
        <v>0</v>
      </c>
      <c r="N17" s="38"/>
      <c r="O17" s="38">
        <f t="shared" si="1"/>
        <v>0</v>
      </c>
      <c r="P17" s="38">
        <f t="shared" si="2"/>
        <v>0</v>
      </c>
      <c r="Q17" s="38"/>
    </row>
    <row r="18" spans="1:17" ht="13.5" hidden="1" thickBot="1" x14ac:dyDescent="0.25">
      <c r="A18" s="1395" t="s">
        <v>363</v>
      </c>
      <c r="B18" s="1396"/>
      <c r="C18" s="1396"/>
      <c r="D18" s="1396"/>
      <c r="E18" s="1396"/>
      <c r="F18" s="1396"/>
      <c r="G18" s="502">
        <f t="shared" ref="G18:Q18" si="3">SUM(G10:G17)</f>
        <v>0</v>
      </c>
      <c r="H18" s="317">
        <f t="shared" si="3"/>
        <v>0</v>
      </c>
      <c r="I18" s="186">
        <f t="shared" si="3"/>
        <v>0</v>
      </c>
      <c r="J18" s="190">
        <f t="shared" si="3"/>
        <v>0</v>
      </c>
      <c r="K18" s="40">
        <f t="shared" si="3"/>
        <v>0</v>
      </c>
      <c r="L18" s="39">
        <f t="shared" si="3"/>
        <v>0</v>
      </c>
      <c r="M18" s="39">
        <f t="shared" si="3"/>
        <v>0</v>
      </c>
      <c r="N18" s="39">
        <f t="shared" si="3"/>
        <v>0</v>
      </c>
      <c r="O18" s="39">
        <f t="shared" si="3"/>
        <v>0</v>
      </c>
      <c r="P18" s="39">
        <f t="shared" si="3"/>
        <v>0</v>
      </c>
      <c r="Q18" s="39">
        <f t="shared" si="3"/>
        <v>0</v>
      </c>
    </row>
    <row r="19" spans="1:17" ht="26.25" hidden="1" thickBot="1" x14ac:dyDescent="0.25">
      <c r="A19" s="41"/>
      <c r="B19" s="41"/>
      <c r="C19" s="33" t="s">
        <v>364</v>
      </c>
      <c r="D19" s="33"/>
      <c r="E19" s="33" t="s">
        <v>26</v>
      </c>
      <c r="F19" s="315" t="s">
        <v>24</v>
      </c>
      <c r="G19" s="501"/>
      <c r="H19" s="316">
        <f>G19*12</f>
        <v>0</v>
      </c>
      <c r="I19" s="185"/>
      <c r="J19" s="189"/>
      <c r="K19" s="37">
        <v>0</v>
      </c>
      <c r="L19" s="38"/>
      <c r="M19" s="38">
        <v>0</v>
      </c>
      <c r="N19" s="38"/>
      <c r="O19" s="38">
        <f>SUM(L19:N19)</f>
        <v>0</v>
      </c>
      <c r="P19" s="38">
        <f>H19*0.01</f>
        <v>0</v>
      </c>
      <c r="Q19" s="38"/>
    </row>
    <row r="20" spans="1:17" ht="13.5" hidden="1" thickBot="1" x14ac:dyDescent="0.25">
      <c r="A20" s="1395" t="s">
        <v>365</v>
      </c>
      <c r="B20" s="1396"/>
      <c r="C20" s="1396"/>
      <c r="D20" s="1396"/>
      <c r="E20" s="1396"/>
      <c r="F20" s="1396"/>
      <c r="G20" s="502">
        <f>SUM(G19)</f>
        <v>0</v>
      </c>
      <c r="H20" s="39">
        <f>SUM(H19)</f>
        <v>0</v>
      </c>
      <c r="I20" s="186">
        <f>SUM(I19)</f>
        <v>0</v>
      </c>
      <c r="J20" s="190">
        <f>SUM(J19)</f>
        <v>0</v>
      </c>
      <c r="K20" s="40">
        <f t="shared" ref="K20:Q20" si="4">SUM(K19)</f>
        <v>0</v>
      </c>
      <c r="L20" s="39">
        <f t="shared" si="4"/>
        <v>0</v>
      </c>
      <c r="M20" s="39">
        <f t="shared" si="4"/>
        <v>0</v>
      </c>
      <c r="N20" s="39">
        <f t="shared" si="4"/>
        <v>0</v>
      </c>
      <c r="O20" s="39">
        <f t="shared" si="4"/>
        <v>0</v>
      </c>
      <c r="P20" s="39">
        <f t="shared" si="4"/>
        <v>0</v>
      </c>
      <c r="Q20" s="39">
        <f t="shared" si="4"/>
        <v>0</v>
      </c>
    </row>
    <row r="21" spans="1:17" ht="26.25" hidden="1" thickBot="1" x14ac:dyDescent="0.25">
      <c r="A21" s="41"/>
      <c r="B21" s="41"/>
      <c r="C21" s="33" t="s">
        <v>366</v>
      </c>
      <c r="D21" s="33"/>
      <c r="E21" s="33" t="s">
        <v>26</v>
      </c>
      <c r="F21" s="315" t="s">
        <v>244</v>
      </c>
      <c r="G21" s="501"/>
      <c r="H21" s="316">
        <f>G21*12</f>
        <v>0</v>
      </c>
      <c r="I21" s="185"/>
      <c r="J21" s="189"/>
      <c r="K21" s="37">
        <v>0</v>
      </c>
      <c r="L21" s="38"/>
      <c r="M21" s="38">
        <v>0</v>
      </c>
      <c r="N21" s="38"/>
      <c r="O21" s="38">
        <f>SUM(L21:N21)</f>
        <v>0</v>
      </c>
      <c r="P21" s="38">
        <f>H21*0.01</f>
        <v>0</v>
      </c>
      <c r="Q21" s="38"/>
    </row>
    <row r="22" spans="1:17" ht="13.5" hidden="1" thickBot="1" x14ac:dyDescent="0.25">
      <c r="A22" s="41"/>
      <c r="B22" s="41"/>
      <c r="C22" s="33" t="s">
        <v>23</v>
      </c>
      <c r="D22" s="33"/>
      <c r="E22" s="33" t="s">
        <v>26</v>
      </c>
      <c r="F22" s="315" t="s">
        <v>244</v>
      </c>
      <c r="G22" s="501"/>
      <c r="H22" s="316">
        <f>G22*12</f>
        <v>0</v>
      </c>
      <c r="I22" s="185"/>
      <c r="J22" s="189"/>
      <c r="K22" s="37">
        <v>0</v>
      </c>
      <c r="L22" s="38"/>
      <c r="M22" s="38">
        <v>0</v>
      </c>
      <c r="N22" s="38"/>
      <c r="O22" s="38">
        <f>SUM(L22:N22)</f>
        <v>0</v>
      </c>
      <c r="P22" s="38">
        <f>H22*0.01</f>
        <v>0</v>
      </c>
      <c r="Q22" s="38"/>
    </row>
    <row r="23" spans="1:17" ht="13.5" hidden="1" thickBot="1" x14ac:dyDescent="0.25">
      <c r="A23" s="41"/>
      <c r="B23" s="41"/>
      <c r="C23" s="33" t="s">
        <v>367</v>
      </c>
      <c r="D23" s="33"/>
      <c r="E23" s="33" t="s">
        <v>26</v>
      </c>
      <c r="F23" s="315" t="s">
        <v>244</v>
      </c>
      <c r="G23" s="501"/>
      <c r="H23" s="316">
        <f>G23*12</f>
        <v>0</v>
      </c>
      <c r="I23" s="185"/>
      <c r="J23" s="189"/>
      <c r="K23" s="37">
        <v>0</v>
      </c>
      <c r="L23" s="38"/>
      <c r="M23" s="38">
        <v>0</v>
      </c>
      <c r="N23" s="38"/>
      <c r="O23" s="38">
        <f>SUM(L23:N23)</f>
        <v>0</v>
      </c>
      <c r="P23" s="38">
        <f>H23*0.01</f>
        <v>0</v>
      </c>
      <c r="Q23" s="38"/>
    </row>
    <row r="24" spans="1:17" ht="13.5" hidden="1" thickBot="1" x14ac:dyDescent="0.25">
      <c r="A24" s="41"/>
      <c r="B24" s="41"/>
      <c r="C24" s="33" t="s">
        <v>368</v>
      </c>
      <c r="D24" s="33"/>
      <c r="E24" s="33" t="s">
        <v>26</v>
      </c>
      <c r="F24" s="315" t="s">
        <v>244</v>
      </c>
      <c r="G24" s="501"/>
      <c r="H24" s="316">
        <f>G24*12</f>
        <v>0</v>
      </c>
      <c r="I24" s="185"/>
      <c r="J24" s="189"/>
      <c r="K24" s="37">
        <v>0</v>
      </c>
      <c r="L24" s="38"/>
      <c r="M24" s="38">
        <v>0</v>
      </c>
      <c r="N24" s="38"/>
      <c r="O24" s="38">
        <f>SUM(L24:N24)</f>
        <v>0</v>
      </c>
      <c r="P24" s="38">
        <f>H24*0.01</f>
        <v>0</v>
      </c>
      <c r="Q24" s="38"/>
    </row>
    <row r="25" spans="1:17" ht="15" hidden="1" customHeight="1" thickBot="1" x14ac:dyDescent="0.25">
      <c r="A25" s="1400" t="s">
        <v>352</v>
      </c>
      <c r="B25" s="1401"/>
      <c r="C25" s="1401"/>
      <c r="D25" s="1401"/>
      <c r="E25" s="1401"/>
      <c r="F25" s="1401"/>
      <c r="G25" s="503">
        <f>SUM(G24)</f>
        <v>0</v>
      </c>
      <c r="H25" s="318">
        <f>SUM(H24)</f>
        <v>0</v>
      </c>
      <c r="I25" s="187">
        <f>SUM(I24)</f>
        <v>0</v>
      </c>
      <c r="J25" s="191">
        <f>SUM(J24)</f>
        <v>0</v>
      </c>
      <c r="K25" s="43">
        <f t="shared" ref="K25:Q25" si="5">SUM(K21:K24)</f>
        <v>0</v>
      </c>
      <c r="L25" s="42">
        <f t="shared" si="5"/>
        <v>0</v>
      </c>
      <c r="M25" s="42">
        <f t="shared" si="5"/>
        <v>0</v>
      </c>
      <c r="N25" s="42">
        <f t="shared" si="5"/>
        <v>0</v>
      </c>
      <c r="O25" s="42">
        <f t="shared" si="5"/>
        <v>0</v>
      </c>
      <c r="P25" s="42">
        <f t="shared" si="5"/>
        <v>0</v>
      </c>
      <c r="Q25" s="42">
        <f t="shared" si="5"/>
        <v>0</v>
      </c>
    </row>
    <row r="26" spans="1:17" ht="13.5" thickBot="1" x14ac:dyDescent="0.25">
      <c r="A26" s="1391" t="s">
        <v>369</v>
      </c>
      <c r="B26" s="1391"/>
      <c r="C26" s="1391"/>
      <c r="D26" s="1391"/>
      <c r="E26" s="1391"/>
      <c r="F26" s="1392"/>
      <c r="G26" s="504">
        <f>G9+G18+G20+G25</f>
        <v>1000</v>
      </c>
      <c r="H26" s="506">
        <f t="shared" ref="H26:I26" si="6">H9+H18+H20+H25</f>
        <v>12000</v>
      </c>
      <c r="I26" s="182">
        <f t="shared" si="6"/>
        <v>0</v>
      </c>
      <c r="J26" s="44">
        <f>J9+J18+J20+J25</f>
        <v>12000</v>
      </c>
      <c r="K26" s="45" t="e">
        <f t="shared" ref="K26:Q26" si="7">K25+K20+K18+K9</f>
        <v>#REF!</v>
      </c>
      <c r="L26" s="44" t="e">
        <f t="shared" si="7"/>
        <v>#REF!</v>
      </c>
      <c r="M26" s="44" t="e">
        <f t="shared" si="7"/>
        <v>#REF!</v>
      </c>
      <c r="N26" s="44" t="e">
        <f t="shared" si="7"/>
        <v>#REF!</v>
      </c>
      <c r="O26" s="44" t="e">
        <f t="shared" si="7"/>
        <v>#REF!</v>
      </c>
      <c r="P26" s="44" t="e">
        <f t="shared" si="7"/>
        <v>#REF!</v>
      </c>
      <c r="Q26" s="44" t="e">
        <f t="shared" si="7"/>
        <v>#REF!</v>
      </c>
    </row>
    <row r="41" spans="1:18" ht="15.75" x14ac:dyDescent="0.25">
      <c r="A41" s="138"/>
      <c r="B41" s="138"/>
      <c r="G41" s="620"/>
    </row>
    <row r="43" spans="1:18" x14ac:dyDescent="0.2">
      <c r="K43" s="29"/>
      <c r="L43" s="29"/>
      <c r="M43" s="29"/>
      <c r="N43" s="29"/>
      <c r="O43" s="29"/>
      <c r="P43" s="29"/>
      <c r="Q43" s="29"/>
    </row>
    <row r="44" spans="1:18" x14ac:dyDescent="0.2">
      <c r="R44" s="28"/>
    </row>
    <row r="45" spans="1:18" x14ac:dyDescent="0.2">
      <c r="R45" s="28"/>
    </row>
    <row r="46" spans="1:18" x14ac:dyDescent="0.2">
      <c r="R46" s="28"/>
    </row>
    <row r="47" spans="1:18" x14ac:dyDescent="0.2">
      <c r="R47" s="28"/>
    </row>
    <row r="48" spans="1:18" x14ac:dyDescent="0.2">
      <c r="R48" s="28"/>
    </row>
    <row r="49" spans="5:16" x14ac:dyDescent="0.2">
      <c r="J49" s="217"/>
    </row>
    <row r="50" spans="5:16" x14ac:dyDescent="0.2">
      <c r="J50" s="217"/>
    </row>
    <row r="53" spans="5:16" x14ac:dyDescent="0.2">
      <c r="E53" s="28" t="s">
        <v>563</v>
      </c>
      <c r="F53" s="217">
        <f>1000*12</f>
        <v>12000</v>
      </c>
      <c r="N53" s="217"/>
    </row>
    <row r="54" spans="5:16" x14ac:dyDescent="0.2">
      <c r="E54" s="28" t="s">
        <v>340</v>
      </c>
      <c r="F54" s="217">
        <f>+J26+'PLLA MUNICIPAL LEY SAL'!X73+'PLLA DIETAS'!Q20</f>
        <v>498173.50599999994</v>
      </c>
      <c r="N54" s="217"/>
    </row>
    <row r="55" spans="5:16" x14ac:dyDescent="0.2">
      <c r="E55" s="28" t="s">
        <v>343</v>
      </c>
      <c r="F55" s="217">
        <f>'PLLA DIETAS'!Q20</f>
        <v>97041</v>
      </c>
      <c r="N55" s="217"/>
    </row>
    <row r="56" spans="5:16" x14ac:dyDescent="0.2">
      <c r="E56" s="28" t="s">
        <v>564</v>
      </c>
      <c r="F56" s="217">
        <f>'PLLA MUNICIPAL LEY SAL'!X73</f>
        <v>389132.50599999994</v>
      </c>
      <c r="N56" s="217"/>
      <c r="O56" s="28">
        <v>375242.18</v>
      </c>
      <c r="P56" s="36">
        <f>+F56-O56</f>
        <v>13890.325999999943</v>
      </c>
    </row>
    <row r="57" spans="5:16" x14ac:dyDescent="0.2">
      <c r="E57" s="28" t="s">
        <v>798</v>
      </c>
      <c r="F57" s="217"/>
      <c r="N57" s="217"/>
    </row>
  </sheetData>
  <mergeCells count="21">
    <mergeCell ref="G5:G6"/>
    <mergeCell ref="C4:C6"/>
    <mergeCell ref="D4:D6"/>
    <mergeCell ref="E4:E6"/>
    <mergeCell ref="H5:H6"/>
    <mergeCell ref="A2:K3"/>
    <mergeCell ref="A26:F26"/>
    <mergeCell ref="Q4:Q6"/>
    <mergeCell ref="A9:F9"/>
    <mergeCell ref="A18:F18"/>
    <mergeCell ref="A20:F20"/>
    <mergeCell ref="I5:I6"/>
    <mergeCell ref="F4:F6"/>
    <mergeCell ref="A4:A6"/>
    <mergeCell ref="A25:F25"/>
    <mergeCell ref="P4:P6"/>
    <mergeCell ref="L5:O5"/>
    <mergeCell ref="K4:O4"/>
    <mergeCell ref="B4:B6"/>
    <mergeCell ref="J4:J6"/>
    <mergeCell ref="G4:H4"/>
  </mergeCells>
  <phoneticPr fontId="0" type="noConversion"/>
  <printOptions horizontalCentered="1"/>
  <pageMargins left="0.15748031496062992" right="0.19685039370078741" top="1.4960629921259843" bottom="0.98425196850393704" header="1.5748031496062993" footer="0"/>
  <pageSetup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8" tint="0.59999389629810485"/>
  </sheetPr>
  <dimension ref="A1:BE103"/>
  <sheetViews>
    <sheetView showGridLines="0" topLeftCell="AD43" zoomScale="89" zoomScaleNormal="89" workbookViewId="0">
      <selection activeCell="AV73" sqref="AV73"/>
    </sheetView>
  </sheetViews>
  <sheetFormatPr baseColWidth="10" defaultRowHeight="12.75" x14ac:dyDescent="0.2"/>
  <cols>
    <col min="1" max="1" width="3.28515625" customWidth="1"/>
    <col min="2" max="2" width="27.42578125" customWidth="1"/>
    <col min="3" max="3" width="28.28515625" hidden="1" customWidth="1"/>
    <col min="4" max="4" width="13.85546875" customWidth="1"/>
    <col min="5" max="5" width="6" customWidth="1"/>
    <col min="6" max="6" width="7.42578125" style="26" customWidth="1"/>
    <col min="7" max="7" width="7.28515625" style="26" customWidth="1"/>
    <col min="8" max="8" width="10.28515625" style="26" customWidth="1"/>
    <col min="9" max="9" width="10.7109375" style="26" customWidth="1"/>
    <col min="10" max="10" width="11.7109375" customWidth="1"/>
    <col min="11" max="11" width="9.7109375" style="157" hidden="1" customWidth="1"/>
    <col min="12" max="12" width="10.28515625" customWidth="1"/>
    <col min="13" max="13" width="10.85546875" customWidth="1"/>
    <col min="14" max="14" width="11.85546875" customWidth="1"/>
    <col min="15" max="15" width="8.28515625" customWidth="1"/>
    <col min="16" max="16" width="10.85546875" customWidth="1"/>
    <col min="17" max="17" width="11" style="174" customWidth="1"/>
    <col min="18" max="18" width="10.85546875" customWidth="1"/>
    <col min="19" max="19" width="11.85546875" customWidth="1"/>
    <col min="20" max="20" width="8.28515625" customWidth="1"/>
    <col min="21" max="21" width="10.85546875" customWidth="1"/>
    <col min="22" max="22" width="11" style="174" customWidth="1"/>
    <col min="23" max="23" width="10.85546875" customWidth="1"/>
    <col min="24" max="24" width="11.85546875" customWidth="1"/>
    <col min="25" max="25" width="3.7109375" customWidth="1"/>
    <col min="26" max="28" width="6.5703125" customWidth="1"/>
    <col min="29" max="29" width="11" customWidth="1"/>
    <col min="30" max="31" width="11.85546875" customWidth="1"/>
    <col min="32" max="32" width="11.42578125" style="246" customWidth="1"/>
    <col min="33" max="34" width="11.42578125" customWidth="1"/>
    <col min="35" max="35" width="8" style="228" customWidth="1"/>
    <col min="36" max="38" width="12.7109375" customWidth="1"/>
    <col min="39" max="41" width="11.42578125" customWidth="1"/>
    <col min="42" max="42" width="12.28515625" customWidth="1"/>
    <col min="43" max="43" width="13.7109375" style="157" customWidth="1"/>
    <col min="44" max="44" width="14.28515625" customWidth="1"/>
    <col min="45" max="45" width="8" style="228" customWidth="1"/>
    <col min="46" max="48" width="12.28515625" customWidth="1"/>
    <col min="49" max="51" width="11.42578125" customWidth="1"/>
    <col min="52" max="52" width="12.28515625" customWidth="1"/>
    <col min="53" max="53" width="14" style="157" customWidth="1"/>
    <col min="54" max="54" width="12.28515625" customWidth="1"/>
    <col min="55" max="55" width="13.7109375" style="157" customWidth="1"/>
    <col min="56" max="56" width="11.42578125" customWidth="1"/>
    <col min="57" max="57" width="15" customWidth="1"/>
    <col min="58" max="58" width="11.42578125" customWidth="1"/>
  </cols>
  <sheetData>
    <row r="1" spans="1:57" x14ac:dyDescent="0.2">
      <c r="A1" s="793" t="s">
        <v>777</v>
      </c>
      <c r="B1" s="793"/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  <c r="P1" s="793"/>
      <c r="Q1" s="793"/>
      <c r="R1" s="793"/>
      <c r="S1" s="793"/>
      <c r="T1" s="793"/>
      <c r="U1" s="793"/>
      <c r="V1" s="793"/>
      <c r="W1" s="793"/>
      <c r="X1" s="793"/>
      <c r="Y1" s="133"/>
      <c r="Z1" s="133"/>
      <c r="AA1" s="133"/>
      <c r="AB1" s="133"/>
      <c r="AC1" s="133"/>
      <c r="AD1" s="133"/>
      <c r="AE1" s="133"/>
    </row>
    <row r="2" spans="1:57" x14ac:dyDescent="0.2">
      <c r="A2" s="793" t="s">
        <v>792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793"/>
      <c r="O2" s="793"/>
      <c r="P2" s="793"/>
      <c r="Q2" s="793"/>
      <c r="R2" s="793"/>
      <c r="S2" s="793"/>
      <c r="T2" s="793"/>
      <c r="U2" s="793"/>
      <c r="V2" s="793"/>
      <c r="W2" s="793"/>
      <c r="X2" s="793"/>
      <c r="Y2" s="133"/>
      <c r="Z2" s="133"/>
      <c r="AA2" s="133"/>
      <c r="AB2" s="133"/>
      <c r="AC2" s="133"/>
      <c r="AD2" s="133"/>
      <c r="AE2" s="133"/>
    </row>
    <row r="3" spans="1:57" x14ac:dyDescent="0.2">
      <c r="A3" s="793" t="s">
        <v>413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3"/>
      <c r="T3" s="793"/>
      <c r="U3" s="793"/>
      <c r="V3" s="793"/>
      <c r="W3" s="793"/>
      <c r="X3" s="793"/>
      <c r="Y3" s="133"/>
      <c r="Z3" s="133"/>
      <c r="AA3" s="133"/>
      <c r="AB3" s="133"/>
      <c r="AC3" s="133"/>
      <c r="AD3" s="133"/>
      <c r="AE3" s="133"/>
    </row>
    <row r="4" spans="1:57" ht="6.75" customHeight="1" thickBot="1" x14ac:dyDescent="0.2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80"/>
      <c r="R4" s="133"/>
      <c r="S4" s="133"/>
      <c r="T4" s="133"/>
      <c r="U4" s="133"/>
      <c r="V4" s="180"/>
      <c r="W4" s="133"/>
      <c r="X4" s="133"/>
      <c r="Y4" s="133"/>
      <c r="Z4" s="133"/>
      <c r="AA4" s="133"/>
      <c r="AB4" s="133"/>
      <c r="AC4" s="133"/>
      <c r="AD4" s="133"/>
      <c r="AE4" s="133"/>
    </row>
    <row r="5" spans="1:57" ht="13.5" customHeight="1" thickBot="1" x14ac:dyDescent="0.25">
      <c r="A5" s="1430" t="s">
        <v>373</v>
      </c>
      <c r="B5" s="1415" t="s">
        <v>15</v>
      </c>
      <c r="C5" s="837"/>
      <c r="D5" s="1422" t="s">
        <v>374</v>
      </c>
      <c r="E5" s="1415" t="s">
        <v>375</v>
      </c>
      <c r="F5" s="1415" t="s">
        <v>376</v>
      </c>
      <c r="G5" s="1415" t="s">
        <v>377</v>
      </c>
      <c r="H5" s="1435" t="s">
        <v>378</v>
      </c>
      <c r="I5" s="1436"/>
      <c r="J5" s="1437"/>
      <c r="K5" s="1423" t="s">
        <v>518</v>
      </c>
      <c r="L5" s="1424"/>
      <c r="M5" s="1425"/>
      <c r="N5" s="680" t="s">
        <v>379</v>
      </c>
      <c r="O5" s="681"/>
      <c r="P5" s="681"/>
      <c r="Q5" s="681"/>
      <c r="R5" s="682"/>
      <c r="S5" s="680"/>
      <c r="T5" s="681"/>
      <c r="U5" s="681"/>
      <c r="V5" s="681"/>
      <c r="W5" s="682"/>
      <c r="X5" s="1447" t="s">
        <v>25</v>
      </c>
      <c r="Y5" s="640"/>
      <c r="Z5" s="640"/>
      <c r="AA5" s="640"/>
      <c r="AB5" s="640"/>
      <c r="AC5" s="640"/>
      <c r="AD5" s="640"/>
      <c r="AE5" s="640"/>
      <c r="AI5" s="1444" t="s">
        <v>865</v>
      </c>
      <c r="AJ5" s="1445"/>
      <c r="AK5" s="1445"/>
      <c r="AL5" s="1445"/>
      <c r="AM5" s="1445"/>
      <c r="AN5" s="1445"/>
      <c r="AO5" s="1445"/>
      <c r="AP5" s="1445"/>
      <c r="AQ5" s="1446"/>
      <c r="AS5" s="1444" t="s">
        <v>865</v>
      </c>
      <c r="AT5" s="1445"/>
      <c r="AU5" s="1445"/>
      <c r="AV5" s="1445"/>
      <c r="AW5" s="1445"/>
      <c r="AX5" s="1445"/>
      <c r="AY5" s="1445"/>
      <c r="AZ5" s="1445"/>
      <c r="BA5" s="1446"/>
    </row>
    <row r="6" spans="1:57" ht="13.5" thickBot="1" x14ac:dyDescent="0.25">
      <c r="A6" s="1431"/>
      <c r="B6" s="1416"/>
      <c r="C6" s="838"/>
      <c r="D6" s="1433"/>
      <c r="E6" s="1416"/>
      <c r="F6" s="1416"/>
      <c r="G6" s="1416"/>
      <c r="H6" s="1438"/>
      <c r="I6" s="1439"/>
      <c r="J6" s="1440"/>
      <c r="K6" s="1426"/>
      <c r="L6" s="1427"/>
      <c r="M6" s="1428"/>
      <c r="N6" s="683" t="s">
        <v>436</v>
      </c>
      <c r="O6" s="684"/>
      <c r="P6" s="684"/>
      <c r="Q6" s="684"/>
      <c r="R6" s="685"/>
      <c r="S6" s="683" t="s">
        <v>437</v>
      </c>
      <c r="T6" s="684"/>
      <c r="U6" s="684"/>
      <c r="V6" s="684"/>
      <c r="W6" s="685"/>
      <c r="X6" s="1448"/>
      <c r="Y6" s="640"/>
      <c r="Z6" s="640"/>
      <c r="AA6" s="640"/>
      <c r="AB6" s="640"/>
      <c r="AC6" s="640"/>
      <c r="AD6" s="640"/>
      <c r="AE6" s="640"/>
      <c r="AI6" s="1441" t="s">
        <v>289</v>
      </c>
      <c r="AJ6" s="1442"/>
      <c r="AK6" s="1442"/>
      <c r="AL6" s="1442"/>
      <c r="AM6" s="1442"/>
      <c r="AN6" s="1442"/>
      <c r="AO6" s="1442"/>
      <c r="AP6" s="1442"/>
      <c r="AQ6" s="1443"/>
      <c r="AS6" s="1441" t="s">
        <v>703</v>
      </c>
      <c r="AT6" s="1442"/>
      <c r="AU6" s="1442"/>
      <c r="AV6" s="1442"/>
      <c r="AW6" s="1442"/>
      <c r="AX6" s="1442"/>
      <c r="AY6" s="1442"/>
      <c r="AZ6" s="1442"/>
      <c r="BA6" s="1443"/>
    </row>
    <row r="7" spans="1:57" x14ac:dyDescent="0.2">
      <c r="A7" s="1431"/>
      <c r="B7" s="1416"/>
      <c r="C7" s="838"/>
      <c r="D7" s="1433"/>
      <c r="E7" s="1416"/>
      <c r="F7" s="1416"/>
      <c r="G7" s="1416"/>
      <c r="H7" s="1420" t="s">
        <v>541</v>
      </c>
      <c r="I7" s="1422" t="s">
        <v>380</v>
      </c>
      <c r="J7" s="1422" t="s">
        <v>16</v>
      </c>
      <c r="K7" s="1418" t="s">
        <v>543</v>
      </c>
      <c r="L7" s="1418" t="s">
        <v>814</v>
      </c>
      <c r="M7" s="1422" t="s">
        <v>18</v>
      </c>
      <c r="N7" s="686" t="s">
        <v>381</v>
      </c>
      <c r="O7" s="687" t="s">
        <v>349</v>
      </c>
      <c r="P7" s="687" t="s">
        <v>19</v>
      </c>
      <c r="Q7" s="688" t="s">
        <v>551</v>
      </c>
      <c r="R7" s="689" t="s">
        <v>25</v>
      </c>
      <c r="S7" s="686" t="s">
        <v>381</v>
      </c>
      <c r="T7" s="687" t="s">
        <v>349</v>
      </c>
      <c r="U7" s="687" t="s">
        <v>19</v>
      </c>
      <c r="V7" s="688" t="s">
        <v>551</v>
      </c>
      <c r="W7" s="689" t="s">
        <v>25</v>
      </c>
      <c r="X7" s="1449"/>
      <c r="Y7" s="640"/>
      <c r="Z7" s="640"/>
      <c r="AA7" s="640"/>
      <c r="AB7" s="640"/>
      <c r="AC7" s="640"/>
      <c r="AD7" s="640"/>
      <c r="AE7" s="640"/>
      <c r="AI7" s="234"/>
      <c r="AJ7" s="235"/>
      <c r="AK7" s="235"/>
      <c r="AL7" s="235"/>
      <c r="AM7" s="235"/>
      <c r="AN7" s="235"/>
      <c r="AO7" s="235"/>
      <c r="AP7" s="235"/>
      <c r="AQ7" s="236"/>
      <c r="AS7" s="234"/>
      <c r="AT7" s="235"/>
      <c r="AU7" s="235"/>
      <c r="AV7" s="235"/>
      <c r="AW7" s="235"/>
      <c r="AX7" s="235"/>
      <c r="AY7" s="235"/>
      <c r="AZ7" s="235"/>
      <c r="BA7" s="236"/>
    </row>
    <row r="8" spans="1:57" ht="33" customHeight="1" thickBot="1" x14ac:dyDescent="0.25">
      <c r="A8" s="1432"/>
      <c r="B8" s="1417"/>
      <c r="C8" s="839"/>
      <c r="D8" s="1434"/>
      <c r="E8" s="1417"/>
      <c r="F8" s="1417"/>
      <c r="G8" s="1417"/>
      <c r="H8" s="1421"/>
      <c r="I8" s="1421"/>
      <c r="J8" s="1421"/>
      <c r="K8" s="1429"/>
      <c r="L8" s="1419"/>
      <c r="M8" s="1421"/>
      <c r="N8" s="690">
        <v>8.7499999999999994E-2</v>
      </c>
      <c r="O8" s="691">
        <v>0.06</v>
      </c>
      <c r="P8" s="691">
        <v>7.4999999999999997E-2</v>
      </c>
      <c r="Q8" s="692">
        <v>0.01</v>
      </c>
      <c r="R8" s="693" t="s">
        <v>436</v>
      </c>
      <c r="S8" s="690">
        <v>8.7499999999999994E-2</v>
      </c>
      <c r="T8" s="691">
        <v>0.06</v>
      </c>
      <c r="U8" s="691">
        <v>7.4999999999999997E-2</v>
      </c>
      <c r="V8" s="692">
        <v>0.01</v>
      </c>
      <c r="W8" s="693" t="s">
        <v>437</v>
      </c>
      <c r="X8" s="1421"/>
      <c r="Y8" s="640"/>
      <c r="Z8" s="640"/>
      <c r="AA8" s="640"/>
      <c r="AB8" s="640"/>
      <c r="AC8" s="640"/>
      <c r="AD8" s="640"/>
      <c r="AE8" s="640"/>
      <c r="AF8" s="638"/>
      <c r="AG8" s="229"/>
      <c r="AH8" s="229"/>
      <c r="AI8" s="237" t="s">
        <v>553</v>
      </c>
      <c r="AJ8" s="242" t="s">
        <v>378</v>
      </c>
      <c r="AK8" s="245" t="s">
        <v>568</v>
      </c>
      <c r="AL8" s="245" t="s">
        <v>568</v>
      </c>
      <c r="AM8" s="242" t="s">
        <v>19</v>
      </c>
      <c r="AN8" s="242" t="s">
        <v>349</v>
      </c>
      <c r="AO8" s="242" t="s">
        <v>552</v>
      </c>
      <c r="AP8" s="249" t="s">
        <v>561</v>
      </c>
      <c r="AQ8" s="243" t="s">
        <v>25</v>
      </c>
      <c r="AS8" s="237" t="s">
        <v>553</v>
      </c>
      <c r="AT8" s="242" t="s">
        <v>378</v>
      </c>
      <c r="AU8" s="245" t="s">
        <v>568</v>
      </c>
      <c r="AV8" s="245" t="s">
        <v>568</v>
      </c>
      <c r="AW8" s="242" t="s">
        <v>19</v>
      </c>
      <c r="AX8" s="242" t="s">
        <v>349</v>
      </c>
      <c r="AY8" s="242" t="s">
        <v>552</v>
      </c>
      <c r="AZ8" s="249" t="s">
        <v>561</v>
      </c>
      <c r="BA8" s="243" t="s">
        <v>25</v>
      </c>
    </row>
    <row r="9" spans="1:57" x14ac:dyDescent="0.2">
      <c r="A9" s="112">
        <v>1</v>
      </c>
      <c r="B9" s="30" t="s">
        <v>382</v>
      </c>
      <c r="C9" s="30" t="s">
        <v>800</v>
      </c>
      <c r="D9" s="111" t="s">
        <v>502</v>
      </c>
      <c r="E9" s="112">
        <v>1</v>
      </c>
      <c r="F9" s="113" t="s">
        <v>20</v>
      </c>
      <c r="G9" s="113" t="s">
        <v>20</v>
      </c>
      <c r="H9" s="194">
        <v>2700</v>
      </c>
      <c r="I9" s="200">
        <f>E9*H9</f>
        <v>2700</v>
      </c>
      <c r="J9" s="114">
        <f>I9*E9*12</f>
        <v>32400</v>
      </c>
      <c r="K9" s="114">
        <v>0</v>
      </c>
      <c r="L9" s="114">
        <v>0</v>
      </c>
      <c r="M9" s="114">
        <f>I9</f>
        <v>2700</v>
      </c>
      <c r="N9" s="114">
        <f>ROUND(I9*$N$8,2)</f>
        <v>236.25</v>
      </c>
      <c r="O9" s="114">
        <v>0</v>
      </c>
      <c r="P9" s="114">
        <f>ROUND((IF(I9&gt;1000,1000*$P$8,I9*$P$8)),2)*E9</f>
        <v>75</v>
      </c>
      <c r="Q9" s="114">
        <f>ROUND((IF(I9&gt;1000,1000*$Q$8,I9*$Q$8)),2)</f>
        <v>10</v>
      </c>
      <c r="R9" s="114">
        <f>SUM(N9:Q9)</f>
        <v>321.25</v>
      </c>
      <c r="S9" s="114">
        <f>N9*12</f>
        <v>2835</v>
      </c>
      <c r="T9" s="114">
        <f t="shared" ref="T9:T10" si="0">O9*12</f>
        <v>0</v>
      </c>
      <c r="U9" s="114">
        <f t="shared" ref="U9:U10" si="1">P9*12</f>
        <v>900</v>
      </c>
      <c r="V9" s="114">
        <f t="shared" ref="V9:V10" si="2">Q9*12</f>
        <v>120</v>
      </c>
      <c r="W9" s="114">
        <f>SUM(S9:V9)</f>
        <v>3855</v>
      </c>
      <c r="X9" s="109">
        <f t="shared" ref="X9:X10" si="3">J9+K9+L9+M9+W9</f>
        <v>38955</v>
      </c>
      <c r="Y9" s="641"/>
      <c r="Z9" s="641"/>
      <c r="AA9" s="641"/>
      <c r="AB9" s="641"/>
      <c r="AC9" s="641">
        <f>I9+R9</f>
        <v>3021.25</v>
      </c>
      <c r="AD9" s="641"/>
      <c r="AE9" s="641"/>
      <c r="AF9" s="638">
        <v>38881</v>
      </c>
      <c r="AG9" s="11">
        <f>X9-AF9</f>
        <v>74</v>
      </c>
      <c r="AH9" s="11"/>
      <c r="AI9" s="244" t="s">
        <v>842</v>
      </c>
      <c r="AJ9" s="114">
        <f>I9*AI9</f>
        <v>0</v>
      </c>
      <c r="AK9" s="114"/>
      <c r="AL9" s="114"/>
      <c r="AM9" s="119">
        <f>(P9+Q9)*AI9</f>
        <v>0</v>
      </c>
      <c r="AN9" s="114">
        <f>AI9*O9</f>
        <v>0</v>
      </c>
      <c r="AO9" s="114">
        <f>N9*AI9</f>
        <v>0</v>
      </c>
      <c r="AP9" s="862">
        <f>I9</f>
        <v>2700</v>
      </c>
      <c r="AQ9" s="114">
        <f>SUM(AJ9:AP9)</f>
        <v>2700</v>
      </c>
      <c r="AS9" s="231">
        <f>12-AI9</f>
        <v>12</v>
      </c>
      <c r="AT9" s="114">
        <f>I9*AS9</f>
        <v>32400</v>
      </c>
      <c r="AU9" s="114">
        <f>K9</f>
        <v>0</v>
      </c>
      <c r="AV9" s="114"/>
      <c r="AW9" s="114">
        <f>(P9+Q9)*AS9</f>
        <v>1020</v>
      </c>
      <c r="AX9" s="114">
        <f>AS9*O9</f>
        <v>0</v>
      </c>
      <c r="AY9" s="114">
        <f>N9*AS9</f>
        <v>2835</v>
      </c>
      <c r="AZ9" s="114">
        <v>0</v>
      </c>
      <c r="BA9" s="114">
        <f>SUM(AT9:AY9)</f>
        <v>36255</v>
      </c>
      <c r="BC9" s="197">
        <f t="shared" ref="BC9:BC53" si="4">AO9+AY9-N9</f>
        <v>2598.75</v>
      </c>
      <c r="BE9" s="2">
        <f t="shared" ref="BE9:BE10" si="5">AQ9+BA9-X9</f>
        <v>0</v>
      </c>
    </row>
    <row r="10" spans="1:57" x14ac:dyDescent="0.2">
      <c r="A10" s="116">
        <v>2</v>
      </c>
      <c r="B10" s="30" t="s">
        <v>383</v>
      </c>
      <c r="C10" s="30" t="s">
        <v>801</v>
      </c>
      <c r="D10" s="115" t="s">
        <v>503</v>
      </c>
      <c r="E10" s="116">
        <v>1</v>
      </c>
      <c r="F10" s="117" t="s">
        <v>20</v>
      </c>
      <c r="G10" s="117" t="s">
        <v>20</v>
      </c>
      <c r="H10" s="930">
        <f>1050+100</f>
        <v>1150</v>
      </c>
      <c r="I10" s="931">
        <f t="shared" ref="I10:I35" si="6">E10*H10</f>
        <v>1150</v>
      </c>
      <c r="J10" s="862">
        <f t="shared" ref="J10:J23" si="7">I10*E10*12</f>
        <v>13800</v>
      </c>
      <c r="K10" s="862">
        <v>0</v>
      </c>
      <c r="L10" s="862">
        <v>0</v>
      </c>
      <c r="M10" s="862">
        <f t="shared" ref="M10:M23" si="8">I10</f>
        <v>1150</v>
      </c>
      <c r="N10" s="862">
        <f>ROUND(I10*$N$8,2)</f>
        <v>100.63</v>
      </c>
      <c r="O10" s="862">
        <v>0</v>
      </c>
      <c r="P10" s="862">
        <f>ROUND((IF(I10&gt;1000,1000*$P$8,I10*$P$8)),2)*E10</f>
        <v>75</v>
      </c>
      <c r="Q10" s="862">
        <f>ROUND((IF(I10&gt;1000,1000*$Q$8,I10*$Q$8)),2)</f>
        <v>10</v>
      </c>
      <c r="R10" s="862">
        <f>SUM(N10:Q10)</f>
        <v>185.63</v>
      </c>
      <c r="S10" s="862">
        <f>N10*12</f>
        <v>1207.56</v>
      </c>
      <c r="T10" s="862">
        <f t="shared" si="0"/>
        <v>0</v>
      </c>
      <c r="U10" s="862">
        <f t="shared" si="1"/>
        <v>900</v>
      </c>
      <c r="V10" s="862">
        <f t="shared" si="2"/>
        <v>120</v>
      </c>
      <c r="W10" s="862">
        <f>SUM(S10:V10)</f>
        <v>2227.56</v>
      </c>
      <c r="X10" s="929">
        <f t="shared" si="3"/>
        <v>17177.560000000001</v>
      </c>
      <c r="Y10" s="942"/>
      <c r="Z10" s="804"/>
      <c r="AA10" s="804"/>
      <c r="AB10" s="804"/>
      <c r="AC10" s="804">
        <f>I10+R10</f>
        <v>1335.63</v>
      </c>
      <c r="AD10" s="804"/>
      <c r="AE10" s="804"/>
      <c r="AF10" s="863">
        <v>15896.56</v>
      </c>
      <c r="AG10" s="11">
        <f>X10-AF10</f>
        <v>1281.0000000000018</v>
      </c>
      <c r="AH10" s="11"/>
      <c r="AI10" s="233" t="s">
        <v>843</v>
      </c>
      <c r="AJ10" s="862">
        <f t="shared" ref="AJ10:AJ35" si="9">I10*AI10</f>
        <v>13800</v>
      </c>
      <c r="AK10" s="862"/>
      <c r="AL10" s="862"/>
      <c r="AM10" s="862">
        <f>(P10+Q10)*AI10</f>
        <v>1020</v>
      </c>
      <c r="AN10" s="862">
        <f>AI10*O10</f>
        <v>0</v>
      </c>
      <c r="AO10" s="862">
        <f>N10*AI10</f>
        <v>1207.56</v>
      </c>
      <c r="AP10" s="862">
        <f>I10</f>
        <v>1150</v>
      </c>
      <c r="AQ10" s="862">
        <f>SUM(AJ10:AP10)</f>
        <v>17177.559999999998</v>
      </c>
      <c r="AS10" s="232">
        <f>12-AI10</f>
        <v>0</v>
      </c>
      <c r="AT10" s="862">
        <f>I10*AS10</f>
        <v>0</v>
      </c>
      <c r="AU10" s="862">
        <f>K10</f>
        <v>0</v>
      </c>
      <c r="AV10" s="862"/>
      <c r="AW10" s="862">
        <f>(P10+Q10)*AS10</f>
        <v>0</v>
      </c>
      <c r="AX10" s="862">
        <f>AS10*O10</f>
        <v>0</v>
      </c>
      <c r="AY10" s="862">
        <f>N10*AS10</f>
        <v>0</v>
      </c>
      <c r="AZ10" s="862">
        <v>0</v>
      </c>
      <c r="BA10" s="862">
        <f>SUM(AT10:AY10)</f>
        <v>0</v>
      </c>
      <c r="BC10" s="197">
        <f t="shared" si="4"/>
        <v>1106.9299999999998</v>
      </c>
      <c r="BE10" s="2">
        <f t="shared" si="5"/>
        <v>0</v>
      </c>
    </row>
    <row r="11" spans="1:57" ht="13.5" thickBot="1" x14ac:dyDescent="0.25">
      <c r="A11" s="126"/>
      <c r="B11" s="50" t="s">
        <v>384</v>
      </c>
      <c r="C11" s="50"/>
      <c r="D11" s="121"/>
      <c r="E11" s="122">
        <f>SUM(E2:E10)</f>
        <v>2</v>
      </c>
      <c r="F11" s="123"/>
      <c r="G11" s="123"/>
      <c r="H11" s="123"/>
      <c r="I11" s="932">
        <f>SUM(I9:I10)</f>
        <v>3850</v>
      </c>
      <c r="J11" s="932">
        <f t="shared" ref="J11:X11" si="10">SUM(J9:J10)</f>
        <v>46200</v>
      </c>
      <c r="K11" s="932">
        <f t="shared" si="10"/>
        <v>0</v>
      </c>
      <c r="L11" s="932">
        <f t="shared" si="10"/>
        <v>0</v>
      </c>
      <c r="M11" s="932">
        <f t="shared" si="10"/>
        <v>3850</v>
      </c>
      <c r="N11" s="932">
        <f t="shared" si="10"/>
        <v>336.88</v>
      </c>
      <c r="O11" s="932">
        <f t="shared" si="10"/>
        <v>0</v>
      </c>
      <c r="P11" s="932">
        <f t="shared" si="10"/>
        <v>150</v>
      </c>
      <c r="Q11" s="932">
        <f t="shared" si="10"/>
        <v>20</v>
      </c>
      <c r="R11" s="932">
        <f t="shared" si="10"/>
        <v>506.88</v>
      </c>
      <c r="S11" s="932">
        <f t="shared" ref="S11" si="11">SUM(S9:S10)</f>
        <v>4042.56</v>
      </c>
      <c r="T11" s="932">
        <f t="shared" ref="T11" si="12">SUM(T9:T10)</f>
        <v>0</v>
      </c>
      <c r="U11" s="932">
        <f t="shared" ref="U11" si="13">SUM(U9:U10)</f>
        <v>1800</v>
      </c>
      <c r="V11" s="932">
        <f t="shared" ref="V11" si="14">SUM(V9:V10)</f>
        <v>240</v>
      </c>
      <c r="W11" s="932">
        <f t="shared" ref="W11" si="15">SUM(W9:W10)</f>
        <v>6082.5599999999995</v>
      </c>
      <c r="X11" s="933">
        <f t="shared" si="10"/>
        <v>56132.56</v>
      </c>
      <c r="Y11" s="642"/>
      <c r="Z11" s="642"/>
      <c r="AA11" s="642"/>
      <c r="AB11" s="642"/>
      <c r="AC11" s="646">
        <f>I11+R11</f>
        <v>4356.88</v>
      </c>
      <c r="AD11" s="642"/>
      <c r="AE11" s="642"/>
      <c r="AF11" s="638">
        <v>54777.56</v>
      </c>
      <c r="AG11" s="11">
        <f>X11-AF11</f>
        <v>1355</v>
      </c>
      <c r="AH11" s="11"/>
      <c r="AI11" s="240"/>
      <c r="AJ11" s="240">
        <f>SUM(AJ9:AJ10)</f>
        <v>13800</v>
      </c>
      <c r="AK11" s="240">
        <f t="shared" ref="AK11:AQ11" si="16">SUM(AK9:AK10)</f>
        <v>0</v>
      </c>
      <c r="AL11" s="240">
        <f t="shared" si="16"/>
        <v>0</v>
      </c>
      <c r="AM11" s="240">
        <f>SUM(AM9:AM10)</f>
        <v>1020</v>
      </c>
      <c r="AN11" s="240">
        <f t="shared" si="16"/>
        <v>0</v>
      </c>
      <c r="AO11" s="240">
        <f t="shared" si="16"/>
        <v>1207.56</v>
      </c>
      <c r="AP11" s="240">
        <f t="shared" si="16"/>
        <v>3850</v>
      </c>
      <c r="AQ11" s="240">
        <f t="shared" si="16"/>
        <v>19877.559999999998</v>
      </c>
      <c r="AR11" s="2">
        <f>AQ11</f>
        <v>19877.559999999998</v>
      </c>
      <c r="AS11" s="240"/>
      <c r="AT11" s="240">
        <f t="shared" ref="AT11:BA11" si="17">SUM(AT9:AT10)</f>
        <v>32400</v>
      </c>
      <c r="AU11" s="240">
        <f t="shared" si="17"/>
        <v>0</v>
      </c>
      <c r="AV11" s="240">
        <f t="shared" si="17"/>
        <v>0</v>
      </c>
      <c r="AW11" s="240">
        <f t="shared" si="17"/>
        <v>1020</v>
      </c>
      <c r="AX11" s="240">
        <f t="shared" si="17"/>
        <v>0</v>
      </c>
      <c r="AY11" s="240">
        <f t="shared" si="17"/>
        <v>2835</v>
      </c>
      <c r="AZ11" s="240">
        <f t="shared" si="17"/>
        <v>0</v>
      </c>
      <c r="BA11" s="240">
        <f t="shared" si="17"/>
        <v>36255</v>
      </c>
      <c r="BC11" s="197">
        <f>AO11+AY11-N11</f>
        <v>3705.68</v>
      </c>
      <c r="BE11" s="2">
        <f>AQ11+BA11-X11</f>
        <v>0</v>
      </c>
    </row>
    <row r="12" spans="1:57" ht="13.5" thickTop="1" x14ac:dyDescent="0.2">
      <c r="A12" s="116">
        <v>3</v>
      </c>
      <c r="B12" s="30" t="s">
        <v>793</v>
      </c>
      <c r="C12" s="30"/>
      <c r="D12" s="115" t="s">
        <v>505</v>
      </c>
      <c r="E12" s="116">
        <v>1</v>
      </c>
      <c r="F12" s="117" t="s">
        <v>20</v>
      </c>
      <c r="G12" s="117" t="s">
        <v>20</v>
      </c>
      <c r="H12" s="930">
        <v>0</v>
      </c>
      <c r="I12" s="931">
        <f t="shared" ref="I12" si="18">E12*H12</f>
        <v>0</v>
      </c>
      <c r="J12" s="862">
        <f t="shared" ref="J12" si="19">I12*E12*12</f>
        <v>0</v>
      </c>
      <c r="K12" s="862">
        <v>0</v>
      </c>
      <c r="L12" s="862">
        <v>0</v>
      </c>
      <c r="M12" s="862">
        <f t="shared" ref="M12" si="20">I12</f>
        <v>0</v>
      </c>
      <c r="N12" s="862">
        <f>ROUND(I12*$N$8,2)</f>
        <v>0</v>
      </c>
      <c r="O12" s="862">
        <v>0</v>
      </c>
      <c r="P12" s="862">
        <f>ROUND((IF(I12&gt;1000,1000*$P$8,I12*$P$8)),2)*E12</f>
        <v>0</v>
      </c>
      <c r="Q12" s="862">
        <f>ROUND((IF(I12&gt;1000,1000*$Q$8,I12*$Q$8)),2)</f>
        <v>0</v>
      </c>
      <c r="R12" s="862">
        <f t="shared" ref="R12" si="21">SUM(N12:Q12)</f>
        <v>0</v>
      </c>
      <c r="S12" s="862">
        <f>N12*12</f>
        <v>0</v>
      </c>
      <c r="T12" s="862">
        <f>O12*12</f>
        <v>0</v>
      </c>
      <c r="U12" s="862">
        <f t="shared" ref="U12" si="22">P12*12</f>
        <v>0</v>
      </c>
      <c r="V12" s="862">
        <f t="shared" ref="V12" si="23">Q12*12</f>
        <v>0</v>
      </c>
      <c r="W12" s="862">
        <f t="shared" ref="W12" si="24">SUM(S12:V12)</f>
        <v>0</v>
      </c>
      <c r="X12" s="929">
        <f>J12+K12+L12+M12+W12</f>
        <v>0</v>
      </c>
      <c r="Y12" s="641"/>
      <c r="Z12" s="641"/>
      <c r="AA12" s="641"/>
      <c r="AB12" s="641"/>
      <c r="AC12" s="641">
        <f t="shared" ref="AC12:AC73" si="25">I12+R12</f>
        <v>0</v>
      </c>
      <c r="AD12" s="641"/>
      <c r="AE12" s="641"/>
      <c r="AF12" s="638"/>
      <c r="AG12" s="11"/>
      <c r="AH12" s="11"/>
      <c r="AI12" s="233" t="s">
        <v>263</v>
      </c>
      <c r="AJ12" s="119">
        <f>I12*AI12</f>
        <v>0</v>
      </c>
      <c r="AK12" s="119"/>
      <c r="AL12" s="119"/>
      <c r="AM12" s="119">
        <f>(P12+Q12)*AI12</f>
        <v>0</v>
      </c>
      <c r="AN12" s="119">
        <f>AI12*O12</f>
        <v>0</v>
      </c>
      <c r="AO12" s="119">
        <f>N12*AI12</f>
        <v>0</v>
      </c>
      <c r="AP12" s="119">
        <v>0</v>
      </c>
      <c r="AQ12" s="119">
        <f>SUM(AJ12:AP12)</f>
        <v>0</v>
      </c>
      <c r="AS12" s="232">
        <f>12-AI12</f>
        <v>11</v>
      </c>
      <c r="AT12" s="119">
        <f>I12*AS12</f>
        <v>0</v>
      </c>
      <c r="AU12" s="119">
        <f>K12</f>
        <v>0</v>
      </c>
      <c r="AV12" s="119"/>
      <c r="AW12" s="119">
        <f>(P12+Q12)*AS12</f>
        <v>0</v>
      </c>
      <c r="AX12" s="119">
        <f>AS12*O12</f>
        <v>0</v>
      </c>
      <c r="AY12" s="119">
        <f>N12*AS12</f>
        <v>0</v>
      </c>
      <c r="AZ12" s="119">
        <f>M12</f>
        <v>0</v>
      </c>
      <c r="BA12" s="119">
        <f>SUM(AT12:AZ12)</f>
        <v>0</v>
      </c>
      <c r="BC12" s="197">
        <f t="shared" si="4"/>
        <v>0</v>
      </c>
      <c r="BE12" s="2">
        <f t="shared" ref="BE12:BE68" si="26">AQ12+BA12-X12</f>
        <v>0</v>
      </c>
    </row>
    <row r="13" spans="1:57" ht="13.5" thickBot="1" x14ac:dyDescent="0.25">
      <c r="A13" s="126"/>
      <c r="B13" s="50" t="s">
        <v>384</v>
      </c>
      <c r="C13" s="50"/>
      <c r="D13" s="121"/>
      <c r="E13" s="122">
        <f>SUM(E12)</f>
        <v>1</v>
      </c>
      <c r="F13" s="123"/>
      <c r="G13" s="123"/>
      <c r="H13" s="123"/>
      <c r="I13" s="932">
        <f>SUM(I12)</f>
        <v>0</v>
      </c>
      <c r="J13" s="932">
        <f t="shared" ref="J13:W13" si="27">SUM(J12)</f>
        <v>0</v>
      </c>
      <c r="K13" s="932">
        <f t="shared" si="27"/>
        <v>0</v>
      </c>
      <c r="L13" s="932">
        <f t="shared" si="27"/>
        <v>0</v>
      </c>
      <c r="M13" s="932">
        <f t="shared" si="27"/>
        <v>0</v>
      </c>
      <c r="N13" s="932">
        <f t="shared" si="27"/>
        <v>0</v>
      </c>
      <c r="O13" s="932">
        <f t="shared" si="27"/>
        <v>0</v>
      </c>
      <c r="P13" s="932">
        <f t="shared" si="27"/>
        <v>0</v>
      </c>
      <c r="Q13" s="932">
        <f t="shared" si="27"/>
        <v>0</v>
      </c>
      <c r="R13" s="932">
        <f t="shared" si="27"/>
        <v>0</v>
      </c>
      <c r="S13" s="932">
        <f t="shared" si="27"/>
        <v>0</v>
      </c>
      <c r="T13" s="932">
        <f t="shared" si="27"/>
        <v>0</v>
      </c>
      <c r="U13" s="932">
        <f t="shared" si="27"/>
        <v>0</v>
      </c>
      <c r="V13" s="932">
        <f t="shared" si="27"/>
        <v>0</v>
      </c>
      <c r="W13" s="932">
        <f t="shared" si="27"/>
        <v>0</v>
      </c>
      <c r="X13" s="933">
        <f>SUM(X12)</f>
        <v>0</v>
      </c>
      <c r="Y13" s="642"/>
      <c r="Z13" s="642"/>
      <c r="AA13" s="642"/>
      <c r="AB13" s="642"/>
      <c r="AC13" s="646">
        <f t="shared" si="25"/>
        <v>0</v>
      </c>
      <c r="AD13" s="642"/>
      <c r="AE13" s="642"/>
      <c r="AF13" s="638">
        <v>10715</v>
      </c>
      <c r="AG13" s="11">
        <f>X13-AF13</f>
        <v>-10715</v>
      </c>
      <c r="AH13" s="11"/>
      <c r="AI13" s="240"/>
      <c r="AJ13" s="240">
        <f>SUM(AJ12)</f>
        <v>0</v>
      </c>
      <c r="AK13" s="240">
        <f t="shared" ref="AK13:AQ13" si="28">SUM(AK12)</f>
        <v>0</v>
      </c>
      <c r="AL13" s="240">
        <f t="shared" si="28"/>
        <v>0</v>
      </c>
      <c r="AM13" s="240">
        <f>SUM(AM12)</f>
        <v>0</v>
      </c>
      <c r="AN13" s="240">
        <f t="shared" si="28"/>
        <v>0</v>
      </c>
      <c r="AO13" s="240">
        <f t="shared" si="28"/>
        <v>0</v>
      </c>
      <c r="AP13" s="240">
        <f t="shared" si="28"/>
        <v>0</v>
      </c>
      <c r="AQ13" s="240">
        <f t="shared" si="28"/>
        <v>0</v>
      </c>
      <c r="AS13" s="240"/>
      <c r="AT13" s="240">
        <f t="shared" ref="AT13:BA13" si="29">SUM(AT12)</f>
        <v>0</v>
      </c>
      <c r="AU13" s="240">
        <f t="shared" si="29"/>
        <v>0</v>
      </c>
      <c r="AV13" s="240">
        <f t="shared" si="29"/>
        <v>0</v>
      </c>
      <c r="AW13" s="240">
        <f t="shared" si="29"/>
        <v>0</v>
      </c>
      <c r="AX13" s="240">
        <f t="shared" si="29"/>
        <v>0</v>
      </c>
      <c r="AY13" s="240">
        <f t="shared" si="29"/>
        <v>0</v>
      </c>
      <c r="AZ13" s="240">
        <f t="shared" si="29"/>
        <v>0</v>
      </c>
      <c r="BA13" s="240">
        <f t="shared" si="29"/>
        <v>0</v>
      </c>
      <c r="BC13" s="197">
        <f t="shared" si="4"/>
        <v>0</v>
      </c>
      <c r="BE13" s="2">
        <f t="shared" si="26"/>
        <v>0</v>
      </c>
    </row>
    <row r="14" spans="1:57" s="626" customFormat="1" ht="13.5" thickTop="1" x14ac:dyDescent="0.2">
      <c r="A14" s="159">
        <f>A12+1</f>
        <v>4</v>
      </c>
      <c r="B14" s="934" t="s">
        <v>652</v>
      </c>
      <c r="C14" s="934" t="s">
        <v>802</v>
      </c>
      <c r="D14" s="158" t="s">
        <v>502</v>
      </c>
      <c r="E14" s="159">
        <v>1</v>
      </c>
      <c r="F14" s="160" t="s">
        <v>20</v>
      </c>
      <c r="G14" s="160" t="s">
        <v>20</v>
      </c>
      <c r="H14" s="935">
        <f>600+100</f>
        <v>700</v>
      </c>
      <c r="I14" s="936">
        <f t="shared" si="6"/>
        <v>700</v>
      </c>
      <c r="J14" s="864">
        <f t="shared" si="7"/>
        <v>8400</v>
      </c>
      <c r="K14" s="864">
        <v>0</v>
      </c>
      <c r="L14" s="864">
        <v>0</v>
      </c>
      <c r="M14" s="864">
        <f t="shared" si="8"/>
        <v>700</v>
      </c>
      <c r="N14" s="864">
        <f t="shared" ref="N14:N23" si="30">ROUND(I14*$N$8,2)</f>
        <v>61.25</v>
      </c>
      <c r="O14" s="864">
        <v>0</v>
      </c>
      <c r="P14" s="864">
        <f t="shared" ref="P14:P23" si="31">ROUND((IF(I14&gt;1000,1000*$P$8,I14*$P$8)),2)*E14</f>
        <v>52.5</v>
      </c>
      <c r="Q14" s="864">
        <f t="shared" ref="Q14:Q23" si="32">ROUND((IF(I14&gt;1000,1000*$Q$8,I14*$Q$8)),2)</f>
        <v>7</v>
      </c>
      <c r="R14" s="864">
        <f t="shared" ref="R14:R23" si="33">SUM(N14:Q14)</f>
        <v>120.75</v>
      </c>
      <c r="S14" s="864">
        <f t="shared" ref="S14:S23" si="34">N14*12</f>
        <v>735</v>
      </c>
      <c r="T14" s="864">
        <f t="shared" ref="T14:T35" si="35">O14*12</f>
        <v>0</v>
      </c>
      <c r="U14" s="864">
        <f t="shared" ref="U14:U23" si="36">P14*12</f>
        <v>630</v>
      </c>
      <c r="V14" s="864">
        <f t="shared" ref="V14:V23" si="37">Q14*12</f>
        <v>84</v>
      </c>
      <c r="W14" s="864">
        <f t="shared" ref="W14:W23" si="38">SUM(S14:V14)</f>
        <v>1449</v>
      </c>
      <c r="X14" s="929">
        <f t="shared" ref="X14:X23" si="39">J14+K14+L14+M14+W14</f>
        <v>10549</v>
      </c>
      <c r="Y14" s="942"/>
      <c r="Z14" s="865"/>
      <c r="AA14" s="865"/>
      <c r="AB14" s="865"/>
      <c r="AC14" s="804">
        <f t="shared" si="25"/>
        <v>820.75</v>
      </c>
      <c r="AD14" s="865"/>
      <c r="AE14" s="865"/>
      <c r="AF14" s="863">
        <v>9220</v>
      </c>
      <c r="AG14" s="624">
        <f>X14-AF14</f>
        <v>1329</v>
      </c>
      <c r="AH14" s="624"/>
      <c r="AI14" s="625" t="s">
        <v>843</v>
      </c>
      <c r="AJ14" s="864">
        <f t="shared" si="9"/>
        <v>8400</v>
      </c>
      <c r="AK14" s="864"/>
      <c r="AL14" s="864"/>
      <c r="AM14" s="862">
        <f t="shared" ref="AM14:AM23" si="40">(P14+Q14)*AI14</f>
        <v>714</v>
      </c>
      <c r="AN14" s="864">
        <f t="shared" ref="AN14:AN23" si="41">AI14*O14</f>
        <v>0</v>
      </c>
      <c r="AO14" s="864">
        <f t="shared" ref="AO14:AO23" si="42">N14*AI14</f>
        <v>735</v>
      </c>
      <c r="AP14" s="864">
        <f t="shared" ref="AP14:AP23" si="43">I14</f>
        <v>700</v>
      </c>
      <c r="AQ14" s="864">
        <f t="shared" ref="AQ14:AQ23" si="44">SUM(AJ14:AP14)</f>
        <v>10549</v>
      </c>
      <c r="AS14" s="866">
        <f t="shared" ref="AS14:AS23" si="45">12-AI14</f>
        <v>0</v>
      </c>
      <c r="AT14" s="864">
        <f t="shared" ref="AT14:AT23" si="46">I14*AS14</f>
        <v>0</v>
      </c>
      <c r="AU14" s="864">
        <f t="shared" ref="AU14:AU23" si="47">K14</f>
        <v>0</v>
      </c>
      <c r="AV14" s="864"/>
      <c r="AW14" s="864">
        <f t="shared" ref="AW14:AW23" si="48">(P14+Q14)*AS14</f>
        <v>0</v>
      </c>
      <c r="AX14" s="864">
        <f t="shared" ref="AX14:AX23" si="49">AS14*O14</f>
        <v>0</v>
      </c>
      <c r="AY14" s="864">
        <f t="shared" ref="AY14:AY23" si="50">N14*AS14</f>
        <v>0</v>
      </c>
      <c r="AZ14" s="864">
        <v>0</v>
      </c>
      <c r="BA14" s="864">
        <f t="shared" ref="BA14:BA23" si="51">SUM(AT14:AY14)</f>
        <v>0</v>
      </c>
      <c r="BC14" s="627">
        <f t="shared" si="4"/>
        <v>673.75</v>
      </c>
      <c r="BE14" s="2">
        <f t="shared" si="26"/>
        <v>0</v>
      </c>
    </row>
    <row r="15" spans="1:57" s="626" customFormat="1" ht="24" x14ac:dyDescent="0.2">
      <c r="A15" s="159">
        <f>A14+1</f>
        <v>5</v>
      </c>
      <c r="B15" s="199" t="s">
        <v>653</v>
      </c>
      <c r="C15" s="199" t="s">
        <v>803</v>
      </c>
      <c r="D15" s="158" t="s">
        <v>656</v>
      </c>
      <c r="E15" s="159">
        <v>1</v>
      </c>
      <c r="F15" s="160" t="s">
        <v>20</v>
      </c>
      <c r="G15" s="160" t="s">
        <v>20</v>
      </c>
      <c r="H15" s="935">
        <f>700+100</f>
        <v>800</v>
      </c>
      <c r="I15" s="936">
        <f t="shared" ref="I15:I18" si="52">E15*H15</f>
        <v>800</v>
      </c>
      <c r="J15" s="864">
        <f t="shared" ref="J15:J18" si="53">I15*E15*12</f>
        <v>9600</v>
      </c>
      <c r="K15" s="864">
        <v>0</v>
      </c>
      <c r="L15" s="864">
        <v>0</v>
      </c>
      <c r="M15" s="864">
        <f t="shared" ref="M15:M18" si="54">I15</f>
        <v>800</v>
      </c>
      <c r="N15" s="864">
        <f t="shared" ref="N15:N18" si="55">ROUND(I15*$N$8,2)</f>
        <v>70</v>
      </c>
      <c r="O15" s="864">
        <v>0</v>
      </c>
      <c r="P15" s="864">
        <f t="shared" ref="P15:P18" si="56">ROUND((IF(I15&gt;1000,1000*$P$8,I15*$P$8)),2)*E15</f>
        <v>60</v>
      </c>
      <c r="Q15" s="864">
        <f t="shared" ref="Q15:Q18" si="57">ROUND((IF(I15&gt;1000,1000*$Q$8,I15*$Q$8)),2)</f>
        <v>8</v>
      </c>
      <c r="R15" s="864">
        <f t="shared" ref="R15:R18" si="58">SUM(N15:Q15)</f>
        <v>138</v>
      </c>
      <c r="S15" s="864">
        <f t="shared" ref="S15:S18" si="59">N15*12</f>
        <v>840</v>
      </c>
      <c r="T15" s="864">
        <f t="shared" ref="T15:T18" si="60">O15*12</f>
        <v>0</v>
      </c>
      <c r="U15" s="864">
        <f t="shared" ref="U15:U18" si="61">P15*12</f>
        <v>720</v>
      </c>
      <c r="V15" s="864">
        <f t="shared" ref="V15:V18" si="62">Q15*12</f>
        <v>96</v>
      </c>
      <c r="W15" s="864">
        <f t="shared" ref="W15:W18" si="63">SUM(S15:V15)</f>
        <v>1656</v>
      </c>
      <c r="X15" s="929">
        <f t="shared" si="39"/>
        <v>12056</v>
      </c>
      <c r="Y15" s="942"/>
      <c r="Z15" s="865"/>
      <c r="AA15" s="865"/>
      <c r="AB15" s="865"/>
      <c r="AC15" s="804">
        <f t="shared" si="25"/>
        <v>938</v>
      </c>
      <c r="AD15" s="865"/>
      <c r="AE15" s="865"/>
      <c r="AF15" s="863"/>
      <c r="AG15" s="624"/>
      <c r="AH15" s="624"/>
      <c r="AI15" s="625" t="s">
        <v>843</v>
      </c>
      <c r="AJ15" s="864">
        <f t="shared" ref="AJ15:AJ18" si="64">I15*AI15</f>
        <v>9600</v>
      </c>
      <c r="AK15" s="864"/>
      <c r="AL15" s="864"/>
      <c r="AM15" s="862">
        <f t="shared" si="40"/>
        <v>816</v>
      </c>
      <c r="AN15" s="864">
        <f t="shared" si="41"/>
        <v>0</v>
      </c>
      <c r="AO15" s="864">
        <f t="shared" si="42"/>
        <v>840</v>
      </c>
      <c r="AP15" s="864">
        <f t="shared" si="43"/>
        <v>800</v>
      </c>
      <c r="AQ15" s="864">
        <f t="shared" si="44"/>
        <v>12056</v>
      </c>
      <c r="AS15" s="866">
        <f t="shared" si="45"/>
        <v>0</v>
      </c>
      <c r="AT15" s="864">
        <f t="shared" si="46"/>
        <v>0</v>
      </c>
      <c r="AU15" s="864">
        <f t="shared" si="47"/>
        <v>0</v>
      </c>
      <c r="AV15" s="864"/>
      <c r="AW15" s="864">
        <f t="shared" si="48"/>
        <v>0</v>
      </c>
      <c r="AX15" s="864">
        <f t="shared" si="49"/>
        <v>0</v>
      </c>
      <c r="AY15" s="864">
        <f t="shared" si="50"/>
        <v>0</v>
      </c>
      <c r="AZ15" s="864">
        <v>0</v>
      </c>
      <c r="BA15" s="864">
        <f t="shared" si="51"/>
        <v>0</v>
      </c>
      <c r="BC15" s="627">
        <f t="shared" si="4"/>
        <v>770</v>
      </c>
      <c r="BE15" s="2">
        <f t="shared" si="26"/>
        <v>0</v>
      </c>
    </row>
    <row r="16" spans="1:57" s="626" customFormat="1" x14ac:dyDescent="0.2">
      <c r="A16" s="159">
        <f t="shared" ref="A16:A18" si="65">A15+1</f>
        <v>6</v>
      </c>
      <c r="B16" s="199" t="s">
        <v>799</v>
      </c>
      <c r="C16" s="199" t="s">
        <v>804</v>
      </c>
      <c r="D16" s="158" t="s">
        <v>656</v>
      </c>
      <c r="E16" s="159">
        <v>1</v>
      </c>
      <c r="F16" s="160" t="s">
        <v>20</v>
      </c>
      <c r="G16" s="160" t="s">
        <v>20</v>
      </c>
      <c r="H16" s="935">
        <v>400</v>
      </c>
      <c r="I16" s="936">
        <f t="shared" ref="I16" si="66">E16*H16</f>
        <v>400</v>
      </c>
      <c r="J16" s="864">
        <f t="shared" ref="J16" si="67">I16*E16*12</f>
        <v>4800</v>
      </c>
      <c r="K16" s="864">
        <v>0</v>
      </c>
      <c r="L16" s="864">
        <v>0</v>
      </c>
      <c r="M16" s="864">
        <f t="shared" ref="M16" si="68">I16</f>
        <v>400</v>
      </c>
      <c r="N16" s="864">
        <f t="shared" ref="N16" si="69">ROUND(I16*$N$8,2)</f>
        <v>35</v>
      </c>
      <c r="O16" s="864">
        <v>0</v>
      </c>
      <c r="P16" s="864">
        <f t="shared" ref="P16" si="70">ROUND((IF(I16&gt;1000,1000*$P$8,I16*$P$8)),2)*E16</f>
        <v>30</v>
      </c>
      <c r="Q16" s="864">
        <f t="shared" ref="Q16" si="71">ROUND((IF(I16&gt;1000,1000*$Q$8,I16*$Q$8)),2)</f>
        <v>4</v>
      </c>
      <c r="R16" s="864">
        <f t="shared" ref="R16" si="72">SUM(N16:Q16)</f>
        <v>69</v>
      </c>
      <c r="S16" s="864">
        <f t="shared" ref="S16" si="73">N16*12</f>
        <v>420</v>
      </c>
      <c r="T16" s="864">
        <f t="shared" ref="T16" si="74">O16*12</f>
        <v>0</v>
      </c>
      <c r="U16" s="864">
        <f t="shared" ref="U16" si="75">P16*12</f>
        <v>360</v>
      </c>
      <c r="V16" s="864">
        <f t="shared" ref="V16" si="76">Q16*12</f>
        <v>48</v>
      </c>
      <c r="W16" s="864">
        <f t="shared" ref="W16" si="77">SUM(S16:V16)</f>
        <v>828</v>
      </c>
      <c r="X16" s="929">
        <f t="shared" ref="X16" si="78">J16+K16+L16+M16+W16</f>
        <v>6028</v>
      </c>
      <c r="Y16" s="942"/>
      <c r="Z16" s="865"/>
      <c r="AA16" s="865"/>
      <c r="AB16" s="865"/>
      <c r="AC16" s="804">
        <f t="shared" ref="AC16" si="79">I16+R16</f>
        <v>469</v>
      </c>
      <c r="AD16" s="865"/>
      <c r="AE16" s="865"/>
      <c r="AF16" s="863"/>
      <c r="AG16" s="624"/>
      <c r="AH16" s="624"/>
      <c r="AI16" s="625" t="s">
        <v>843</v>
      </c>
      <c r="AJ16" s="864">
        <f t="shared" ref="AJ16" si="80">I16*AI16</f>
        <v>4800</v>
      </c>
      <c r="AK16" s="864"/>
      <c r="AL16" s="864"/>
      <c r="AM16" s="862">
        <f t="shared" ref="AM16" si="81">(P16+Q16)*AI16</f>
        <v>408</v>
      </c>
      <c r="AN16" s="864">
        <f t="shared" ref="AN16" si="82">AI16*O16</f>
        <v>0</v>
      </c>
      <c r="AO16" s="864">
        <f t="shared" ref="AO16" si="83">N16*AI16</f>
        <v>420</v>
      </c>
      <c r="AP16" s="864">
        <f t="shared" si="43"/>
        <v>400</v>
      </c>
      <c r="AQ16" s="864">
        <f t="shared" ref="AQ16" si="84">SUM(AJ16:AP16)</f>
        <v>6028</v>
      </c>
      <c r="AS16" s="866">
        <f t="shared" ref="AS16" si="85">12-AI16</f>
        <v>0</v>
      </c>
      <c r="AT16" s="864">
        <f t="shared" ref="AT16" si="86">I16*AS16</f>
        <v>0</v>
      </c>
      <c r="AU16" s="864">
        <f t="shared" ref="AU16" si="87">K16</f>
        <v>0</v>
      </c>
      <c r="AV16" s="864"/>
      <c r="AW16" s="864">
        <f t="shared" ref="AW16" si="88">(P16+Q16)*AS16</f>
        <v>0</v>
      </c>
      <c r="AX16" s="864">
        <f t="shared" ref="AX16" si="89">AS16*O16</f>
        <v>0</v>
      </c>
      <c r="AY16" s="864">
        <f t="shared" ref="AY16" si="90">N16*AS16</f>
        <v>0</v>
      </c>
      <c r="AZ16" s="864">
        <v>0</v>
      </c>
      <c r="BA16" s="864">
        <f t="shared" ref="BA16" si="91">SUM(AT16:AY16)</f>
        <v>0</v>
      </c>
      <c r="BC16" s="627">
        <f t="shared" ref="BC16" si="92">AO16+AY16-N16</f>
        <v>385</v>
      </c>
      <c r="BE16" s="2">
        <f t="shared" si="26"/>
        <v>0</v>
      </c>
    </row>
    <row r="17" spans="1:57" s="626" customFormat="1" ht="24" x14ac:dyDescent="0.2">
      <c r="A17" s="159">
        <f t="shared" si="65"/>
        <v>7</v>
      </c>
      <c r="B17" s="199" t="s">
        <v>654</v>
      </c>
      <c r="C17" s="199" t="s">
        <v>805</v>
      </c>
      <c r="D17" s="158" t="s">
        <v>655</v>
      </c>
      <c r="E17" s="159">
        <v>1</v>
      </c>
      <c r="F17" s="160" t="s">
        <v>20</v>
      </c>
      <c r="G17" s="160" t="s">
        <v>20</v>
      </c>
      <c r="H17" s="935">
        <f>600+100</f>
        <v>700</v>
      </c>
      <c r="I17" s="936">
        <f t="shared" ref="I17" si="93">E17*H17</f>
        <v>700</v>
      </c>
      <c r="J17" s="864">
        <f t="shared" ref="J17" si="94">I17*E17*12</f>
        <v>8400</v>
      </c>
      <c r="K17" s="864">
        <v>0</v>
      </c>
      <c r="L17" s="864">
        <v>0</v>
      </c>
      <c r="M17" s="864">
        <f t="shared" ref="M17" si="95">I17</f>
        <v>700</v>
      </c>
      <c r="N17" s="864">
        <f t="shared" ref="N17" si="96">ROUND(I17*$N$8,2)</f>
        <v>61.25</v>
      </c>
      <c r="O17" s="864">
        <v>0</v>
      </c>
      <c r="P17" s="864">
        <f t="shared" ref="P17" si="97">ROUND((IF(I17&gt;1000,1000*$P$8,I17*$P$8)),2)*E17</f>
        <v>52.5</v>
      </c>
      <c r="Q17" s="864">
        <f t="shared" ref="Q17" si="98">ROUND((IF(I17&gt;1000,1000*$Q$8,I17*$Q$8)),2)</f>
        <v>7</v>
      </c>
      <c r="R17" s="864">
        <f t="shared" ref="R17" si="99">SUM(N17:Q17)</f>
        <v>120.75</v>
      </c>
      <c r="S17" s="864">
        <f t="shared" ref="S17" si="100">N17*12</f>
        <v>735</v>
      </c>
      <c r="T17" s="864">
        <f t="shared" ref="T17" si="101">O17*12</f>
        <v>0</v>
      </c>
      <c r="U17" s="864">
        <f t="shared" ref="U17" si="102">P17*12</f>
        <v>630</v>
      </c>
      <c r="V17" s="864">
        <f t="shared" ref="V17" si="103">Q17*12</f>
        <v>84</v>
      </c>
      <c r="W17" s="864">
        <f t="shared" ref="W17" si="104">SUM(S17:V17)</f>
        <v>1449</v>
      </c>
      <c r="X17" s="929">
        <f t="shared" si="39"/>
        <v>10549</v>
      </c>
      <c r="Y17" s="942"/>
      <c r="Z17" s="865"/>
      <c r="AA17" s="865"/>
      <c r="AB17" s="865"/>
      <c r="AC17" s="804">
        <f t="shared" si="25"/>
        <v>820.75</v>
      </c>
      <c r="AD17" s="865"/>
      <c r="AE17" s="865"/>
      <c r="AF17" s="863"/>
      <c r="AG17" s="624"/>
      <c r="AH17" s="624"/>
      <c r="AI17" s="625" t="s">
        <v>843</v>
      </c>
      <c r="AJ17" s="864">
        <f t="shared" ref="AJ17" si="105">I17*AI17</f>
        <v>8400</v>
      </c>
      <c r="AK17" s="864"/>
      <c r="AL17" s="864"/>
      <c r="AM17" s="862">
        <f t="shared" si="40"/>
        <v>714</v>
      </c>
      <c r="AN17" s="864">
        <f t="shared" si="41"/>
        <v>0</v>
      </c>
      <c r="AO17" s="864">
        <f t="shared" si="42"/>
        <v>735</v>
      </c>
      <c r="AP17" s="864">
        <f t="shared" si="43"/>
        <v>700</v>
      </c>
      <c r="AQ17" s="864">
        <f t="shared" si="44"/>
        <v>10549</v>
      </c>
      <c r="AS17" s="866">
        <f t="shared" si="45"/>
        <v>0</v>
      </c>
      <c r="AT17" s="864">
        <f t="shared" si="46"/>
        <v>0</v>
      </c>
      <c r="AU17" s="864">
        <f t="shared" si="47"/>
        <v>0</v>
      </c>
      <c r="AV17" s="864"/>
      <c r="AW17" s="864">
        <f t="shared" si="48"/>
        <v>0</v>
      </c>
      <c r="AX17" s="864">
        <f t="shared" si="49"/>
        <v>0</v>
      </c>
      <c r="AY17" s="864">
        <f t="shared" si="50"/>
        <v>0</v>
      </c>
      <c r="AZ17" s="864">
        <v>0</v>
      </c>
      <c r="BA17" s="864">
        <f t="shared" si="51"/>
        <v>0</v>
      </c>
      <c r="BC17" s="627">
        <f t="shared" si="4"/>
        <v>673.75</v>
      </c>
      <c r="BE17" s="2">
        <f t="shared" si="26"/>
        <v>0</v>
      </c>
    </row>
    <row r="18" spans="1:57" s="46" customFormat="1" x14ac:dyDescent="0.2">
      <c r="A18" s="159">
        <f t="shared" si="65"/>
        <v>8</v>
      </c>
      <c r="B18" s="30" t="s">
        <v>351</v>
      </c>
      <c r="C18" s="30" t="s">
        <v>818</v>
      </c>
      <c r="D18" s="115" t="s">
        <v>504</v>
      </c>
      <c r="E18" s="116">
        <v>1</v>
      </c>
      <c r="F18" s="117" t="s">
        <v>20</v>
      </c>
      <c r="G18" s="117" t="s">
        <v>20</v>
      </c>
      <c r="H18" s="930">
        <v>600</v>
      </c>
      <c r="I18" s="931">
        <f t="shared" si="52"/>
        <v>600</v>
      </c>
      <c r="J18" s="862">
        <f t="shared" si="53"/>
        <v>7200</v>
      </c>
      <c r="K18" s="862">
        <v>0</v>
      </c>
      <c r="L18" s="862">
        <v>0</v>
      </c>
      <c r="M18" s="862">
        <f t="shared" si="54"/>
        <v>600</v>
      </c>
      <c r="N18" s="862">
        <f t="shared" si="55"/>
        <v>52.5</v>
      </c>
      <c r="O18" s="862">
        <v>0</v>
      </c>
      <c r="P18" s="862">
        <f t="shared" si="56"/>
        <v>45</v>
      </c>
      <c r="Q18" s="862">
        <f t="shared" si="57"/>
        <v>6</v>
      </c>
      <c r="R18" s="862">
        <f t="shared" si="58"/>
        <v>103.5</v>
      </c>
      <c r="S18" s="862">
        <f t="shared" si="59"/>
        <v>630</v>
      </c>
      <c r="T18" s="862">
        <f t="shared" si="60"/>
        <v>0</v>
      </c>
      <c r="U18" s="862">
        <f t="shared" si="61"/>
        <v>540</v>
      </c>
      <c r="V18" s="862">
        <f t="shared" si="62"/>
        <v>72</v>
      </c>
      <c r="W18" s="862">
        <f t="shared" si="63"/>
        <v>1242</v>
      </c>
      <c r="X18" s="929">
        <f t="shared" si="39"/>
        <v>9042</v>
      </c>
      <c r="Y18" s="641"/>
      <c r="Z18" s="641"/>
      <c r="AA18" s="641"/>
      <c r="AB18" s="641"/>
      <c r="AC18" s="641">
        <f t="shared" si="25"/>
        <v>703.5</v>
      </c>
      <c r="AD18" s="641"/>
      <c r="AE18" s="641"/>
      <c r="AF18" s="638"/>
      <c r="AG18" s="11"/>
      <c r="AH18" s="11"/>
      <c r="AI18" s="233" t="s">
        <v>842</v>
      </c>
      <c r="AJ18" s="119">
        <f t="shared" si="64"/>
        <v>0</v>
      </c>
      <c r="AK18" s="119"/>
      <c r="AL18" s="119"/>
      <c r="AM18" s="119">
        <f t="shared" si="40"/>
        <v>0</v>
      </c>
      <c r="AN18" s="119">
        <f t="shared" si="41"/>
        <v>0</v>
      </c>
      <c r="AO18" s="119">
        <f t="shared" si="42"/>
        <v>0</v>
      </c>
      <c r="AP18" s="864">
        <f t="shared" si="43"/>
        <v>600</v>
      </c>
      <c r="AQ18" s="119">
        <f t="shared" si="44"/>
        <v>600</v>
      </c>
      <c r="AS18" s="232">
        <f t="shared" si="45"/>
        <v>12</v>
      </c>
      <c r="AT18" s="119">
        <f t="shared" si="46"/>
        <v>7200</v>
      </c>
      <c r="AU18" s="119">
        <f t="shared" si="47"/>
        <v>0</v>
      </c>
      <c r="AV18" s="119"/>
      <c r="AW18" s="119">
        <f t="shared" si="48"/>
        <v>612</v>
      </c>
      <c r="AX18" s="119">
        <f t="shared" si="49"/>
        <v>0</v>
      </c>
      <c r="AY18" s="119">
        <f t="shared" si="50"/>
        <v>630</v>
      </c>
      <c r="AZ18" s="119">
        <v>0</v>
      </c>
      <c r="BA18" s="119">
        <f t="shared" si="51"/>
        <v>8442</v>
      </c>
      <c r="BC18" s="197">
        <f t="shared" si="4"/>
        <v>577.5</v>
      </c>
      <c r="BE18" s="2">
        <f t="shared" si="26"/>
        <v>0</v>
      </c>
    </row>
    <row r="19" spans="1:57" x14ac:dyDescent="0.2">
      <c r="A19" s="159">
        <f t="shared" ref="A19:A23" si="106">A18+1</f>
        <v>9</v>
      </c>
      <c r="B19" s="30" t="s">
        <v>657</v>
      </c>
      <c r="C19" s="30"/>
      <c r="D19" s="115" t="s">
        <v>657</v>
      </c>
      <c r="E19" s="116">
        <v>1</v>
      </c>
      <c r="F19" s="117" t="s">
        <v>20</v>
      </c>
      <c r="G19" s="117" t="s">
        <v>20</v>
      </c>
      <c r="H19" s="930">
        <v>0</v>
      </c>
      <c r="I19" s="931">
        <f t="shared" si="6"/>
        <v>0</v>
      </c>
      <c r="J19" s="862">
        <f t="shared" si="7"/>
        <v>0</v>
      </c>
      <c r="K19" s="862">
        <v>0</v>
      </c>
      <c r="L19" s="862">
        <v>0</v>
      </c>
      <c r="M19" s="862">
        <f t="shared" si="8"/>
        <v>0</v>
      </c>
      <c r="N19" s="862">
        <f t="shared" si="30"/>
        <v>0</v>
      </c>
      <c r="O19" s="862">
        <v>0</v>
      </c>
      <c r="P19" s="862">
        <f t="shared" si="31"/>
        <v>0</v>
      </c>
      <c r="Q19" s="862">
        <f t="shared" si="32"/>
        <v>0</v>
      </c>
      <c r="R19" s="862">
        <f t="shared" si="33"/>
        <v>0</v>
      </c>
      <c r="S19" s="862">
        <f t="shared" si="34"/>
        <v>0</v>
      </c>
      <c r="T19" s="862">
        <f t="shared" si="35"/>
        <v>0</v>
      </c>
      <c r="U19" s="862">
        <f t="shared" si="36"/>
        <v>0</v>
      </c>
      <c r="V19" s="862">
        <f t="shared" si="37"/>
        <v>0</v>
      </c>
      <c r="W19" s="862">
        <f t="shared" si="38"/>
        <v>0</v>
      </c>
      <c r="X19" s="929">
        <f t="shared" si="39"/>
        <v>0</v>
      </c>
      <c r="Y19" s="641"/>
      <c r="Z19" s="641"/>
      <c r="AA19" s="641"/>
      <c r="AB19" s="641"/>
      <c r="AC19" s="641">
        <f t="shared" si="25"/>
        <v>0</v>
      </c>
      <c r="AD19" s="641"/>
      <c r="AE19" s="641"/>
      <c r="AF19" s="638"/>
      <c r="AG19" s="11"/>
      <c r="AH19" s="11"/>
      <c r="AI19" s="233" t="s">
        <v>842</v>
      </c>
      <c r="AJ19" s="119">
        <f t="shared" si="9"/>
        <v>0</v>
      </c>
      <c r="AK19" s="119"/>
      <c r="AL19" s="119"/>
      <c r="AM19" s="119">
        <f t="shared" si="40"/>
        <v>0</v>
      </c>
      <c r="AN19" s="119">
        <f t="shared" si="41"/>
        <v>0</v>
      </c>
      <c r="AO19" s="119">
        <f t="shared" si="42"/>
        <v>0</v>
      </c>
      <c r="AP19" s="864">
        <f t="shared" si="43"/>
        <v>0</v>
      </c>
      <c r="AQ19" s="119">
        <f t="shared" si="44"/>
        <v>0</v>
      </c>
      <c r="AS19" s="232">
        <f t="shared" si="45"/>
        <v>12</v>
      </c>
      <c r="AT19" s="119">
        <f t="shared" si="46"/>
        <v>0</v>
      </c>
      <c r="AU19" s="119">
        <f t="shared" si="47"/>
        <v>0</v>
      </c>
      <c r="AV19" s="119"/>
      <c r="AW19" s="119">
        <f t="shared" si="48"/>
        <v>0</v>
      </c>
      <c r="AX19" s="119">
        <f t="shared" si="49"/>
        <v>0</v>
      </c>
      <c r="AY19" s="119">
        <f t="shared" si="50"/>
        <v>0</v>
      </c>
      <c r="AZ19" s="119">
        <v>0</v>
      </c>
      <c r="BA19" s="119">
        <f t="shared" si="51"/>
        <v>0</v>
      </c>
      <c r="BC19" s="197">
        <f t="shared" si="4"/>
        <v>0</v>
      </c>
      <c r="BE19" s="2">
        <f t="shared" si="26"/>
        <v>0</v>
      </c>
    </row>
    <row r="20" spans="1:57" s="46" customFormat="1" ht="12.75" customHeight="1" x14ac:dyDescent="0.2">
      <c r="A20" s="159">
        <f t="shared" si="106"/>
        <v>10</v>
      </c>
      <c r="B20" s="72" t="s">
        <v>393</v>
      </c>
      <c r="C20" s="72"/>
      <c r="D20" s="115" t="s">
        <v>393</v>
      </c>
      <c r="E20" s="116">
        <v>1</v>
      </c>
      <c r="F20" s="117" t="s">
        <v>20</v>
      </c>
      <c r="G20" s="117" t="s">
        <v>20</v>
      </c>
      <c r="H20" s="930">
        <v>0</v>
      </c>
      <c r="I20" s="931">
        <f t="shared" ref="I20:I22" si="107">E20*H20</f>
        <v>0</v>
      </c>
      <c r="J20" s="931">
        <f>I20*E20*12</f>
        <v>0</v>
      </c>
      <c r="K20" s="931">
        <v>0</v>
      </c>
      <c r="L20" s="931">
        <v>0</v>
      </c>
      <c r="M20" s="862">
        <f t="shared" ref="M20:M22" si="108">I20</f>
        <v>0</v>
      </c>
      <c r="N20" s="862">
        <f t="shared" si="30"/>
        <v>0</v>
      </c>
      <c r="O20" s="937">
        <v>0</v>
      </c>
      <c r="P20" s="862">
        <f t="shared" si="31"/>
        <v>0</v>
      </c>
      <c r="Q20" s="862">
        <f t="shared" si="32"/>
        <v>0</v>
      </c>
      <c r="R20" s="862">
        <f t="shared" ref="R20:R22" si="109">SUM(N20:Q20)</f>
        <v>0</v>
      </c>
      <c r="S20" s="862">
        <f t="shared" si="34"/>
        <v>0</v>
      </c>
      <c r="T20" s="862">
        <f t="shared" si="35"/>
        <v>0</v>
      </c>
      <c r="U20" s="862">
        <f t="shared" si="36"/>
        <v>0</v>
      </c>
      <c r="V20" s="862">
        <f t="shared" si="37"/>
        <v>0</v>
      </c>
      <c r="W20" s="862">
        <f t="shared" si="38"/>
        <v>0</v>
      </c>
      <c r="X20" s="929">
        <f t="shared" si="39"/>
        <v>0</v>
      </c>
      <c r="Y20" s="641"/>
      <c r="Z20" s="641"/>
      <c r="AA20" s="641"/>
      <c r="AB20" s="641"/>
      <c r="AC20" s="641">
        <f t="shared" si="25"/>
        <v>0</v>
      </c>
      <c r="AD20" s="641"/>
      <c r="AE20" s="641"/>
      <c r="AF20" s="638"/>
      <c r="AG20" s="11"/>
      <c r="AH20" s="11"/>
      <c r="AI20" s="233" t="s">
        <v>842</v>
      </c>
      <c r="AJ20" s="119">
        <f t="shared" ref="AJ20:AJ22" si="110">I20*AI20</f>
        <v>0</v>
      </c>
      <c r="AK20" s="119"/>
      <c r="AL20" s="119"/>
      <c r="AM20" s="119">
        <f t="shared" si="40"/>
        <v>0</v>
      </c>
      <c r="AN20" s="119">
        <f t="shared" si="41"/>
        <v>0</v>
      </c>
      <c r="AO20" s="119">
        <f t="shared" si="42"/>
        <v>0</v>
      </c>
      <c r="AP20" s="864">
        <f t="shared" si="43"/>
        <v>0</v>
      </c>
      <c r="AQ20" s="119">
        <f t="shared" si="44"/>
        <v>0</v>
      </c>
      <c r="AS20" s="232">
        <f t="shared" si="45"/>
        <v>12</v>
      </c>
      <c r="AT20" s="119">
        <f t="shared" si="46"/>
        <v>0</v>
      </c>
      <c r="AU20" s="119">
        <f t="shared" si="47"/>
        <v>0</v>
      </c>
      <c r="AV20" s="119">
        <f>L20</f>
        <v>0</v>
      </c>
      <c r="AW20" s="119">
        <f t="shared" si="48"/>
        <v>0</v>
      </c>
      <c r="AX20" s="119">
        <f t="shared" si="49"/>
        <v>0</v>
      </c>
      <c r="AY20" s="119">
        <f t="shared" si="50"/>
        <v>0</v>
      </c>
      <c r="AZ20" s="119">
        <v>0</v>
      </c>
      <c r="BA20" s="119">
        <f t="shared" si="51"/>
        <v>0</v>
      </c>
      <c r="BC20" s="197">
        <f t="shared" si="4"/>
        <v>0</v>
      </c>
      <c r="BE20" s="2">
        <f t="shared" si="26"/>
        <v>0</v>
      </c>
    </row>
    <row r="21" spans="1:57" s="46" customFormat="1" ht="12.75" customHeight="1" x14ac:dyDescent="0.2">
      <c r="A21" s="159">
        <f t="shared" si="106"/>
        <v>11</v>
      </c>
      <c r="B21" s="72" t="s">
        <v>400</v>
      </c>
      <c r="C21" s="72" t="s">
        <v>819</v>
      </c>
      <c r="D21" s="115" t="s">
        <v>506</v>
      </c>
      <c r="E21" s="116">
        <v>1</v>
      </c>
      <c r="F21" s="117" t="s">
        <v>20</v>
      </c>
      <c r="G21" s="117" t="s">
        <v>20</v>
      </c>
      <c r="H21" s="930">
        <v>400</v>
      </c>
      <c r="I21" s="931">
        <f t="shared" si="107"/>
        <v>400</v>
      </c>
      <c r="J21" s="862">
        <f t="shared" ref="J21:J22" si="111">I21*E21*12</f>
        <v>4800</v>
      </c>
      <c r="K21" s="862">
        <v>0</v>
      </c>
      <c r="L21" s="862">
        <v>0</v>
      </c>
      <c r="M21" s="862">
        <f t="shared" si="108"/>
        <v>400</v>
      </c>
      <c r="N21" s="862">
        <f t="shared" si="30"/>
        <v>35</v>
      </c>
      <c r="O21" s="937">
        <v>0</v>
      </c>
      <c r="P21" s="862">
        <f t="shared" si="31"/>
        <v>30</v>
      </c>
      <c r="Q21" s="862">
        <f t="shared" si="32"/>
        <v>4</v>
      </c>
      <c r="R21" s="862">
        <f t="shared" si="109"/>
        <v>69</v>
      </c>
      <c r="S21" s="862">
        <f t="shared" si="34"/>
        <v>420</v>
      </c>
      <c r="T21" s="862">
        <f t="shared" si="35"/>
        <v>0</v>
      </c>
      <c r="U21" s="862">
        <f t="shared" si="36"/>
        <v>360</v>
      </c>
      <c r="V21" s="862">
        <f t="shared" si="37"/>
        <v>48</v>
      </c>
      <c r="W21" s="862">
        <f t="shared" si="38"/>
        <v>828</v>
      </c>
      <c r="X21" s="929">
        <f t="shared" si="39"/>
        <v>6028</v>
      </c>
      <c r="Y21" s="641"/>
      <c r="Z21" s="641"/>
      <c r="AA21" s="641"/>
      <c r="AB21" s="641"/>
      <c r="AC21" s="641">
        <f t="shared" si="25"/>
        <v>469</v>
      </c>
      <c r="AD21" s="641"/>
      <c r="AE21" s="641"/>
      <c r="AF21" s="638"/>
      <c r="AG21" s="11"/>
      <c r="AH21" s="11"/>
      <c r="AI21" s="233" t="s">
        <v>842</v>
      </c>
      <c r="AJ21" s="119">
        <f t="shared" si="110"/>
        <v>0</v>
      </c>
      <c r="AK21" s="119"/>
      <c r="AL21" s="119"/>
      <c r="AM21" s="119">
        <f t="shared" si="40"/>
        <v>0</v>
      </c>
      <c r="AN21" s="119">
        <f t="shared" si="41"/>
        <v>0</v>
      </c>
      <c r="AO21" s="119">
        <f t="shared" si="42"/>
        <v>0</v>
      </c>
      <c r="AP21" s="864">
        <f t="shared" si="43"/>
        <v>400</v>
      </c>
      <c r="AQ21" s="119">
        <f t="shared" si="44"/>
        <v>400</v>
      </c>
      <c r="AS21" s="232">
        <f t="shared" si="45"/>
        <v>12</v>
      </c>
      <c r="AT21" s="119">
        <f t="shared" si="46"/>
        <v>4800</v>
      </c>
      <c r="AU21" s="119">
        <f t="shared" si="47"/>
        <v>0</v>
      </c>
      <c r="AV21" s="119"/>
      <c r="AW21" s="119">
        <f t="shared" si="48"/>
        <v>408</v>
      </c>
      <c r="AX21" s="119">
        <f t="shared" si="49"/>
        <v>0</v>
      </c>
      <c r="AY21" s="119">
        <f t="shared" si="50"/>
        <v>420</v>
      </c>
      <c r="AZ21" s="119">
        <v>0</v>
      </c>
      <c r="BA21" s="119">
        <f t="shared" si="51"/>
        <v>5628</v>
      </c>
      <c r="BC21" s="197">
        <f t="shared" si="4"/>
        <v>385</v>
      </c>
      <c r="BE21" s="2">
        <f t="shared" si="26"/>
        <v>0</v>
      </c>
    </row>
    <row r="22" spans="1:57" s="46" customFormat="1" ht="12.75" customHeight="1" x14ac:dyDescent="0.2">
      <c r="A22" s="159">
        <f t="shared" si="106"/>
        <v>12</v>
      </c>
      <c r="B22" s="72" t="s">
        <v>658</v>
      </c>
      <c r="C22" s="938" t="s">
        <v>820</v>
      </c>
      <c r="D22" s="115" t="s">
        <v>604</v>
      </c>
      <c r="E22" s="116">
        <v>1</v>
      </c>
      <c r="F22" s="117" t="s">
        <v>20</v>
      </c>
      <c r="G22" s="117" t="s">
        <v>20</v>
      </c>
      <c r="H22" s="930">
        <v>500</v>
      </c>
      <c r="I22" s="931">
        <f t="shared" si="107"/>
        <v>500</v>
      </c>
      <c r="J22" s="862">
        <f t="shared" si="111"/>
        <v>6000</v>
      </c>
      <c r="K22" s="862">
        <v>0</v>
      </c>
      <c r="L22" s="862">
        <v>0</v>
      </c>
      <c r="M22" s="862">
        <f t="shared" si="108"/>
        <v>500</v>
      </c>
      <c r="N22" s="862">
        <f t="shared" ref="N22" si="112">ROUND(I22*$N$8,2)</f>
        <v>43.75</v>
      </c>
      <c r="O22" s="937">
        <v>0</v>
      </c>
      <c r="P22" s="862">
        <f t="shared" ref="P22" si="113">ROUND((IF(I22&gt;1000,1000*$P$8,I22*$P$8)),2)*E22</f>
        <v>37.5</v>
      </c>
      <c r="Q22" s="862">
        <f t="shared" ref="Q22" si="114">ROUND((IF(I22&gt;1000,1000*$Q$8,I22*$Q$8)),2)</f>
        <v>5</v>
      </c>
      <c r="R22" s="862">
        <f t="shared" si="109"/>
        <v>86.25</v>
      </c>
      <c r="S22" s="862">
        <f t="shared" ref="S22" si="115">N22*12</f>
        <v>525</v>
      </c>
      <c r="T22" s="862">
        <f t="shared" ref="T22" si="116">O22*12</f>
        <v>0</v>
      </c>
      <c r="U22" s="862">
        <f t="shared" ref="U22" si="117">P22*12</f>
        <v>450</v>
      </c>
      <c r="V22" s="862">
        <f t="shared" ref="V22" si="118">Q22*12</f>
        <v>60</v>
      </c>
      <c r="W22" s="862">
        <f t="shared" ref="W22" si="119">SUM(S22:V22)</f>
        <v>1035</v>
      </c>
      <c r="X22" s="929">
        <f t="shared" si="39"/>
        <v>7535</v>
      </c>
      <c r="Y22" s="641"/>
      <c r="Z22" s="641"/>
      <c r="AA22" s="641"/>
      <c r="AB22" s="641"/>
      <c r="AC22" s="641">
        <f t="shared" si="25"/>
        <v>586.25</v>
      </c>
      <c r="AD22" s="641"/>
      <c r="AE22" s="641"/>
      <c r="AF22" s="638"/>
      <c r="AG22" s="11"/>
      <c r="AH22" s="11"/>
      <c r="AI22" s="233" t="s">
        <v>842</v>
      </c>
      <c r="AJ22" s="119">
        <f t="shared" si="110"/>
        <v>0</v>
      </c>
      <c r="AK22" s="119"/>
      <c r="AL22" s="119"/>
      <c r="AM22" s="119">
        <f t="shared" si="40"/>
        <v>0</v>
      </c>
      <c r="AN22" s="119">
        <f t="shared" si="41"/>
        <v>0</v>
      </c>
      <c r="AO22" s="119">
        <f t="shared" si="42"/>
        <v>0</v>
      </c>
      <c r="AP22" s="864">
        <f t="shared" si="43"/>
        <v>500</v>
      </c>
      <c r="AQ22" s="119">
        <f t="shared" si="44"/>
        <v>500</v>
      </c>
      <c r="AS22" s="232">
        <f t="shared" si="45"/>
        <v>12</v>
      </c>
      <c r="AT22" s="119">
        <f t="shared" si="46"/>
        <v>6000</v>
      </c>
      <c r="AU22" s="119">
        <f t="shared" si="47"/>
        <v>0</v>
      </c>
      <c r="AV22" s="119"/>
      <c r="AW22" s="119">
        <f t="shared" si="48"/>
        <v>510</v>
      </c>
      <c r="AX22" s="119">
        <f t="shared" si="49"/>
        <v>0</v>
      </c>
      <c r="AY22" s="119">
        <f t="shared" si="50"/>
        <v>525</v>
      </c>
      <c r="AZ22" s="119">
        <v>0</v>
      </c>
      <c r="BA22" s="119">
        <f t="shared" si="51"/>
        <v>7035</v>
      </c>
      <c r="BC22" s="197">
        <f t="shared" si="4"/>
        <v>481.25</v>
      </c>
      <c r="BE22" s="2">
        <f t="shared" si="26"/>
        <v>0</v>
      </c>
    </row>
    <row r="23" spans="1:57" s="46" customFormat="1" ht="12.75" customHeight="1" x14ac:dyDescent="0.2">
      <c r="A23" s="159">
        <f t="shared" si="106"/>
        <v>13</v>
      </c>
      <c r="B23" s="72" t="s">
        <v>659</v>
      </c>
      <c r="C23" s="72"/>
      <c r="D23" s="115" t="s">
        <v>660</v>
      </c>
      <c r="E23" s="116">
        <v>1</v>
      </c>
      <c r="F23" s="117" t="s">
        <v>20</v>
      </c>
      <c r="G23" s="117" t="s">
        <v>20</v>
      </c>
      <c r="H23" s="930">
        <v>0</v>
      </c>
      <c r="I23" s="931">
        <f t="shared" si="6"/>
        <v>0</v>
      </c>
      <c r="J23" s="939">
        <f t="shared" si="7"/>
        <v>0</v>
      </c>
      <c r="K23" s="862">
        <v>0</v>
      </c>
      <c r="L23" s="862">
        <v>0</v>
      </c>
      <c r="M23" s="862">
        <f t="shared" si="8"/>
        <v>0</v>
      </c>
      <c r="N23" s="862">
        <f t="shared" si="30"/>
        <v>0</v>
      </c>
      <c r="O23" s="937">
        <v>0</v>
      </c>
      <c r="P23" s="862">
        <f t="shared" si="31"/>
        <v>0</v>
      </c>
      <c r="Q23" s="862">
        <f t="shared" si="32"/>
        <v>0</v>
      </c>
      <c r="R23" s="862">
        <f t="shared" si="33"/>
        <v>0</v>
      </c>
      <c r="S23" s="862">
        <f t="shared" si="34"/>
        <v>0</v>
      </c>
      <c r="T23" s="862">
        <f t="shared" si="35"/>
        <v>0</v>
      </c>
      <c r="U23" s="862">
        <f t="shared" si="36"/>
        <v>0</v>
      </c>
      <c r="V23" s="862">
        <f t="shared" si="37"/>
        <v>0</v>
      </c>
      <c r="W23" s="862">
        <f t="shared" si="38"/>
        <v>0</v>
      </c>
      <c r="X23" s="929">
        <f t="shared" si="39"/>
        <v>0</v>
      </c>
      <c r="Y23" s="641"/>
      <c r="Z23" s="641"/>
      <c r="AA23" s="641"/>
      <c r="AB23" s="641"/>
      <c r="AC23" s="641">
        <f t="shared" si="25"/>
        <v>0</v>
      </c>
      <c r="AD23" s="641"/>
      <c r="AE23" s="641"/>
      <c r="AF23" s="638"/>
      <c r="AG23" s="11"/>
      <c r="AH23" s="11"/>
      <c r="AI23" s="233" t="s">
        <v>842</v>
      </c>
      <c r="AJ23" s="119">
        <f t="shared" si="9"/>
        <v>0</v>
      </c>
      <c r="AK23" s="119"/>
      <c r="AL23" s="119"/>
      <c r="AM23" s="119">
        <f t="shared" si="40"/>
        <v>0</v>
      </c>
      <c r="AN23" s="119">
        <f t="shared" si="41"/>
        <v>0</v>
      </c>
      <c r="AO23" s="119">
        <f t="shared" si="42"/>
        <v>0</v>
      </c>
      <c r="AP23" s="864">
        <f t="shared" si="43"/>
        <v>0</v>
      </c>
      <c r="AQ23" s="119">
        <f t="shared" si="44"/>
        <v>0</v>
      </c>
      <c r="AS23" s="232">
        <f t="shared" si="45"/>
        <v>12</v>
      </c>
      <c r="AT23" s="119">
        <f t="shared" si="46"/>
        <v>0</v>
      </c>
      <c r="AU23" s="119">
        <f t="shared" si="47"/>
        <v>0</v>
      </c>
      <c r="AV23" s="119"/>
      <c r="AW23" s="119">
        <f t="shared" si="48"/>
        <v>0</v>
      </c>
      <c r="AX23" s="119">
        <f t="shared" si="49"/>
        <v>0</v>
      </c>
      <c r="AY23" s="119">
        <f t="shared" si="50"/>
        <v>0</v>
      </c>
      <c r="AZ23" s="119">
        <f t="shared" ref="AZ23" si="120">M23</f>
        <v>0</v>
      </c>
      <c r="BA23" s="119">
        <f t="shared" si="51"/>
        <v>0</v>
      </c>
      <c r="BC23" s="197">
        <f t="shared" si="4"/>
        <v>0</v>
      </c>
      <c r="BE23" s="2">
        <f t="shared" si="26"/>
        <v>0</v>
      </c>
    </row>
    <row r="24" spans="1:57" ht="13.5" thickBot="1" x14ac:dyDescent="0.25">
      <c r="A24" s="126"/>
      <c r="B24" s="50" t="s">
        <v>384</v>
      </c>
      <c r="C24" s="50"/>
      <c r="D24" s="121"/>
      <c r="E24" s="122">
        <f>SUM(E14:E23)</f>
        <v>10</v>
      </c>
      <c r="F24" s="123"/>
      <c r="G24" s="123"/>
      <c r="H24" s="123"/>
      <c r="I24" s="932">
        <f t="shared" ref="I24:X24" si="121">SUM(I14:I23)</f>
        <v>4100</v>
      </c>
      <c r="J24" s="932">
        <f t="shared" si="121"/>
        <v>49200</v>
      </c>
      <c r="K24" s="932">
        <f t="shared" si="121"/>
        <v>0</v>
      </c>
      <c r="L24" s="932">
        <f t="shared" si="121"/>
        <v>0</v>
      </c>
      <c r="M24" s="932">
        <f t="shared" si="121"/>
        <v>4100</v>
      </c>
      <c r="N24" s="932">
        <f t="shared" si="121"/>
        <v>358.75</v>
      </c>
      <c r="O24" s="932">
        <f t="shared" si="121"/>
        <v>0</v>
      </c>
      <c r="P24" s="932">
        <f t="shared" si="121"/>
        <v>307.5</v>
      </c>
      <c r="Q24" s="932">
        <f t="shared" si="121"/>
        <v>41</v>
      </c>
      <c r="R24" s="932">
        <f t="shared" si="121"/>
        <v>707.25</v>
      </c>
      <c r="S24" s="932">
        <f t="shared" si="121"/>
        <v>4305</v>
      </c>
      <c r="T24" s="932">
        <f t="shared" si="121"/>
        <v>0</v>
      </c>
      <c r="U24" s="932">
        <f t="shared" si="121"/>
        <v>3690</v>
      </c>
      <c r="V24" s="932">
        <f t="shared" si="121"/>
        <v>492</v>
      </c>
      <c r="W24" s="932">
        <f t="shared" si="121"/>
        <v>8487</v>
      </c>
      <c r="X24" s="933">
        <f t="shared" si="121"/>
        <v>61787</v>
      </c>
      <c r="Y24" s="642"/>
      <c r="Z24" s="642"/>
      <c r="AA24" s="642"/>
      <c r="AB24" s="642"/>
      <c r="AC24" s="646">
        <f t="shared" si="25"/>
        <v>4807.25</v>
      </c>
      <c r="AD24" s="642"/>
      <c r="AE24" s="642"/>
      <c r="AF24" s="638">
        <v>47547.56</v>
      </c>
      <c r="AG24" s="11">
        <f>X24-AF24</f>
        <v>14239.440000000002</v>
      </c>
      <c r="AH24" s="11"/>
      <c r="AI24" s="240"/>
      <c r="AJ24" s="240">
        <f>SUM(AJ14:AJ23)</f>
        <v>31200</v>
      </c>
      <c r="AK24" s="240">
        <f t="shared" ref="AK24:AQ24" si="122">SUM(AK14:AK23)</f>
        <v>0</v>
      </c>
      <c r="AL24" s="240">
        <f t="shared" si="122"/>
        <v>0</v>
      </c>
      <c r="AM24" s="240">
        <f>SUM(AM14:AM23)</f>
        <v>2652</v>
      </c>
      <c r="AN24" s="240">
        <f t="shared" si="122"/>
        <v>0</v>
      </c>
      <c r="AO24" s="240">
        <f t="shared" si="122"/>
        <v>2730</v>
      </c>
      <c r="AP24" s="240">
        <f t="shared" si="122"/>
        <v>4100</v>
      </c>
      <c r="AQ24" s="240">
        <f t="shared" si="122"/>
        <v>40682</v>
      </c>
      <c r="AR24" s="2">
        <f>+AQ13+AQ24</f>
        <v>40682</v>
      </c>
      <c r="AS24" s="240"/>
      <c r="AT24" s="240">
        <f t="shared" ref="AT24:BA24" si="123">SUM(AT14:AT23)</f>
        <v>18000</v>
      </c>
      <c r="AU24" s="240">
        <f t="shared" si="123"/>
        <v>0</v>
      </c>
      <c r="AV24" s="240">
        <f t="shared" si="123"/>
        <v>0</v>
      </c>
      <c r="AW24" s="240">
        <f t="shared" si="123"/>
        <v>1530</v>
      </c>
      <c r="AX24" s="240">
        <f t="shared" si="123"/>
        <v>0</v>
      </c>
      <c r="AY24" s="240">
        <f t="shared" si="123"/>
        <v>1575</v>
      </c>
      <c r="AZ24" s="240">
        <f t="shared" si="123"/>
        <v>0</v>
      </c>
      <c r="BA24" s="240">
        <f t="shared" si="123"/>
        <v>21105</v>
      </c>
      <c r="BC24" s="197">
        <f t="shared" si="4"/>
        <v>3946.25</v>
      </c>
      <c r="BE24" s="2">
        <f t="shared" si="26"/>
        <v>0</v>
      </c>
    </row>
    <row r="25" spans="1:57" ht="14.25" thickTop="1" thickBot="1" x14ac:dyDescent="0.25">
      <c r="A25" s="126"/>
      <c r="B25" s="50" t="s">
        <v>661</v>
      </c>
      <c r="C25" s="50"/>
      <c r="D25" s="121"/>
      <c r="E25" s="122">
        <f>E11+E13+E24</f>
        <v>13</v>
      </c>
      <c r="F25" s="123"/>
      <c r="G25" s="123"/>
      <c r="H25" s="123"/>
      <c r="I25" s="932">
        <f t="shared" ref="I25:X25" si="124">I11+I13+I24</f>
        <v>7950</v>
      </c>
      <c r="J25" s="932">
        <f t="shared" si="124"/>
        <v>95400</v>
      </c>
      <c r="K25" s="932">
        <f t="shared" si="124"/>
        <v>0</v>
      </c>
      <c r="L25" s="932">
        <f t="shared" si="124"/>
        <v>0</v>
      </c>
      <c r="M25" s="932">
        <f t="shared" si="124"/>
        <v>7950</v>
      </c>
      <c r="N25" s="932">
        <f t="shared" si="124"/>
        <v>695.63</v>
      </c>
      <c r="O25" s="932">
        <f t="shared" si="124"/>
        <v>0</v>
      </c>
      <c r="P25" s="932">
        <f t="shared" si="124"/>
        <v>457.5</v>
      </c>
      <c r="Q25" s="932">
        <f t="shared" si="124"/>
        <v>61</v>
      </c>
      <c r="R25" s="932">
        <f t="shared" si="124"/>
        <v>1214.1300000000001</v>
      </c>
      <c r="S25" s="932">
        <f t="shared" si="124"/>
        <v>8347.56</v>
      </c>
      <c r="T25" s="932">
        <f t="shared" si="124"/>
        <v>0</v>
      </c>
      <c r="U25" s="932">
        <f t="shared" si="124"/>
        <v>5490</v>
      </c>
      <c r="V25" s="932">
        <f t="shared" si="124"/>
        <v>732</v>
      </c>
      <c r="W25" s="932">
        <f t="shared" si="124"/>
        <v>14569.56</v>
      </c>
      <c r="X25" s="933">
        <f t="shared" si="124"/>
        <v>117919.56</v>
      </c>
      <c r="Y25" s="642"/>
      <c r="Z25" s="642"/>
      <c r="AA25" s="642"/>
      <c r="AB25" s="642"/>
      <c r="AC25" s="641">
        <f t="shared" si="25"/>
        <v>9164.130000000001</v>
      </c>
      <c r="AD25" s="642"/>
      <c r="AE25" s="642"/>
      <c r="AF25" s="638">
        <v>113040.12</v>
      </c>
      <c r="AG25" s="11">
        <f>X25-AF25</f>
        <v>4879.4400000000023</v>
      </c>
      <c r="AH25" s="11"/>
      <c r="AI25" s="240"/>
      <c r="AJ25" s="240">
        <f t="shared" ref="AJ25:AQ25" si="125">AJ11+AJ13+AJ24</f>
        <v>45000</v>
      </c>
      <c r="AK25" s="240">
        <f t="shared" si="125"/>
        <v>0</v>
      </c>
      <c r="AL25" s="240">
        <f t="shared" si="125"/>
        <v>0</v>
      </c>
      <c r="AM25" s="240">
        <f>AM11+AM13+AM24</f>
        <v>3672</v>
      </c>
      <c r="AN25" s="240">
        <f t="shared" si="125"/>
        <v>0</v>
      </c>
      <c r="AO25" s="240">
        <f t="shared" si="125"/>
        <v>3937.56</v>
      </c>
      <c r="AP25" s="240">
        <f t="shared" si="125"/>
        <v>7950</v>
      </c>
      <c r="AQ25" s="240">
        <f t="shared" si="125"/>
        <v>60559.56</v>
      </c>
      <c r="AS25" s="240"/>
      <c r="AT25" s="240">
        <f t="shared" ref="AT25:BA25" si="126">AT11+AT13+AT24</f>
        <v>50400</v>
      </c>
      <c r="AU25" s="240">
        <f t="shared" si="126"/>
        <v>0</v>
      </c>
      <c r="AV25" s="240">
        <f t="shared" si="126"/>
        <v>0</v>
      </c>
      <c r="AW25" s="240">
        <f t="shared" si="126"/>
        <v>2550</v>
      </c>
      <c r="AX25" s="240">
        <f t="shared" si="126"/>
        <v>0</v>
      </c>
      <c r="AY25" s="240">
        <f t="shared" si="126"/>
        <v>4410</v>
      </c>
      <c r="AZ25" s="240">
        <f t="shared" si="126"/>
        <v>0</v>
      </c>
      <c r="BA25" s="240">
        <f t="shared" si="126"/>
        <v>57360</v>
      </c>
      <c r="BC25" s="197">
        <f t="shared" si="4"/>
        <v>7651.9299999999994</v>
      </c>
      <c r="BE25" s="2">
        <f t="shared" si="26"/>
        <v>0</v>
      </c>
    </row>
    <row r="26" spans="1:57" s="46" customFormat="1" ht="13.5" thickTop="1" x14ac:dyDescent="0.2">
      <c r="A26" s="159">
        <f>A23+1</f>
        <v>14</v>
      </c>
      <c r="B26" s="30" t="s">
        <v>538</v>
      </c>
      <c r="C26" s="30" t="s">
        <v>817</v>
      </c>
      <c r="D26" s="115" t="s">
        <v>22</v>
      </c>
      <c r="E26" s="116">
        <v>1</v>
      </c>
      <c r="F26" s="117" t="s">
        <v>21</v>
      </c>
      <c r="G26" s="117" t="s">
        <v>21</v>
      </c>
      <c r="H26" s="930">
        <v>0</v>
      </c>
      <c r="I26" s="931">
        <f>E26*H26</f>
        <v>0</v>
      </c>
      <c r="J26" s="862">
        <f>I26*12</f>
        <v>0</v>
      </c>
      <c r="K26" s="862">
        <v>0</v>
      </c>
      <c r="L26" s="862">
        <v>0</v>
      </c>
      <c r="M26" s="862">
        <f>I26</f>
        <v>0</v>
      </c>
      <c r="N26" s="862">
        <f>ROUND(I26*$N$8,2)</f>
        <v>0</v>
      </c>
      <c r="O26" s="862">
        <v>0</v>
      </c>
      <c r="P26" s="862">
        <f>ROUND((IF(I26&gt;1000,1000*$P$8,I26*$P$8)),2)*E26</f>
        <v>0</v>
      </c>
      <c r="Q26" s="862">
        <f>ROUND((IF(I26&gt;1000,1000*$Q$8,I26*$Q$8)),2)</f>
        <v>0</v>
      </c>
      <c r="R26" s="862">
        <f>SUM(N26:Q26)</f>
        <v>0</v>
      </c>
      <c r="S26" s="862">
        <f>N26*12</f>
        <v>0</v>
      </c>
      <c r="T26" s="862">
        <f>O26*12</f>
        <v>0</v>
      </c>
      <c r="U26" s="862">
        <f>P26*12</f>
        <v>0</v>
      </c>
      <c r="V26" s="862">
        <f>Q26*12</f>
        <v>0</v>
      </c>
      <c r="W26" s="862">
        <f>SUM(S26:V26)</f>
        <v>0</v>
      </c>
      <c r="X26" s="929">
        <f t="shared" ref="X26:X35" si="127">J26+K26+L26+M26+W26</f>
        <v>0</v>
      </c>
      <c r="Y26" s="942"/>
      <c r="Z26" s="804"/>
      <c r="AA26" s="804"/>
      <c r="AB26" s="804"/>
      <c r="AC26" s="804">
        <f t="shared" si="25"/>
        <v>0</v>
      </c>
      <c r="AD26" s="804"/>
      <c r="AE26" s="804"/>
      <c r="AF26" s="863"/>
      <c r="AG26" s="11"/>
      <c r="AH26" s="11"/>
      <c r="AI26" s="233" t="s">
        <v>843</v>
      </c>
      <c r="AJ26" s="862">
        <f>I26*AI26</f>
        <v>0</v>
      </c>
      <c r="AK26" s="862"/>
      <c r="AL26" s="862"/>
      <c r="AM26" s="862">
        <f t="shared" ref="AM26" si="128">(P26+Q26)*AI26</f>
        <v>0</v>
      </c>
      <c r="AN26" s="862">
        <f t="shared" ref="AN26" si="129">AI26*O26</f>
        <v>0</v>
      </c>
      <c r="AO26" s="862">
        <f t="shared" ref="AO26" si="130">N26*AI26</f>
        <v>0</v>
      </c>
      <c r="AP26" s="864">
        <f t="shared" ref="AP26:AP35" si="131">I26</f>
        <v>0</v>
      </c>
      <c r="AQ26" s="862">
        <f>SUM(AJ26:AP26)</f>
        <v>0</v>
      </c>
      <c r="AS26" s="232">
        <f>12-AI26</f>
        <v>0</v>
      </c>
      <c r="AT26" s="862">
        <f>I26*AS26</f>
        <v>0</v>
      </c>
      <c r="AU26" s="862">
        <f>K26</f>
        <v>0</v>
      </c>
      <c r="AV26" s="862"/>
      <c r="AW26" s="862">
        <f t="shared" ref="AW26:AW35" si="132">(P26+Q26)*AS26</f>
        <v>0</v>
      </c>
      <c r="AX26" s="862">
        <f t="shared" ref="AX26" si="133">AS26*O26</f>
        <v>0</v>
      </c>
      <c r="AY26" s="862">
        <f t="shared" ref="AY26" si="134">N26*AS26</f>
        <v>0</v>
      </c>
      <c r="AZ26" s="862">
        <f>M26</f>
        <v>0</v>
      </c>
      <c r="BA26" s="862">
        <f>SUM(AT26:AY26)</f>
        <v>0</v>
      </c>
      <c r="BC26" s="197">
        <f t="shared" si="4"/>
        <v>0</v>
      </c>
      <c r="BE26" s="2">
        <f t="shared" si="26"/>
        <v>0</v>
      </c>
    </row>
    <row r="27" spans="1:57" ht="13.5" thickBot="1" x14ac:dyDescent="0.25">
      <c r="A27" s="126"/>
      <c r="B27" s="50" t="s">
        <v>386</v>
      </c>
      <c r="C27" s="50"/>
      <c r="D27" s="121"/>
      <c r="E27" s="122">
        <f>SUM(E26)</f>
        <v>1</v>
      </c>
      <c r="F27" s="123"/>
      <c r="G27" s="123"/>
      <c r="H27" s="123"/>
      <c r="I27" s="932">
        <f t="shared" ref="I27:X27" si="135">SUM(I26)</f>
        <v>0</v>
      </c>
      <c r="J27" s="940">
        <f t="shared" si="135"/>
        <v>0</v>
      </c>
      <c r="K27" s="940">
        <f t="shared" si="135"/>
        <v>0</v>
      </c>
      <c r="L27" s="940">
        <f t="shared" si="135"/>
        <v>0</v>
      </c>
      <c r="M27" s="940">
        <f t="shared" si="135"/>
        <v>0</v>
      </c>
      <c r="N27" s="940">
        <f t="shared" si="135"/>
        <v>0</v>
      </c>
      <c r="O27" s="940">
        <f t="shared" si="135"/>
        <v>0</v>
      </c>
      <c r="P27" s="940">
        <f t="shared" si="135"/>
        <v>0</v>
      </c>
      <c r="Q27" s="940">
        <f t="shared" si="135"/>
        <v>0</v>
      </c>
      <c r="R27" s="940">
        <f t="shared" si="135"/>
        <v>0</v>
      </c>
      <c r="S27" s="940">
        <f t="shared" si="135"/>
        <v>0</v>
      </c>
      <c r="T27" s="940">
        <f t="shared" si="135"/>
        <v>0</v>
      </c>
      <c r="U27" s="940">
        <f t="shared" si="135"/>
        <v>0</v>
      </c>
      <c r="V27" s="940">
        <f t="shared" si="135"/>
        <v>0</v>
      </c>
      <c r="W27" s="940">
        <f t="shared" si="135"/>
        <v>0</v>
      </c>
      <c r="X27" s="941">
        <f t="shared" si="135"/>
        <v>0</v>
      </c>
      <c r="Y27" s="644"/>
      <c r="Z27" s="644"/>
      <c r="AA27" s="644"/>
      <c r="AB27" s="644"/>
      <c r="AC27" s="646">
        <f t="shared" si="25"/>
        <v>0</v>
      </c>
      <c r="AD27" s="644"/>
      <c r="AE27" s="644"/>
      <c r="AF27" s="246">
        <v>9070</v>
      </c>
      <c r="AG27" s="11">
        <f>X27-AF27</f>
        <v>-9070</v>
      </c>
      <c r="AH27" s="11"/>
      <c r="AI27" s="241"/>
      <c r="AJ27" s="241">
        <f>SUM(AJ26)</f>
        <v>0</v>
      </c>
      <c r="AK27" s="241">
        <f t="shared" ref="AK27:AQ27" si="136">SUM(AK26)</f>
        <v>0</v>
      </c>
      <c r="AL27" s="241">
        <f t="shared" si="136"/>
        <v>0</v>
      </c>
      <c r="AM27" s="241">
        <f t="shared" si="136"/>
        <v>0</v>
      </c>
      <c r="AN27" s="241">
        <f t="shared" si="136"/>
        <v>0</v>
      </c>
      <c r="AO27" s="241">
        <f t="shared" si="136"/>
        <v>0</v>
      </c>
      <c r="AP27" s="241">
        <f t="shared" si="136"/>
        <v>0</v>
      </c>
      <c r="AQ27" s="241">
        <f t="shared" si="136"/>
        <v>0</v>
      </c>
      <c r="AS27" s="241"/>
      <c r="AT27" s="241">
        <f t="shared" ref="AT27:BA27" si="137">SUM(AT26)</f>
        <v>0</v>
      </c>
      <c r="AU27" s="241">
        <f t="shared" si="137"/>
        <v>0</v>
      </c>
      <c r="AV27" s="241">
        <f t="shared" si="137"/>
        <v>0</v>
      </c>
      <c r="AW27" s="241">
        <f t="shared" si="137"/>
        <v>0</v>
      </c>
      <c r="AX27" s="241">
        <f t="shared" si="137"/>
        <v>0</v>
      </c>
      <c r="AY27" s="241">
        <f t="shared" si="137"/>
        <v>0</v>
      </c>
      <c r="AZ27" s="241">
        <f t="shared" si="137"/>
        <v>0</v>
      </c>
      <c r="BA27" s="241">
        <f t="shared" si="137"/>
        <v>0</v>
      </c>
      <c r="BC27" s="197">
        <f t="shared" si="4"/>
        <v>0</v>
      </c>
      <c r="BE27" s="2">
        <f t="shared" si="26"/>
        <v>0</v>
      </c>
    </row>
    <row r="28" spans="1:57" ht="13.5" thickTop="1" x14ac:dyDescent="0.2">
      <c r="A28" s="116">
        <f>A26+1</f>
        <v>15</v>
      </c>
      <c r="B28" s="30" t="s">
        <v>353</v>
      </c>
      <c r="C28" s="30"/>
      <c r="D28" s="115" t="s">
        <v>507</v>
      </c>
      <c r="E28" s="116">
        <v>1</v>
      </c>
      <c r="F28" s="117" t="s">
        <v>21</v>
      </c>
      <c r="G28" s="117" t="s">
        <v>21</v>
      </c>
      <c r="H28" s="930">
        <v>0</v>
      </c>
      <c r="I28" s="931">
        <f>E28*H28</f>
        <v>0</v>
      </c>
      <c r="J28" s="862">
        <f>I28*12</f>
        <v>0</v>
      </c>
      <c r="K28" s="862">
        <v>0</v>
      </c>
      <c r="L28" s="862">
        <v>0</v>
      </c>
      <c r="M28" s="862">
        <f>I28</f>
        <v>0</v>
      </c>
      <c r="N28" s="862">
        <f t="shared" ref="N28:N35" si="138">ROUND(I28*$N$8,2)</f>
        <v>0</v>
      </c>
      <c r="O28" s="862">
        <v>0</v>
      </c>
      <c r="P28" s="862">
        <f t="shared" ref="P28:P35" si="139">ROUND((IF(I28&gt;1000,1000*$P$8,I28*$P$8)),2)*E28</f>
        <v>0</v>
      </c>
      <c r="Q28" s="862">
        <f t="shared" ref="Q28:Q35" si="140">ROUND((IF(I28&gt;1000,1000*$Q$8,I28*$Q$8)),2)</f>
        <v>0</v>
      </c>
      <c r="R28" s="862">
        <f t="shared" ref="R28:R35" si="141">SUM(N28:Q28)</f>
        <v>0</v>
      </c>
      <c r="S28" s="862">
        <f t="shared" ref="S28:S35" si="142">N28*12</f>
        <v>0</v>
      </c>
      <c r="T28" s="862">
        <f t="shared" si="35"/>
        <v>0</v>
      </c>
      <c r="U28" s="862">
        <f t="shared" ref="U28:U35" si="143">P28*12</f>
        <v>0</v>
      </c>
      <c r="V28" s="862">
        <f t="shared" ref="V28:V35" si="144">Q28*12</f>
        <v>0</v>
      </c>
      <c r="W28" s="862">
        <f t="shared" ref="W28:W35" si="145">SUM(S28:V28)</f>
        <v>0</v>
      </c>
      <c r="X28" s="929">
        <f t="shared" si="127"/>
        <v>0</v>
      </c>
      <c r="Y28" s="641"/>
      <c r="Z28" s="641"/>
      <c r="AA28" s="641"/>
      <c r="AB28" s="641"/>
      <c r="AC28" s="641">
        <f t="shared" si="25"/>
        <v>0</v>
      </c>
      <c r="AD28" s="641"/>
      <c r="AE28" s="641"/>
      <c r="AF28" s="638"/>
      <c r="AG28" s="11"/>
      <c r="AH28" s="11"/>
      <c r="AI28" s="233" t="s">
        <v>843</v>
      </c>
      <c r="AJ28" s="119">
        <f t="shared" si="9"/>
        <v>0</v>
      </c>
      <c r="AK28" s="119"/>
      <c r="AL28" s="119"/>
      <c r="AM28" s="119">
        <f t="shared" ref="AM28:AM35" si="146">(P28+Q28)*AI28</f>
        <v>0</v>
      </c>
      <c r="AN28" s="119">
        <f t="shared" ref="AN28:AN35" si="147">AI28*O28</f>
        <v>0</v>
      </c>
      <c r="AO28" s="119">
        <f t="shared" ref="AO28:AO35" si="148">N28*AI28</f>
        <v>0</v>
      </c>
      <c r="AP28" s="864">
        <f t="shared" si="131"/>
        <v>0</v>
      </c>
      <c r="AQ28" s="119">
        <f t="shared" ref="AQ28:AQ35" si="149">SUM(AJ28:AP28)</f>
        <v>0</v>
      </c>
      <c r="AS28" s="233">
        <f t="shared" ref="AS28:AS35" si="150">12-AI28</f>
        <v>0</v>
      </c>
      <c r="AT28" s="119">
        <f t="shared" ref="AT28:AT35" si="151">I28*AS28</f>
        <v>0</v>
      </c>
      <c r="AU28" s="119">
        <f t="shared" ref="AU28:AU35" si="152">K28</f>
        <v>0</v>
      </c>
      <c r="AV28" s="119"/>
      <c r="AW28" s="119">
        <f t="shared" si="132"/>
        <v>0</v>
      </c>
      <c r="AX28" s="119">
        <f t="shared" ref="AX28:AX35" si="153">AS28*O28</f>
        <v>0</v>
      </c>
      <c r="AY28" s="119">
        <f t="shared" ref="AY28:AY35" si="154">N28*AS28</f>
        <v>0</v>
      </c>
      <c r="AZ28" s="119">
        <v>0</v>
      </c>
      <c r="BA28" s="119">
        <f t="shared" ref="BA28:BA34" si="155">SUM(AT28:AY28)</f>
        <v>0</v>
      </c>
      <c r="BC28" s="197">
        <f t="shared" si="4"/>
        <v>0</v>
      </c>
      <c r="BE28" s="2">
        <f t="shared" si="26"/>
        <v>0</v>
      </c>
    </row>
    <row r="29" spans="1:57" x14ac:dyDescent="0.2">
      <c r="A29" s="116">
        <f>A28+1</f>
        <v>16</v>
      </c>
      <c r="B29" s="30" t="s">
        <v>585</v>
      </c>
      <c r="C29" s="30" t="s">
        <v>821</v>
      </c>
      <c r="D29" s="115" t="s">
        <v>507</v>
      </c>
      <c r="E29" s="116">
        <v>1</v>
      </c>
      <c r="F29" s="117" t="s">
        <v>21</v>
      </c>
      <c r="G29" s="117" t="s">
        <v>21</v>
      </c>
      <c r="H29" s="930">
        <f>500+100</f>
        <v>600</v>
      </c>
      <c r="I29" s="931">
        <f t="shared" ref="I29" si="156">E29*H29</f>
        <v>600</v>
      </c>
      <c r="J29" s="862">
        <f t="shared" ref="J29" si="157">I29*12</f>
        <v>7200</v>
      </c>
      <c r="K29" s="862">
        <v>0</v>
      </c>
      <c r="L29" s="862">
        <v>0</v>
      </c>
      <c r="M29" s="862">
        <f t="shared" ref="M29" si="158">I29</f>
        <v>600</v>
      </c>
      <c r="N29" s="862">
        <f t="shared" si="138"/>
        <v>52.5</v>
      </c>
      <c r="O29" s="862">
        <v>0</v>
      </c>
      <c r="P29" s="862">
        <f t="shared" si="139"/>
        <v>45</v>
      </c>
      <c r="Q29" s="862">
        <f t="shared" si="140"/>
        <v>6</v>
      </c>
      <c r="R29" s="862">
        <f t="shared" ref="R29" si="159">SUM(N29:Q29)</f>
        <v>103.5</v>
      </c>
      <c r="S29" s="862">
        <f t="shared" si="142"/>
        <v>630</v>
      </c>
      <c r="T29" s="862">
        <f t="shared" si="35"/>
        <v>0</v>
      </c>
      <c r="U29" s="862">
        <f t="shared" si="143"/>
        <v>540</v>
      </c>
      <c r="V29" s="862">
        <f t="shared" si="144"/>
        <v>72</v>
      </c>
      <c r="W29" s="862">
        <f t="shared" si="145"/>
        <v>1242</v>
      </c>
      <c r="X29" s="929">
        <f t="shared" si="127"/>
        <v>9042</v>
      </c>
      <c r="Y29" s="942"/>
      <c r="Z29" s="641"/>
      <c r="AA29" s="641"/>
      <c r="AB29" s="641"/>
      <c r="AC29" s="641">
        <f t="shared" si="25"/>
        <v>703.5</v>
      </c>
      <c r="AD29" s="641"/>
      <c r="AE29" s="641"/>
      <c r="AG29" s="11"/>
      <c r="AH29" s="11"/>
      <c r="AI29" s="233" t="s">
        <v>843</v>
      </c>
      <c r="AJ29" s="119">
        <f t="shared" ref="AJ29" si="160">I29*AI29</f>
        <v>7200</v>
      </c>
      <c r="AK29" s="119"/>
      <c r="AL29" s="119"/>
      <c r="AM29" s="119">
        <f t="shared" si="146"/>
        <v>612</v>
      </c>
      <c r="AN29" s="119">
        <f t="shared" si="147"/>
        <v>0</v>
      </c>
      <c r="AO29" s="119">
        <f t="shared" si="148"/>
        <v>630</v>
      </c>
      <c r="AP29" s="864">
        <f t="shared" si="131"/>
        <v>600</v>
      </c>
      <c r="AQ29" s="119">
        <f t="shared" si="149"/>
        <v>9042</v>
      </c>
      <c r="AS29" s="233">
        <f t="shared" si="150"/>
        <v>0</v>
      </c>
      <c r="AT29" s="119">
        <f t="shared" si="151"/>
        <v>0</v>
      </c>
      <c r="AU29" s="119">
        <f t="shared" si="152"/>
        <v>0</v>
      </c>
      <c r="AV29" s="119"/>
      <c r="AW29" s="119">
        <f t="shared" si="132"/>
        <v>0</v>
      </c>
      <c r="AX29" s="119">
        <f t="shared" si="153"/>
        <v>0</v>
      </c>
      <c r="AY29" s="119">
        <f t="shared" si="154"/>
        <v>0</v>
      </c>
      <c r="AZ29" s="119">
        <v>0</v>
      </c>
      <c r="BA29" s="119">
        <f t="shared" si="155"/>
        <v>0</v>
      </c>
      <c r="BC29" s="197">
        <f t="shared" si="4"/>
        <v>577.5</v>
      </c>
      <c r="BE29" s="2">
        <f t="shared" si="26"/>
        <v>0</v>
      </c>
    </row>
    <row r="30" spans="1:57" x14ac:dyDescent="0.2">
      <c r="A30" s="116">
        <f t="shared" ref="A30:A31" si="161">A29+1</f>
        <v>17</v>
      </c>
      <c r="B30" s="30" t="s">
        <v>601</v>
      </c>
      <c r="C30" s="30" t="s">
        <v>822</v>
      </c>
      <c r="D30" s="115" t="s">
        <v>602</v>
      </c>
      <c r="E30" s="116">
        <v>1</v>
      </c>
      <c r="F30" s="117" t="s">
        <v>21</v>
      </c>
      <c r="G30" s="117" t="s">
        <v>21</v>
      </c>
      <c r="H30" s="930">
        <f>800+90</f>
        <v>890</v>
      </c>
      <c r="I30" s="931">
        <f t="shared" ref="I30" si="162">E30*H30</f>
        <v>890</v>
      </c>
      <c r="J30" s="862">
        <f t="shared" ref="J30" si="163">I30*12</f>
        <v>10680</v>
      </c>
      <c r="K30" s="862">
        <v>0</v>
      </c>
      <c r="L30" s="862">
        <v>0</v>
      </c>
      <c r="M30" s="862">
        <f t="shared" ref="M30" si="164">I30</f>
        <v>890</v>
      </c>
      <c r="N30" s="862">
        <f t="shared" si="138"/>
        <v>77.88</v>
      </c>
      <c r="O30" s="862">
        <v>0</v>
      </c>
      <c r="P30" s="862">
        <f t="shared" si="139"/>
        <v>66.75</v>
      </c>
      <c r="Q30" s="862">
        <f t="shared" si="140"/>
        <v>8.9</v>
      </c>
      <c r="R30" s="862">
        <f t="shared" ref="R30" si="165">SUM(N30:Q30)</f>
        <v>153.53</v>
      </c>
      <c r="S30" s="862">
        <f t="shared" si="142"/>
        <v>934.56</v>
      </c>
      <c r="T30" s="862">
        <f t="shared" si="35"/>
        <v>0</v>
      </c>
      <c r="U30" s="862">
        <f t="shared" si="143"/>
        <v>801</v>
      </c>
      <c r="V30" s="862">
        <f t="shared" si="144"/>
        <v>106.80000000000001</v>
      </c>
      <c r="W30" s="862">
        <f t="shared" si="145"/>
        <v>1842.36</v>
      </c>
      <c r="X30" s="929">
        <f t="shared" si="127"/>
        <v>13412.36</v>
      </c>
      <c r="Y30" s="942"/>
      <c r="Z30" s="804"/>
      <c r="AA30" s="804"/>
      <c r="AB30" s="804"/>
      <c r="AC30" s="804">
        <f t="shared" si="25"/>
        <v>1043.53</v>
      </c>
      <c r="AD30" s="804"/>
      <c r="AE30" s="804"/>
      <c r="AF30" s="723"/>
      <c r="AG30" s="11"/>
      <c r="AH30" s="11"/>
      <c r="AI30" s="233" t="s">
        <v>843</v>
      </c>
      <c r="AJ30" s="862">
        <f t="shared" ref="AJ30" si="166">I30*AI30</f>
        <v>10680</v>
      </c>
      <c r="AK30" s="862"/>
      <c r="AL30" s="862"/>
      <c r="AM30" s="862">
        <f t="shared" si="146"/>
        <v>907.80000000000007</v>
      </c>
      <c r="AN30" s="862">
        <f t="shared" si="147"/>
        <v>0</v>
      </c>
      <c r="AO30" s="862">
        <f t="shared" si="148"/>
        <v>934.56</v>
      </c>
      <c r="AP30" s="864">
        <f t="shared" si="131"/>
        <v>890</v>
      </c>
      <c r="AQ30" s="862">
        <f t="shared" si="149"/>
        <v>13412.359999999999</v>
      </c>
      <c r="AS30" s="233">
        <f t="shared" si="150"/>
        <v>0</v>
      </c>
      <c r="AT30" s="862">
        <f t="shared" si="151"/>
        <v>0</v>
      </c>
      <c r="AU30" s="862">
        <f t="shared" si="152"/>
        <v>0</v>
      </c>
      <c r="AV30" s="862"/>
      <c r="AW30" s="862">
        <f t="shared" si="132"/>
        <v>0</v>
      </c>
      <c r="AX30" s="862">
        <f t="shared" si="153"/>
        <v>0</v>
      </c>
      <c r="AY30" s="862">
        <f t="shared" si="154"/>
        <v>0</v>
      </c>
      <c r="AZ30" s="862">
        <v>0</v>
      </c>
      <c r="BA30" s="862">
        <f t="shared" si="155"/>
        <v>0</v>
      </c>
      <c r="BC30" s="197">
        <f t="shared" si="4"/>
        <v>856.68</v>
      </c>
      <c r="BE30" s="2">
        <f t="shared" si="26"/>
        <v>0</v>
      </c>
    </row>
    <row r="31" spans="1:57" x14ac:dyDescent="0.2">
      <c r="A31" s="116">
        <f t="shared" si="161"/>
        <v>18</v>
      </c>
      <c r="B31" s="30" t="s">
        <v>354</v>
      </c>
      <c r="C31" s="30" t="s">
        <v>824</v>
      </c>
      <c r="D31" s="115" t="s">
        <v>508</v>
      </c>
      <c r="E31" s="116">
        <v>1</v>
      </c>
      <c r="F31" s="117" t="s">
        <v>21</v>
      </c>
      <c r="G31" s="117" t="s">
        <v>21</v>
      </c>
      <c r="H31" s="930">
        <v>800</v>
      </c>
      <c r="I31" s="931">
        <f t="shared" si="6"/>
        <v>800</v>
      </c>
      <c r="J31" s="862">
        <f t="shared" ref="J31:J35" si="167">I31*12</f>
        <v>9600</v>
      </c>
      <c r="K31" s="862">
        <v>0</v>
      </c>
      <c r="L31" s="862">
        <v>0</v>
      </c>
      <c r="M31" s="862">
        <f t="shared" ref="M31:M35" si="168">I31</f>
        <v>800</v>
      </c>
      <c r="N31" s="862">
        <f t="shared" si="138"/>
        <v>70</v>
      </c>
      <c r="O31" s="862">
        <v>0</v>
      </c>
      <c r="P31" s="862">
        <f t="shared" si="139"/>
        <v>60</v>
      </c>
      <c r="Q31" s="862">
        <f t="shared" si="140"/>
        <v>8</v>
      </c>
      <c r="R31" s="862">
        <f t="shared" si="141"/>
        <v>138</v>
      </c>
      <c r="S31" s="862">
        <f t="shared" si="142"/>
        <v>840</v>
      </c>
      <c r="T31" s="862">
        <f t="shared" si="35"/>
        <v>0</v>
      </c>
      <c r="U31" s="862">
        <f t="shared" si="143"/>
        <v>720</v>
      </c>
      <c r="V31" s="862">
        <f t="shared" si="144"/>
        <v>96</v>
      </c>
      <c r="W31" s="862">
        <f t="shared" si="145"/>
        <v>1656</v>
      </c>
      <c r="X31" s="929">
        <f t="shared" si="127"/>
        <v>12056</v>
      </c>
      <c r="Y31" s="641"/>
      <c r="Z31" s="641"/>
      <c r="AA31" s="641"/>
      <c r="AB31" s="641"/>
      <c r="AC31" s="641">
        <f t="shared" si="25"/>
        <v>938</v>
      </c>
      <c r="AD31" s="641"/>
      <c r="AE31" s="641"/>
      <c r="AG31" s="11"/>
      <c r="AH31" s="11"/>
      <c r="AI31" s="233" t="s">
        <v>842</v>
      </c>
      <c r="AJ31" s="119">
        <f t="shared" si="9"/>
        <v>0</v>
      </c>
      <c r="AK31" s="119"/>
      <c r="AL31" s="119"/>
      <c r="AM31" s="119">
        <f t="shared" si="146"/>
        <v>0</v>
      </c>
      <c r="AN31" s="119">
        <f t="shared" si="147"/>
        <v>0</v>
      </c>
      <c r="AO31" s="119">
        <f t="shared" si="148"/>
        <v>0</v>
      </c>
      <c r="AP31" s="864">
        <f t="shared" si="131"/>
        <v>800</v>
      </c>
      <c r="AQ31" s="119">
        <f t="shared" si="149"/>
        <v>800</v>
      </c>
      <c r="AS31" s="233">
        <f t="shared" si="150"/>
        <v>12</v>
      </c>
      <c r="AT31" s="119">
        <f t="shared" si="151"/>
        <v>9600</v>
      </c>
      <c r="AU31" s="119">
        <f t="shared" si="152"/>
        <v>0</v>
      </c>
      <c r="AV31" s="119"/>
      <c r="AW31" s="119">
        <f t="shared" si="132"/>
        <v>816</v>
      </c>
      <c r="AX31" s="119">
        <f t="shared" si="153"/>
        <v>0</v>
      </c>
      <c r="AY31" s="119">
        <f t="shared" si="154"/>
        <v>840</v>
      </c>
      <c r="AZ31" s="119">
        <v>0</v>
      </c>
      <c r="BA31" s="119">
        <f t="shared" si="155"/>
        <v>11256</v>
      </c>
      <c r="BC31" s="197">
        <f t="shared" si="4"/>
        <v>770</v>
      </c>
      <c r="BE31" s="2">
        <f t="shared" si="26"/>
        <v>0</v>
      </c>
    </row>
    <row r="32" spans="1:57" x14ac:dyDescent="0.2">
      <c r="A32" s="116">
        <f t="shared" ref="A32:A35" si="169">A31+1</f>
        <v>19</v>
      </c>
      <c r="B32" s="30" t="s">
        <v>662</v>
      </c>
      <c r="C32" s="30" t="s">
        <v>823</v>
      </c>
      <c r="D32" s="115" t="s">
        <v>508</v>
      </c>
      <c r="E32" s="116">
        <v>1</v>
      </c>
      <c r="F32" s="117" t="s">
        <v>21</v>
      </c>
      <c r="G32" s="117" t="s">
        <v>21</v>
      </c>
      <c r="H32" s="930">
        <v>500</v>
      </c>
      <c r="I32" s="931">
        <f t="shared" ref="I32" si="170">E32*H32</f>
        <v>500</v>
      </c>
      <c r="J32" s="862">
        <f t="shared" ref="J32" si="171">I32*12</f>
        <v>6000</v>
      </c>
      <c r="K32" s="862">
        <v>0</v>
      </c>
      <c r="L32" s="862">
        <v>0</v>
      </c>
      <c r="M32" s="862">
        <f t="shared" ref="M32" si="172">I32</f>
        <v>500</v>
      </c>
      <c r="N32" s="862">
        <f t="shared" ref="N32" si="173">ROUND(I32*$N$8,2)</f>
        <v>43.75</v>
      </c>
      <c r="O32" s="862">
        <v>0</v>
      </c>
      <c r="P32" s="862">
        <f t="shared" ref="P32" si="174">ROUND((IF(I32&gt;1000,1000*$P$8,I32*$P$8)),2)*E32</f>
        <v>37.5</v>
      </c>
      <c r="Q32" s="862">
        <f t="shared" ref="Q32" si="175">ROUND((IF(I32&gt;1000,1000*$Q$8,I32*$Q$8)),2)</f>
        <v>5</v>
      </c>
      <c r="R32" s="862">
        <f t="shared" ref="R32" si="176">SUM(N32:Q32)</f>
        <v>86.25</v>
      </c>
      <c r="S32" s="862">
        <f t="shared" ref="S32" si="177">N32*12</f>
        <v>525</v>
      </c>
      <c r="T32" s="862">
        <f t="shared" ref="T32" si="178">O32*12</f>
        <v>0</v>
      </c>
      <c r="U32" s="862">
        <f t="shared" ref="U32" si="179">P32*12</f>
        <v>450</v>
      </c>
      <c r="V32" s="862">
        <f t="shared" ref="V32" si="180">Q32*12</f>
        <v>60</v>
      </c>
      <c r="W32" s="862">
        <f t="shared" ref="W32" si="181">SUM(S32:V32)</f>
        <v>1035</v>
      </c>
      <c r="X32" s="929">
        <f t="shared" si="127"/>
        <v>7535</v>
      </c>
      <c r="Y32" s="641"/>
      <c r="Z32" s="641"/>
      <c r="AA32" s="641"/>
      <c r="AB32" s="641"/>
      <c r="AC32" s="641">
        <f t="shared" si="25"/>
        <v>586.25</v>
      </c>
      <c r="AD32" s="641"/>
      <c r="AE32" s="641"/>
      <c r="AG32" s="11"/>
      <c r="AH32" s="11"/>
      <c r="AI32" s="233" t="s">
        <v>842</v>
      </c>
      <c r="AJ32" s="119">
        <f t="shared" ref="AJ32" si="182">I32*AI32</f>
        <v>0</v>
      </c>
      <c r="AK32" s="119"/>
      <c r="AL32" s="119"/>
      <c r="AM32" s="119">
        <f t="shared" si="146"/>
        <v>0</v>
      </c>
      <c r="AN32" s="119">
        <f t="shared" si="147"/>
        <v>0</v>
      </c>
      <c r="AO32" s="119">
        <f t="shared" si="148"/>
        <v>0</v>
      </c>
      <c r="AP32" s="864">
        <f t="shared" si="131"/>
        <v>500</v>
      </c>
      <c r="AQ32" s="119">
        <f t="shared" si="149"/>
        <v>500</v>
      </c>
      <c r="AS32" s="233">
        <f t="shared" si="150"/>
        <v>12</v>
      </c>
      <c r="AT32" s="119">
        <f t="shared" si="151"/>
        <v>6000</v>
      </c>
      <c r="AU32" s="119">
        <f t="shared" si="152"/>
        <v>0</v>
      </c>
      <c r="AV32" s="119"/>
      <c r="AW32" s="119">
        <f t="shared" si="132"/>
        <v>510</v>
      </c>
      <c r="AX32" s="119">
        <f t="shared" si="153"/>
        <v>0</v>
      </c>
      <c r="AY32" s="119">
        <f t="shared" si="154"/>
        <v>525</v>
      </c>
      <c r="AZ32" s="119">
        <v>0</v>
      </c>
      <c r="BA32" s="119">
        <f t="shared" si="155"/>
        <v>7035</v>
      </c>
      <c r="BC32" s="197">
        <f t="shared" si="4"/>
        <v>481.25</v>
      </c>
      <c r="BE32" s="2">
        <f t="shared" si="26"/>
        <v>0</v>
      </c>
    </row>
    <row r="33" spans="1:57" s="49" customFormat="1" x14ac:dyDescent="0.2">
      <c r="A33" s="116">
        <f t="shared" si="169"/>
        <v>20</v>
      </c>
      <c r="B33" s="198" t="s">
        <v>528</v>
      </c>
      <c r="C33" s="198" t="s">
        <v>834</v>
      </c>
      <c r="D33" s="158" t="s">
        <v>361</v>
      </c>
      <c r="E33" s="159">
        <v>1</v>
      </c>
      <c r="F33" s="160" t="s">
        <v>21</v>
      </c>
      <c r="G33" s="160" t="s">
        <v>21</v>
      </c>
      <c r="H33" s="196">
        <v>550</v>
      </c>
      <c r="I33" s="202">
        <f t="shared" si="6"/>
        <v>550</v>
      </c>
      <c r="J33" s="161">
        <f t="shared" si="167"/>
        <v>6600</v>
      </c>
      <c r="K33" s="161">
        <v>0</v>
      </c>
      <c r="L33" s="161">
        <v>0</v>
      </c>
      <c r="M33" s="161">
        <f t="shared" si="168"/>
        <v>550</v>
      </c>
      <c r="N33" s="161">
        <f t="shared" si="138"/>
        <v>48.13</v>
      </c>
      <c r="O33" s="161">
        <v>0</v>
      </c>
      <c r="P33" s="161">
        <f t="shared" si="139"/>
        <v>41.25</v>
      </c>
      <c r="Q33" s="161">
        <f t="shared" si="140"/>
        <v>5.5</v>
      </c>
      <c r="R33" s="161">
        <f t="shared" si="141"/>
        <v>94.88</v>
      </c>
      <c r="S33" s="161">
        <f t="shared" si="142"/>
        <v>577.56000000000006</v>
      </c>
      <c r="T33" s="161">
        <f t="shared" si="35"/>
        <v>0</v>
      </c>
      <c r="U33" s="161">
        <f t="shared" si="143"/>
        <v>495</v>
      </c>
      <c r="V33" s="161">
        <f t="shared" si="144"/>
        <v>66</v>
      </c>
      <c r="W33" s="161">
        <f t="shared" si="145"/>
        <v>1138.56</v>
      </c>
      <c r="X33" s="109">
        <f t="shared" si="127"/>
        <v>8288.56</v>
      </c>
      <c r="Y33" s="643"/>
      <c r="Z33" s="643"/>
      <c r="AA33" s="643"/>
      <c r="AB33" s="643"/>
      <c r="AC33" s="641">
        <f t="shared" si="25"/>
        <v>644.88</v>
      </c>
      <c r="AD33" s="643"/>
      <c r="AE33" s="643"/>
      <c r="AF33" s="246"/>
      <c r="AG33" s="48"/>
      <c r="AH33" s="48"/>
      <c r="AI33" s="233" t="s">
        <v>842</v>
      </c>
      <c r="AJ33" s="161">
        <f t="shared" si="9"/>
        <v>0</v>
      </c>
      <c r="AK33" s="161"/>
      <c r="AL33" s="161"/>
      <c r="AM33" s="119">
        <f t="shared" si="146"/>
        <v>0</v>
      </c>
      <c r="AN33" s="161">
        <f t="shared" si="147"/>
        <v>0</v>
      </c>
      <c r="AO33" s="161">
        <f t="shared" si="148"/>
        <v>0</v>
      </c>
      <c r="AP33" s="864">
        <f t="shared" si="131"/>
        <v>550</v>
      </c>
      <c r="AQ33" s="161">
        <f t="shared" si="149"/>
        <v>550</v>
      </c>
      <c r="AS33" s="233">
        <f t="shared" si="150"/>
        <v>12</v>
      </c>
      <c r="AT33" s="161">
        <f t="shared" si="151"/>
        <v>6600</v>
      </c>
      <c r="AU33" s="161">
        <f t="shared" si="152"/>
        <v>0</v>
      </c>
      <c r="AV33" s="161"/>
      <c r="AW33" s="161">
        <f t="shared" si="132"/>
        <v>561</v>
      </c>
      <c r="AX33" s="119">
        <f t="shared" si="153"/>
        <v>0</v>
      </c>
      <c r="AY33" s="161">
        <f t="shared" si="154"/>
        <v>577.56000000000006</v>
      </c>
      <c r="AZ33" s="161">
        <v>0</v>
      </c>
      <c r="BA33" s="161">
        <f t="shared" si="155"/>
        <v>7738.56</v>
      </c>
      <c r="BC33" s="197">
        <f t="shared" si="4"/>
        <v>529.43000000000006</v>
      </c>
      <c r="BE33" s="2">
        <f t="shared" si="26"/>
        <v>0</v>
      </c>
    </row>
    <row r="34" spans="1:57" s="49" customFormat="1" ht="12.75" customHeight="1" x14ac:dyDescent="0.2">
      <c r="A34" s="116">
        <f t="shared" si="169"/>
        <v>21</v>
      </c>
      <c r="B34" s="199" t="s">
        <v>385</v>
      </c>
      <c r="C34" s="199" t="s">
        <v>835</v>
      </c>
      <c r="D34" s="115" t="s">
        <v>359</v>
      </c>
      <c r="E34" s="116">
        <v>1</v>
      </c>
      <c r="F34" s="117" t="s">
        <v>21</v>
      </c>
      <c r="G34" s="117" t="s">
        <v>21</v>
      </c>
      <c r="H34" s="195">
        <v>700</v>
      </c>
      <c r="I34" s="201">
        <f t="shared" si="6"/>
        <v>700</v>
      </c>
      <c r="J34" s="119">
        <f t="shared" si="167"/>
        <v>8400</v>
      </c>
      <c r="K34" s="119">
        <v>0</v>
      </c>
      <c r="L34" s="119">
        <v>0</v>
      </c>
      <c r="M34" s="119">
        <f t="shared" si="168"/>
        <v>700</v>
      </c>
      <c r="N34" s="119">
        <f t="shared" si="138"/>
        <v>61.25</v>
      </c>
      <c r="O34" s="119">
        <v>0</v>
      </c>
      <c r="P34" s="119">
        <f t="shared" si="139"/>
        <v>52.5</v>
      </c>
      <c r="Q34" s="119">
        <f t="shared" si="140"/>
        <v>7</v>
      </c>
      <c r="R34" s="119">
        <f t="shared" si="141"/>
        <v>120.75</v>
      </c>
      <c r="S34" s="119">
        <f t="shared" si="142"/>
        <v>735</v>
      </c>
      <c r="T34" s="119">
        <f t="shared" si="35"/>
        <v>0</v>
      </c>
      <c r="U34" s="119">
        <f t="shared" si="143"/>
        <v>630</v>
      </c>
      <c r="V34" s="119">
        <f t="shared" si="144"/>
        <v>84</v>
      </c>
      <c r="W34" s="119">
        <f t="shared" si="145"/>
        <v>1449</v>
      </c>
      <c r="X34" s="109">
        <f t="shared" si="127"/>
        <v>10549</v>
      </c>
      <c r="Y34" s="641"/>
      <c r="Z34" s="641"/>
      <c r="AA34" s="641"/>
      <c r="AB34" s="641"/>
      <c r="AC34" s="641">
        <f t="shared" si="25"/>
        <v>820.75</v>
      </c>
      <c r="AD34" s="641"/>
      <c r="AE34" s="641"/>
      <c r="AF34" s="246"/>
      <c r="AG34" s="48"/>
      <c r="AH34" s="48"/>
      <c r="AI34" s="233" t="s">
        <v>842</v>
      </c>
      <c r="AJ34" s="119">
        <f t="shared" si="9"/>
        <v>0</v>
      </c>
      <c r="AK34" s="119"/>
      <c r="AL34" s="119"/>
      <c r="AM34" s="119">
        <f t="shared" si="146"/>
        <v>0</v>
      </c>
      <c r="AN34" s="119">
        <f t="shared" si="147"/>
        <v>0</v>
      </c>
      <c r="AO34" s="119">
        <f t="shared" si="148"/>
        <v>0</v>
      </c>
      <c r="AP34" s="864">
        <f t="shared" si="131"/>
        <v>700</v>
      </c>
      <c r="AQ34" s="119">
        <f t="shared" si="149"/>
        <v>700</v>
      </c>
      <c r="AS34" s="233">
        <f t="shared" si="150"/>
        <v>12</v>
      </c>
      <c r="AT34" s="119">
        <f t="shared" si="151"/>
        <v>8400</v>
      </c>
      <c r="AU34" s="119">
        <f t="shared" si="152"/>
        <v>0</v>
      </c>
      <c r="AV34" s="119"/>
      <c r="AW34" s="119">
        <f t="shared" si="132"/>
        <v>714</v>
      </c>
      <c r="AX34" s="119">
        <f t="shared" si="153"/>
        <v>0</v>
      </c>
      <c r="AY34" s="119">
        <f t="shared" si="154"/>
        <v>735</v>
      </c>
      <c r="AZ34" s="119">
        <v>0</v>
      </c>
      <c r="BA34" s="119">
        <f t="shared" si="155"/>
        <v>9849</v>
      </c>
      <c r="BC34" s="197">
        <f t="shared" si="4"/>
        <v>673.75</v>
      </c>
      <c r="BE34" s="2">
        <f t="shared" si="26"/>
        <v>0</v>
      </c>
    </row>
    <row r="35" spans="1:57" s="46" customFormat="1" x14ac:dyDescent="0.2">
      <c r="A35" s="159">
        <f t="shared" si="169"/>
        <v>22</v>
      </c>
      <c r="B35" s="30" t="s">
        <v>665</v>
      </c>
      <c r="C35" s="30"/>
      <c r="D35" s="115" t="s">
        <v>669</v>
      </c>
      <c r="E35" s="116">
        <v>1</v>
      </c>
      <c r="F35" s="117" t="s">
        <v>21</v>
      </c>
      <c r="G35" s="117" t="s">
        <v>21</v>
      </c>
      <c r="H35" s="195">
        <v>0</v>
      </c>
      <c r="I35" s="201">
        <f t="shared" si="6"/>
        <v>0</v>
      </c>
      <c r="J35" s="119">
        <f t="shared" si="167"/>
        <v>0</v>
      </c>
      <c r="K35" s="119">
        <v>0</v>
      </c>
      <c r="L35" s="119">
        <v>0</v>
      </c>
      <c r="M35" s="119">
        <f t="shared" si="168"/>
        <v>0</v>
      </c>
      <c r="N35" s="119">
        <f t="shared" si="138"/>
        <v>0</v>
      </c>
      <c r="O35" s="119">
        <v>0</v>
      </c>
      <c r="P35" s="119">
        <f t="shared" si="139"/>
        <v>0</v>
      </c>
      <c r="Q35" s="119">
        <f t="shared" si="140"/>
        <v>0</v>
      </c>
      <c r="R35" s="119">
        <f t="shared" si="141"/>
        <v>0</v>
      </c>
      <c r="S35" s="119">
        <f t="shared" si="142"/>
        <v>0</v>
      </c>
      <c r="T35" s="119">
        <f t="shared" si="35"/>
        <v>0</v>
      </c>
      <c r="U35" s="119">
        <f t="shared" si="143"/>
        <v>0</v>
      </c>
      <c r="V35" s="119">
        <f t="shared" si="144"/>
        <v>0</v>
      </c>
      <c r="W35" s="119">
        <f t="shared" si="145"/>
        <v>0</v>
      </c>
      <c r="X35" s="109">
        <f t="shared" si="127"/>
        <v>0</v>
      </c>
      <c r="Y35" s="641"/>
      <c r="Z35" s="641"/>
      <c r="AA35" s="641"/>
      <c r="AB35" s="641"/>
      <c r="AC35" s="641">
        <f t="shared" ref="AC35" si="183">I35+R35</f>
        <v>0</v>
      </c>
      <c r="AD35" s="641"/>
      <c r="AE35" s="641"/>
      <c r="AF35" s="246"/>
      <c r="AG35" s="11"/>
      <c r="AH35" s="11"/>
      <c r="AI35" s="233" t="s">
        <v>842</v>
      </c>
      <c r="AJ35" s="119">
        <f t="shared" si="9"/>
        <v>0</v>
      </c>
      <c r="AK35" s="119"/>
      <c r="AL35" s="119"/>
      <c r="AM35" s="119">
        <f t="shared" si="146"/>
        <v>0</v>
      </c>
      <c r="AN35" s="119">
        <f t="shared" si="147"/>
        <v>0</v>
      </c>
      <c r="AO35" s="119">
        <f t="shared" si="148"/>
        <v>0</v>
      </c>
      <c r="AP35" s="864">
        <f t="shared" si="131"/>
        <v>0</v>
      </c>
      <c r="AQ35" s="119">
        <f t="shared" si="149"/>
        <v>0</v>
      </c>
      <c r="AS35" s="461">
        <f t="shared" si="150"/>
        <v>12</v>
      </c>
      <c r="AT35" s="119">
        <f t="shared" si="151"/>
        <v>0</v>
      </c>
      <c r="AU35" s="119">
        <f t="shared" si="152"/>
        <v>0</v>
      </c>
      <c r="AV35" s="119">
        <f>L35</f>
        <v>0</v>
      </c>
      <c r="AW35" s="119">
        <f t="shared" si="132"/>
        <v>0</v>
      </c>
      <c r="AX35" s="119">
        <f t="shared" si="153"/>
        <v>0</v>
      </c>
      <c r="AY35" s="119">
        <f t="shared" si="154"/>
        <v>0</v>
      </c>
      <c r="AZ35" s="119">
        <v>0</v>
      </c>
      <c r="BA35" s="119">
        <f t="shared" ref="BA35" si="184">SUM(AT35:AY35)</f>
        <v>0</v>
      </c>
      <c r="BC35" s="197">
        <f t="shared" ref="BC35" si="185">AO35+AY35-N35</f>
        <v>0</v>
      </c>
      <c r="BD35"/>
      <c r="BE35" s="2">
        <f t="shared" ref="BE35" si="186">AQ35+BA35-X35</f>
        <v>0</v>
      </c>
    </row>
    <row r="36" spans="1:57" ht="13.5" thickBot="1" x14ac:dyDescent="0.25">
      <c r="A36" s="126"/>
      <c r="B36" s="50" t="s">
        <v>386</v>
      </c>
      <c r="C36" s="50"/>
      <c r="D36" s="121"/>
      <c r="E36" s="122">
        <f>SUM(E28:E34)</f>
        <v>7</v>
      </c>
      <c r="F36" s="123"/>
      <c r="G36" s="123"/>
      <c r="H36" s="123"/>
      <c r="I36" s="124">
        <f t="shared" ref="I36:X36" si="187">SUM(I28:I34)</f>
        <v>4040</v>
      </c>
      <c r="J36" s="125">
        <f t="shared" si="187"/>
        <v>48480</v>
      </c>
      <c r="K36" s="125">
        <f t="shared" si="187"/>
        <v>0</v>
      </c>
      <c r="L36" s="125">
        <f t="shared" si="187"/>
        <v>0</v>
      </c>
      <c r="M36" s="125">
        <f t="shared" si="187"/>
        <v>4040</v>
      </c>
      <c r="N36" s="125">
        <f t="shared" si="187"/>
        <v>353.51</v>
      </c>
      <c r="O36" s="125">
        <f t="shared" si="187"/>
        <v>0</v>
      </c>
      <c r="P36" s="125">
        <f t="shared" si="187"/>
        <v>303</v>
      </c>
      <c r="Q36" s="125">
        <f t="shared" si="187"/>
        <v>40.4</v>
      </c>
      <c r="R36" s="125">
        <f t="shared" si="187"/>
        <v>696.91</v>
      </c>
      <c r="S36" s="125">
        <f t="shared" si="187"/>
        <v>4242.12</v>
      </c>
      <c r="T36" s="125">
        <f t="shared" si="187"/>
        <v>0</v>
      </c>
      <c r="U36" s="125">
        <f t="shared" si="187"/>
        <v>3636</v>
      </c>
      <c r="V36" s="125">
        <f t="shared" si="187"/>
        <v>484.8</v>
      </c>
      <c r="W36" s="125">
        <f t="shared" si="187"/>
        <v>8362.92</v>
      </c>
      <c r="X36" s="110">
        <f t="shared" si="187"/>
        <v>60882.92</v>
      </c>
      <c r="Y36" s="644"/>
      <c r="Z36" s="644"/>
      <c r="AA36" s="644"/>
      <c r="AB36" s="644"/>
      <c r="AC36" s="646">
        <f t="shared" si="25"/>
        <v>4736.91</v>
      </c>
      <c r="AD36" s="644"/>
      <c r="AE36" s="644"/>
      <c r="AF36" s="246">
        <v>58310.12</v>
      </c>
      <c r="AG36" s="11">
        <f>X36-AF36</f>
        <v>2572.7999999999956</v>
      </c>
      <c r="AH36" s="11"/>
      <c r="AI36" s="241"/>
      <c r="AJ36" s="241">
        <f>SUM(AJ28:AJ34)</f>
        <v>17880</v>
      </c>
      <c r="AK36" s="241">
        <f t="shared" ref="AK36:AQ36" si="188">SUM(AK28:AK34)</f>
        <v>0</v>
      </c>
      <c r="AL36" s="241">
        <f t="shared" si="188"/>
        <v>0</v>
      </c>
      <c r="AM36" s="241">
        <f>SUM(AM28:AM34)</f>
        <v>1519.8000000000002</v>
      </c>
      <c r="AN36" s="241">
        <f t="shared" si="188"/>
        <v>0</v>
      </c>
      <c r="AO36" s="241">
        <f t="shared" si="188"/>
        <v>1564.56</v>
      </c>
      <c r="AP36" s="241">
        <f t="shared" si="188"/>
        <v>4040</v>
      </c>
      <c r="AQ36" s="241">
        <f t="shared" si="188"/>
        <v>25004.36</v>
      </c>
      <c r="AS36" s="241"/>
      <c r="AT36" s="241">
        <f t="shared" ref="AT36:BA36" si="189">SUM(AT28:AT34)</f>
        <v>30600</v>
      </c>
      <c r="AU36" s="241">
        <f t="shared" si="189"/>
        <v>0</v>
      </c>
      <c r="AV36" s="241">
        <f t="shared" si="189"/>
        <v>0</v>
      </c>
      <c r="AW36" s="241">
        <f t="shared" si="189"/>
        <v>2601</v>
      </c>
      <c r="AX36" s="241">
        <f t="shared" si="189"/>
        <v>0</v>
      </c>
      <c r="AY36" s="241">
        <f t="shared" si="189"/>
        <v>2677.56</v>
      </c>
      <c r="AZ36" s="241">
        <f t="shared" si="189"/>
        <v>0</v>
      </c>
      <c r="BA36" s="241">
        <f t="shared" si="189"/>
        <v>35878.559999999998</v>
      </c>
      <c r="BC36" s="197">
        <f t="shared" si="4"/>
        <v>3888.6099999999997</v>
      </c>
      <c r="BE36" s="2">
        <f t="shared" si="26"/>
        <v>0</v>
      </c>
    </row>
    <row r="37" spans="1:57" ht="14.25" thickTop="1" thickBot="1" x14ac:dyDescent="0.25">
      <c r="A37" s="126"/>
      <c r="B37" s="50" t="s">
        <v>663</v>
      </c>
      <c r="C37" s="50"/>
      <c r="D37" s="121"/>
      <c r="E37" s="122">
        <f>E27+E36</f>
        <v>8</v>
      </c>
      <c r="F37" s="123"/>
      <c r="G37" s="123"/>
      <c r="H37" s="123"/>
      <c r="I37" s="124">
        <f t="shared" ref="I37:X37" si="190">I27+I36</f>
        <v>4040</v>
      </c>
      <c r="J37" s="124">
        <f t="shared" si="190"/>
        <v>48480</v>
      </c>
      <c r="K37" s="124">
        <f t="shared" si="190"/>
        <v>0</v>
      </c>
      <c r="L37" s="124">
        <f t="shared" si="190"/>
        <v>0</v>
      </c>
      <c r="M37" s="124">
        <f t="shared" si="190"/>
        <v>4040</v>
      </c>
      <c r="N37" s="124">
        <f t="shared" si="190"/>
        <v>353.51</v>
      </c>
      <c r="O37" s="124">
        <f t="shared" si="190"/>
        <v>0</v>
      </c>
      <c r="P37" s="124">
        <f t="shared" si="190"/>
        <v>303</v>
      </c>
      <c r="Q37" s="124">
        <f t="shared" si="190"/>
        <v>40.4</v>
      </c>
      <c r="R37" s="124">
        <f t="shared" si="190"/>
        <v>696.91</v>
      </c>
      <c r="S37" s="124">
        <f t="shared" si="190"/>
        <v>4242.12</v>
      </c>
      <c r="T37" s="124">
        <f t="shared" si="190"/>
        <v>0</v>
      </c>
      <c r="U37" s="124">
        <f t="shared" si="190"/>
        <v>3636</v>
      </c>
      <c r="V37" s="124">
        <f t="shared" si="190"/>
        <v>484.8</v>
      </c>
      <c r="W37" s="124">
        <f t="shared" si="190"/>
        <v>8362.92</v>
      </c>
      <c r="X37" s="47">
        <f t="shared" si="190"/>
        <v>60882.92</v>
      </c>
      <c r="Y37" s="642"/>
      <c r="Z37" s="642"/>
      <c r="AA37" s="642"/>
      <c r="AB37" s="642"/>
      <c r="AC37" s="641">
        <f t="shared" si="25"/>
        <v>4736.91</v>
      </c>
      <c r="AD37" s="642"/>
      <c r="AE37" s="642"/>
      <c r="AF37" s="638">
        <v>67380.12</v>
      </c>
      <c r="AG37" s="11">
        <f>X37-AF37</f>
        <v>-6497.1999999999971</v>
      </c>
      <c r="AH37" s="11"/>
      <c r="AI37" s="240"/>
      <c r="AJ37" s="240">
        <f t="shared" ref="AJ37:AQ37" si="191">AJ27+AJ36</f>
        <v>17880</v>
      </c>
      <c r="AK37" s="240">
        <f t="shared" si="191"/>
        <v>0</v>
      </c>
      <c r="AL37" s="240">
        <f t="shared" si="191"/>
        <v>0</v>
      </c>
      <c r="AM37" s="240">
        <f t="shared" si="191"/>
        <v>1519.8000000000002</v>
      </c>
      <c r="AN37" s="240">
        <f t="shared" si="191"/>
        <v>0</v>
      </c>
      <c r="AO37" s="240">
        <f t="shared" si="191"/>
        <v>1564.56</v>
      </c>
      <c r="AP37" s="240">
        <f t="shared" si="191"/>
        <v>4040</v>
      </c>
      <c r="AQ37" s="240">
        <f t="shared" si="191"/>
        <v>25004.36</v>
      </c>
      <c r="AS37" s="240"/>
      <c r="AT37" s="240">
        <f t="shared" ref="AT37:BA37" si="192">AT27+AT36</f>
        <v>30600</v>
      </c>
      <c r="AU37" s="240">
        <f t="shared" si="192"/>
        <v>0</v>
      </c>
      <c r="AV37" s="240">
        <f t="shared" si="192"/>
        <v>0</v>
      </c>
      <c r="AW37" s="240">
        <f t="shared" si="192"/>
        <v>2601</v>
      </c>
      <c r="AX37" s="240">
        <f t="shared" si="192"/>
        <v>0</v>
      </c>
      <c r="AY37" s="240">
        <f t="shared" si="192"/>
        <v>2677.56</v>
      </c>
      <c r="AZ37" s="240">
        <f t="shared" si="192"/>
        <v>0</v>
      </c>
      <c r="BA37" s="240">
        <f t="shared" si="192"/>
        <v>35878.559999999998</v>
      </c>
      <c r="BC37" s="197">
        <f t="shared" si="4"/>
        <v>3888.6099999999997</v>
      </c>
      <c r="BE37" s="2">
        <f t="shared" si="26"/>
        <v>0</v>
      </c>
    </row>
    <row r="38" spans="1:57" s="46" customFormat="1" ht="14.25" thickTop="1" thickBot="1" x14ac:dyDescent="0.25">
      <c r="A38" s="649"/>
      <c r="B38" s="630" t="s">
        <v>675</v>
      </c>
      <c r="C38" s="630"/>
      <c r="D38" s="631"/>
      <c r="E38" s="632">
        <f>E25+E37</f>
        <v>21</v>
      </c>
      <c r="F38" s="633"/>
      <c r="G38" s="633"/>
      <c r="H38" s="633"/>
      <c r="I38" s="628">
        <f t="shared" ref="I38:X38" si="193">I25+I37</f>
        <v>11990</v>
      </c>
      <c r="J38" s="628">
        <f t="shared" si="193"/>
        <v>143880</v>
      </c>
      <c r="K38" s="628">
        <f>K25+K37</f>
        <v>0</v>
      </c>
      <c r="L38" s="628">
        <f t="shared" si="193"/>
        <v>0</v>
      </c>
      <c r="M38" s="628">
        <f t="shared" si="193"/>
        <v>11990</v>
      </c>
      <c r="N38" s="628">
        <f t="shared" si="193"/>
        <v>1049.1399999999999</v>
      </c>
      <c r="O38" s="628">
        <f t="shared" si="193"/>
        <v>0</v>
      </c>
      <c r="P38" s="628">
        <f t="shared" si="193"/>
        <v>760.5</v>
      </c>
      <c r="Q38" s="628">
        <f t="shared" si="193"/>
        <v>101.4</v>
      </c>
      <c r="R38" s="628">
        <f t="shared" si="193"/>
        <v>1911.04</v>
      </c>
      <c r="S38" s="628">
        <f t="shared" si="193"/>
        <v>12589.68</v>
      </c>
      <c r="T38" s="628">
        <f t="shared" si="193"/>
        <v>0</v>
      </c>
      <c r="U38" s="628">
        <f t="shared" si="193"/>
        <v>9126</v>
      </c>
      <c r="V38" s="628">
        <f t="shared" si="193"/>
        <v>1216.8</v>
      </c>
      <c r="W38" s="628">
        <f t="shared" si="193"/>
        <v>22932.48</v>
      </c>
      <c r="X38" s="629">
        <f t="shared" si="193"/>
        <v>178802.47999999998</v>
      </c>
      <c r="Y38" s="645"/>
      <c r="Z38" s="645"/>
      <c r="AA38" s="645"/>
      <c r="AB38" s="645"/>
      <c r="AC38" s="641">
        <f t="shared" si="25"/>
        <v>13901.04</v>
      </c>
      <c r="AD38" s="645"/>
      <c r="AE38" s="645"/>
      <c r="AF38" s="246">
        <v>180420.24</v>
      </c>
      <c r="AG38" s="11">
        <f>X38-AF38</f>
        <v>-1617.7600000000093</v>
      </c>
      <c r="AH38" s="11"/>
      <c r="AI38" s="240"/>
      <c r="AJ38" s="238">
        <f t="shared" ref="AJ38:AQ38" si="194">AJ25+AJ37</f>
        <v>62880</v>
      </c>
      <c r="AK38" s="238">
        <f t="shared" si="194"/>
        <v>0</v>
      </c>
      <c r="AL38" s="238">
        <f t="shared" si="194"/>
        <v>0</v>
      </c>
      <c r="AM38" s="238">
        <f t="shared" si="194"/>
        <v>5191.8</v>
      </c>
      <c r="AN38" s="238">
        <f t="shared" si="194"/>
        <v>0</v>
      </c>
      <c r="AO38" s="238">
        <f t="shared" si="194"/>
        <v>5502.12</v>
      </c>
      <c r="AP38" s="238">
        <f t="shared" si="194"/>
        <v>11990</v>
      </c>
      <c r="AQ38" s="238">
        <f t="shared" si="194"/>
        <v>85563.92</v>
      </c>
      <c r="AS38" s="240"/>
      <c r="AT38" s="238">
        <f t="shared" ref="AT38:BA38" si="195">AT25+AT37</f>
        <v>81000</v>
      </c>
      <c r="AU38" s="238">
        <f t="shared" si="195"/>
        <v>0</v>
      </c>
      <c r="AV38" s="238">
        <f t="shared" si="195"/>
        <v>0</v>
      </c>
      <c r="AW38" s="238">
        <f t="shared" si="195"/>
        <v>5151</v>
      </c>
      <c r="AX38" s="238">
        <f t="shared" si="195"/>
        <v>0</v>
      </c>
      <c r="AY38" s="238">
        <f t="shared" si="195"/>
        <v>7087.5599999999995</v>
      </c>
      <c r="AZ38" s="238">
        <f t="shared" si="195"/>
        <v>0</v>
      </c>
      <c r="BA38" s="238">
        <f t="shared" si="195"/>
        <v>93238.56</v>
      </c>
      <c r="BC38" s="197">
        <f t="shared" si="4"/>
        <v>11540.54</v>
      </c>
      <c r="BD38"/>
      <c r="BE38" s="2">
        <f t="shared" si="26"/>
        <v>0</v>
      </c>
    </row>
    <row r="39" spans="1:57" s="46" customFormat="1" x14ac:dyDescent="0.2">
      <c r="A39" s="116">
        <f>A35+1</f>
        <v>23</v>
      </c>
      <c r="B39" s="30" t="s">
        <v>387</v>
      </c>
      <c r="C39" s="30"/>
      <c r="D39" s="115" t="s">
        <v>388</v>
      </c>
      <c r="E39" s="116">
        <v>1</v>
      </c>
      <c r="F39" s="117" t="s">
        <v>24</v>
      </c>
      <c r="G39" s="117" t="s">
        <v>24</v>
      </c>
      <c r="H39" s="195">
        <v>750</v>
      </c>
      <c r="I39" s="201">
        <f t="shared" ref="I39:I45" si="196">E39*H39</f>
        <v>750</v>
      </c>
      <c r="J39" s="119">
        <f>I39*12</f>
        <v>9000</v>
      </c>
      <c r="K39" s="119">
        <v>0</v>
      </c>
      <c r="L39" s="119">
        <v>0</v>
      </c>
      <c r="M39" s="119">
        <f>I39</f>
        <v>750</v>
      </c>
      <c r="N39" s="119">
        <f t="shared" ref="N39:N45" si="197">ROUND(I39*$N$8,2)</f>
        <v>65.63</v>
      </c>
      <c r="O39" s="119">
        <v>0</v>
      </c>
      <c r="P39" s="119">
        <f t="shared" ref="P39:P45" si="198">ROUND((IF(I39&gt;1000,1000*$P$8,I39*$P$8)),2)*E39</f>
        <v>56.25</v>
      </c>
      <c r="Q39" s="119">
        <f t="shared" ref="Q39:Q45" si="199">ROUND((IF(I39&gt;1000,1000*$Q$8,I39*$Q$8)),2)</f>
        <v>7.5</v>
      </c>
      <c r="R39" s="119">
        <f t="shared" ref="R39:R45" si="200">SUM(N39:Q39)</f>
        <v>129.38</v>
      </c>
      <c r="S39" s="119">
        <f t="shared" ref="S39:T45" si="201">N39*12</f>
        <v>787.56</v>
      </c>
      <c r="T39" s="119">
        <f t="shared" si="201"/>
        <v>0</v>
      </c>
      <c r="U39" s="119">
        <f t="shared" ref="U39:U45" si="202">P39*12</f>
        <v>675</v>
      </c>
      <c r="V39" s="119">
        <f t="shared" ref="V39:V45" si="203">Q39*12</f>
        <v>90</v>
      </c>
      <c r="W39" s="119">
        <f t="shared" ref="W39:W42" si="204">SUM(S39:V39)</f>
        <v>1552.56</v>
      </c>
      <c r="X39" s="109">
        <f t="shared" ref="X39:X45" si="205">J39+K39+L39+M39+W39</f>
        <v>11302.56</v>
      </c>
      <c r="Y39" s="641"/>
      <c r="Z39" s="641"/>
      <c r="AA39" s="641"/>
      <c r="AB39" s="641"/>
      <c r="AC39" s="641">
        <f t="shared" si="25"/>
        <v>879.38</v>
      </c>
      <c r="AD39" s="641"/>
      <c r="AE39" s="641"/>
      <c r="AF39" s="246"/>
      <c r="AG39" s="11"/>
      <c r="AH39" s="11"/>
      <c r="AI39" s="233" t="s">
        <v>842</v>
      </c>
      <c r="AJ39" s="119">
        <f t="shared" ref="AJ39:AJ45" si="206">I39*AI39</f>
        <v>0</v>
      </c>
      <c r="AK39" s="119"/>
      <c r="AL39" s="119"/>
      <c r="AM39" s="119">
        <f t="shared" ref="AM39:AM45" si="207">(P39+Q39)*AI39</f>
        <v>0</v>
      </c>
      <c r="AN39" s="119">
        <f t="shared" ref="AN39:AN45" si="208">AI39*O39</f>
        <v>0</v>
      </c>
      <c r="AO39" s="119">
        <f t="shared" ref="AO39:AO45" si="209">N39*AI39</f>
        <v>0</v>
      </c>
      <c r="AP39" s="864">
        <f t="shared" ref="AP39:AP45" si="210">I39</f>
        <v>750</v>
      </c>
      <c r="AQ39" s="119">
        <f t="shared" ref="AQ39:AQ45" si="211">SUM(AJ39:AP39)</f>
        <v>750</v>
      </c>
      <c r="AS39" s="461">
        <f t="shared" ref="AS39:AS45" si="212">12-AI39</f>
        <v>12</v>
      </c>
      <c r="AT39" s="119">
        <f t="shared" ref="AT39:AT45" si="213">I39*AS39</f>
        <v>9000</v>
      </c>
      <c r="AU39" s="119">
        <f t="shared" ref="AU39:AU45" si="214">K39</f>
        <v>0</v>
      </c>
      <c r="AV39" s="119"/>
      <c r="AW39" s="119">
        <f t="shared" ref="AW39:AW45" si="215">(P39+Q39)*AS39</f>
        <v>765</v>
      </c>
      <c r="AX39" s="119">
        <f t="shared" ref="AX39:AX45" si="216">AS39*O39</f>
        <v>0</v>
      </c>
      <c r="AY39" s="119">
        <f t="shared" ref="AY39:AY45" si="217">N39*AS39</f>
        <v>787.56</v>
      </c>
      <c r="AZ39" s="119">
        <v>0</v>
      </c>
      <c r="BA39" s="119">
        <f t="shared" ref="BA39:BA45" si="218">SUM(AT39:AY39)</f>
        <v>10552.56</v>
      </c>
      <c r="BC39" s="197">
        <f t="shared" si="4"/>
        <v>721.93</v>
      </c>
      <c r="BD39"/>
      <c r="BE39" s="2">
        <f t="shared" si="26"/>
        <v>0</v>
      </c>
    </row>
    <row r="40" spans="1:57" x14ac:dyDescent="0.2">
      <c r="A40" s="116">
        <f>A39+1</f>
        <v>24</v>
      </c>
      <c r="B40" s="30" t="s">
        <v>794</v>
      </c>
      <c r="C40" s="30"/>
      <c r="D40" s="115" t="s">
        <v>398</v>
      </c>
      <c r="E40" s="116">
        <v>1</v>
      </c>
      <c r="F40" s="117" t="s">
        <v>24</v>
      </c>
      <c r="G40" s="117" t="s">
        <v>24</v>
      </c>
      <c r="H40" s="930">
        <v>850</v>
      </c>
      <c r="I40" s="931">
        <f t="shared" si="196"/>
        <v>850</v>
      </c>
      <c r="J40" s="862">
        <f>I40*12</f>
        <v>10200</v>
      </c>
      <c r="K40" s="862">
        <v>0</v>
      </c>
      <c r="L40" s="862">
        <v>0</v>
      </c>
      <c r="M40" s="862">
        <f t="shared" ref="M40:M45" si="219">I40</f>
        <v>850</v>
      </c>
      <c r="N40" s="862">
        <f t="shared" si="197"/>
        <v>74.38</v>
      </c>
      <c r="O40" s="862">
        <v>0</v>
      </c>
      <c r="P40" s="862">
        <f t="shared" si="198"/>
        <v>63.75</v>
      </c>
      <c r="Q40" s="862">
        <f t="shared" si="199"/>
        <v>8.5</v>
      </c>
      <c r="R40" s="862">
        <f t="shared" si="200"/>
        <v>146.63</v>
      </c>
      <c r="S40" s="862">
        <f t="shared" si="201"/>
        <v>892.56</v>
      </c>
      <c r="T40" s="862">
        <f t="shared" si="201"/>
        <v>0</v>
      </c>
      <c r="U40" s="862">
        <f t="shared" si="202"/>
        <v>765</v>
      </c>
      <c r="V40" s="862">
        <f t="shared" si="203"/>
        <v>102</v>
      </c>
      <c r="W40" s="862">
        <f t="shared" si="204"/>
        <v>1759.56</v>
      </c>
      <c r="X40" s="929">
        <f t="shared" si="205"/>
        <v>12809.56</v>
      </c>
      <c r="Y40" s="942"/>
      <c r="Z40" s="804"/>
      <c r="AA40" s="804"/>
      <c r="AB40" s="804"/>
      <c r="AC40" s="804">
        <f t="shared" si="25"/>
        <v>996.63</v>
      </c>
      <c r="AD40" s="804"/>
      <c r="AE40" s="804"/>
      <c r="AF40" s="723"/>
      <c r="AG40" s="11"/>
      <c r="AH40" s="11"/>
      <c r="AI40" s="233" t="s">
        <v>844</v>
      </c>
      <c r="AJ40" s="862">
        <f>I40*AI40</f>
        <v>9350</v>
      </c>
      <c r="AK40" s="862"/>
      <c r="AL40" s="862"/>
      <c r="AM40" s="862">
        <f t="shared" si="207"/>
        <v>794.75</v>
      </c>
      <c r="AN40" s="862">
        <f t="shared" si="208"/>
        <v>0</v>
      </c>
      <c r="AO40" s="862">
        <f t="shared" si="209"/>
        <v>818.18</v>
      </c>
      <c r="AP40" s="864">
        <f t="shared" si="210"/>
        <v>850</v>
      </c>
      <c r="AQ40" s="862">
        <f t="shared" si="211"/>
        <v>11812.93</v>
      </c>
      <c r="AS40" s="233">
        <f t="shared" si="212"/>
        <v>1</v>
      </c>
      <c r="AT40" s="862">
        <f t="shared" si="213"/>
        <v>850</v>
      </c>
      <c r="AU40" s="862">
        <f t="shared" si="214"/>
        <v>0</v>
      </c>
      <c r="AV40" s="862"/>
      <c r="AW40" s="862">
        <f t="shared" si="215"/>
        <v>72.25</v>
      </c>
      <c r="AX40" s="862">
        <f t="shared" si="216"/>
        <v>0</v>
      </c>
      <c r="AY40" s="862">
        <f t="shared" si="217"/>
        <v>74.38</v>
      </c>
      <c r="AZ40" s="862">
        <v>0</v>
      </c>
      <c r="BA40" s="862">
        <f t="shared" si="218"/>
        <v>996.63</v>
      </c>
      <c r="BC40" s="197">
        <f t="shared" si="4"/>
        <v>818.18</v>
      </c>
      <c r="BE40" s="2">
        <f t="shared" si="26"/>
        <v>0</v>
      </c>
    </row>
    <row r="41" spans="1:57" s="626" customFormat="1" ht="36" x14ac:dyDescent="0.2">
      <c r="A41" s="159">
        <f t="shared" ref="A41:A45" si="220">A40+1</f>
        <v>25</v>
      </c>
      <c r="B41" s="199" t="s">
        <v>664</v>
      </c>
      <c r="C41" s="199" t="s">
        <v>825</v>
      </c>
      <c r="D41" s="199" t="s">
        <v>667</v>
      </c>
      <c r="E41" s="159">
        <v>1</v>
      </c>
      <c r="F41" s="160" t="s">
        <v>24</v>
      </c>
      <c r="G41" s="160" t="s">
        <v>24</v>
      </c>
      <c r="H41" s="196">
        <v>500</v>
      </c>
      <c r="I41" s="202">
        <f t="shared" ref="I41" si="221">E41*H41</f>
        <v>500</v>
      </c>
      <c r="J41" s="161">
        <f t="shared" ref="J41" si="222">I41*12</f>
        <v>6000</v>
      </c>
      <c r="K41" s="119">
        <v>0</v>
      </c>
      <c r="L41" s="161">
        <v>0</v>
      </c>
      <c r="M41" s="161">
        <f t="shared" ref="M41" si="223">I41</f>
        <v>500</v>
      </c>
      <c r="N41" s="161">
        <v>0</v>
      </c>
      <c r="O41" s="161">
        <f>+I41*$O$8</f>
        <v>30</v>
      </c>
      <c r="P41" s="161">
        <f>ROUND((IF(I41&gt;1000,1000*$P$8,I41*$P$8)),2)*E41</f>
        <v>37.5</v>
      </c>
      <c r="Q41" s="161">
        <f t="shared" si="199"/>
        <v>5</v>
      </c>
      <c r="R41" s="161">
        <f t="shared" si="200"/>
        <v>72.5</v>
      </c>
      <c r="S41" s="161">
        <f t="shared" si="201"/>
        <v>0</v>
      </c>
      <c r="T41" s="161">
        <f t="shared" si="201"/>
        <v>360</v>
      </c>
      <c r="U41" s="161">
        <f t="shared" si="202"/>
        <v>450</v>
      </c>
      <c r="V41" s="161">
        <f t="shared" si="203"/>
        <v>60</v>
      </c>
      <c r="W41" s="161">
        <f t="shared" si="204"/>
        <v>870</v>
      </c>
      <c r="X41" s="109">
        <f t="shared" si="205"/>
        <v>7370</v>
      </c>
      <c r="Y41" s="643"/>
      <c r="Z41" s="643"/>
      <c r="AA41" s="643"/>
      <c r="AB41" s="643"/>
      <c r="AC41" s="641">
        <f t="shared" si="25"/>
        <v>572.5</v>
      </c>
      <c r="AD41" s="643"/>
      <c r="AE41" s="643"/>
      <c r="AF41" s="639"/>
      <c r="AG41" s="624"/>
      <c r="AH41" s="624"/>
      <c r="AI41" s="625" t="s">
        <v>842</v>
      </c>
      <c r="AJ41" s="161">
        <f t="shared" si="206"/>
        <v>0</v>
      </c>
      <c r="AK41" s="161"/>
      <c r="AL41" s="161"/>
      <c r="AM41" s="119">
        <f t="shared" si="207"/>
        <v>0</v>
      </c>
      <c r="AN41" s="161">
        <f t="shared" si="208"/>
        <v>0</v>
      </c>
      <c r="AO41" s="161">
        <f t="shared" si="209"/>
        <v>0</v>
      </c>
      <c r="AP41" s="864">
        <f t="shared" si="210"/>
        <v>500</v>
      </c>
      <c r="AQ41" s="161">
        <f t="shared" si="211"/>
        <v>500</v>
      </c>
      <c r="AS41" s="634">
        <f t="shared" si="212"/>
        <v>12</v>
      </c>
      <c r="AT41" s="161">
        <f t="shared" si="213"/>
        <v>6000</v>
      </c>
      <c r="AU41" s="161">
        <f t="shared" si="214"/>
        <v>0</v>
      </c>
      <c r="AV41" s="161"/>
      <c r="AW41" s="161">
        <f t="shared" si="215"/>
        <v>510</v>
      </c>
      <c r="AX41" s="161">
        <f t="shared" si="216"/>
        <v>360</v>
      </c>
      <c r="AY41" s="161">
        <f t="shared" si="217"/>
        <v>0</v>
      </c>
      <c r="AZ41" s="161">
        <v>0</v>
      </c>
      <c r="BA41" s="161">
        <f t="shared" si="218"/>
        <v>6870</v>
      </c>
      <c r="BC41" s="627">
        <f t="shared" si="4"/>
        <v>0</v>
      </c>
      <c r="BD41" s="635"/>
      <c r="BE41" s="2">
        <f t="shared" si="26"/>
        <v>0</v>
      </c>
    </row>
    <row r="42" spans="1:57" s="626" customFormat="1" ht="36" customHeight="1" x14ac:dyDescent="0.2">
      <c r="A42" s="159">
        <f t="shared" si="220"/>
        <v>26</v>
      </c>
      <c r="B42" s="199" t="s">
        <v>795</v>
      </c>
      <c r="C42" s="199" t="s">
        <v>826</v>
      </c>
      <c r="D42" s="199" t="s">
        <v>668</v>
      </c>
      <c r="E42" s="159">
        <v>1</v>
      </c>
      <c r="F42" s="160" t="s">
        <v>24</v>
      </c>
      <c r="G42" s="160" t="s">
        <v>24</v>
      </c>
      <c r="H42" s="196">
        <v>400</v>
      </c>
      <c r="I42" s="202">
        <f t="shared" si="196"/>
        <v>400</v>
      </c>
      <c r="J42" s="161">
        <f t="shared" ref="J42:J45" si="224">I42*12</f>
        <v>4800</v>
      </c>
      <c r="K42" s="119">
        <v>0</v>
      </c>
      <c r="L42" s="161">
        <v>0</v>
      </c>
      <c r="M42" s="161">
        <f t="shared" si="219"/>
        <v>400</v>
      </c>
      <c r="N42" s="161">
        <f t="shared" si="197"/>
        <v>35</v>
      </c>
      <c r="O42" s="161">
        <v>0</v>
      </c>
      <c r="P42" s="161">
        <f t="shared" si="198"/>
        <v>30</v>
      </c>
      <c r="Q42" s="161">
        <f t="shared" si="199"/>
        <v>4</v>
      </c>
      <c r="R42" s="161">
        <f t="shared" si="200"/>
        <v>69</v>
      </c>
      <c r="S42" s="161">
        <f t="shared" si="201"/>
        <v>420</v>
      </c>
      <c r="T42" s="161">
        <f t="shared" si="201"/>
        <v>0</v>
      </c>
      <c r="U42" s="161">
        <f t="shared" si="202"/>
        <v>360</v>
      </c>
      <c r="V42" s="161">
        <f t="shared" si="203"/>
        <v>48</v>
      </c>
      <c r="W42" s="161">
        <f t="shared" si="204"/>
        <v>828</v>
      </c>
      <c r="X42" s="109">
        <f t="shared" si="205"/>
        <v>6028</v>
      </c>
      <c r="Y42" s="643"/>
      <c r="Z42" s="643"/>
      <c r="AA42" s="643"/>
      <c r="AB42" s="643"/>
      <c r="AC42" s="641">
        <f t="shared" si="25"/>
        <v>469</v>
      </c>
      <c r="AD42" s="643"/>
      <c r="AE42" s="643"/>
      <c r="AF42" s="639"/>
      <c r="AG42" s="624"/>
      <c r="AH42" s="624"/>
      <c r="AI42" s="625" t="s">
        <v>842</v>
      </c>
      <c r="AJ42" s="161">
        <f t="shared" si="206"/>
        <v>0</v>
      </c>
      <c r="AK42" s="161"/>
      <c r="AL42" s="161"/>
      <c r="AM42" s="119">
        <f t="shared" si="207"/>
        <v>0</v>
      </c>
      <c r="AN42" s="161">
        <f t="shared" si="208"/>
        <v>0</v>
      </c>
      <c r="AO42" s="161">
        <f t="shared" si="209"/>
        <v>0</v>
      </c>
      <c r="AP42" s="864">
        <f t="shared" si="210"/>
        <v>400</v>
      </c>
      <c r="AQ42" s="161">
        <f t="shared" si="211"/>
        <v>400</v>
      </c>
      <c r="AS42" s="634">
        <f t="shared" si="212"/>
        <v>12</v>
      </c>
      <c r="AT42" s="161">
        <f t="shared" si="213"/>
        <v>4800</v>
      </c>
      <c r="AU42" s="161">
        <f t="shared" si="214"/>
        <v>0</v>
      </c>
      <c r="AV42" s="161"/>
      <c r="AW42" s="161">
        <f t="shared" si="215"/>
        <v>408</v>
      </c>
      <c r="AX42" s="161">
        <f t="shared" si="216"/>
        <v>0</v>
      </c>
      <c r="AY42" s="161">
        <f t="shared" si="217"/>
        <v>420</v>
      </c>
      <c r="AZ42" s="161">
        <v>0</v>
      </c>
      <c r="BA42" s="161">
        <f t="shared" si="218"/>
        <v>5628</v>
      </c>
      <c r="BC42" s="627">
        <f t="shared" si="4"/>
        <v>385</v>
      </c>
      <c r="BD42" s="635"/>
      <c r="BE42" s="2">
        <f t="shared" si="26"/>
        <v>0</v>
      </c>
    </row>
    <row r="43" spans="1:57" s="46" customFormat="1" x14ac:dyDescent="0.2">
      <c r="A43" s="159">
        <f>A42+1</f>
        <v>27</v>
      </c>
      <c r="B43" s="30" t="s">
        <v>666</v>
      </c>
      <c r="C43" s="30" t="s">
        <v>827</v>
      </c>
      <c r="D43" s="115" t="s">
        <v>603</v>
      </c>
      <c r="E43" s="116">
        <v>1</v>
      </c>
      <c r="F43" s="117" t="s">
        <v>24</v>
      </c>
      <c r="G43" s="117" t="s">
        <v>244</v>
      </c>
      <c r="H43" s="195">
        <v>500</v>
      </c>
      <c r="I43" s="201">
        <f t="shared" si="196"/>
        <v>500</v>
      </c>
      <c r="J43" s="119">
        <f t="shared" si="224"/>
        <v>6000</v>
      </c>
      <c r="K43" s="119">
        <v>0</v>
      </c>
      <c r="L43" s="119">
        <v>0</v>
      </c>
      <c r="M43" s="119">
        <f t="shared" si="219"/>
        <v>500</v>
      </c>
      <c r="N43" s="119">
        <f t="shared" si="197"/>
        <v>43.75</v>
      </c>
      <c r="O43" s="119">
        <v>0</v>
      </c>
      <c r="P43" s="119">
        <f t="shared" si="198"/>
        <v>37.5</v>
      </c>
      <c r="Q43" s="119">
        <f t="shared" si="199"/>
        <v>5</v>
      </c>
      <c r="R43" s="119">
        <f t="shared" ref="R43" si="225">SUM(N43:Q43)</f>
        <v>86.25</v>
      </c>
      <c r="S43" s="119">
        <f t="shared" si="201"/>
        <v>525</v>
      </c>
      <c r="T43" s="119">
        <f t="shared" si="201"/>
        <v>0</v>
      </c>
      <c r="U43" s="119">
        <f t="shared" si="202"/>
        <v>450</v>
      </c>
      <c r="V43" s="119">
        <f t="shared" si="203"/>
        <v>60</v>
      </c>
      <c r="W43" s="119">
        <f t="shared" ref="W43" si="226">SUM(S43:V43)</f>
        <v>1035</v>
      </c>
      <c r="X43" s="109">
        <f t="shared" si="205"/>
        <v>7535</v>
      </c>
      <c r="Y43" s="641"/>
      <c r="Z43" s="641"/>
      <c r="AA43" s="641"/>
      <c r="AB43" s="641"/>
      <c r="AC43" s="641">
        <f t="shared" si="25"/>
        <v>586.25</v>
      </c>
      <c r="AD43" s="641"/>
      <c r="AE43" s="641"/>
      <c r="AF43" s="246"/>
      <c r="AG43" s="11"/>
      <c r="AH43" s="11"/>
      <c r="AI43" s="233" t="s">
        <v>842</v>
      </c>
      <c r="AJ43" s="119">
        <f t="shared" si="206"/>
        <v>0</v>
      </c>
      <c r="AK43" s="119"/>
      <c r="AL43" s="119"/>
      <c r="AM43" s="119">
        <f t="shared" si="207"/>
        <v>0</v>
      </c>
      <c r="AN43" s="119">
        <f t="shared" si="208"/>
        <v>0</v>
      </c>
      <c r="AO43" s="119">
        <f t="shared" si="209"/>
        <v>0</v>
      </c>
      <c r="AP43" s="864">
        <f t="shared" si="210"/>
        <v>500</v>
      </c>
      <c r="AQ43" s="119">
        <f t="shared" si="211"/>
        <v>500</v>
      </c>
      <c r="AS43" s="461">
        <f t="shared" si="212"/>
        <v>12</v>
      </c>
      <c r="AT43" s="119">
        <f t="shared" si="213"/>
        <v>6000</v>
      </c>
      <c r="AU43" s="119">
        <f t="shared" si="214"/>
        <v>0</v>
      </c>
      <c r="AV43" s="119">
        <f>L43</f>
        <v>0</v>
      </c>
      <c r="AW43" s="119">
        <f t="shared" si="215"/>
        <v>510</v>
      </c>
      <c r="AX43" s="119">
        <f t="shared" si="216"/>
        <v>0</v>
      </c>
      <c r="AY43" s="119">
        <f t="shared" si="217"/>
        <v>525</v>
      </c>
      <c r="AZ43" s="119">
        <v>0</v>
      </c>
      <c r="BA43" s="119">
        <f t="shared" si="218"/>
        <v>7035</v>
      </c>
      <c r="BC43" s="197">
        <f t="shared" si="4"/>
        <v>481.25</v>
      </c>
      <c r="BD43"/>
      <c r="BE43" s="2">
        <f t="shared" si="26"/>
        <v>0</v>
      </c>
    </row>
    <row r="44" spans="1:57" s="46" customFormat="1" x14ac:dyDescent="0.2">
      <c r="A44" s="159">
        <f t="shared" si="220"/>
        <v>28</v>
      </c>
      <c r="B44" s="30" t="s">
        <v>23</v>
      </c>
      <c r="C44" s="30" t="s">
        <v>828</v>
      </c>
      <c r="D44" s="115"/>
      <c r="E44" s="116">
        <v>1</v>
      </c>
      <c r="F44" s="117" t="s">
        <v>24</v>
      </c>
      <c r="G44" s="117" t="s">
        <v>24</v>
      </c>
      <c r="H44" s="195">
        <v>365</v>
      </c>
      <c r="I44" s="201">
        <f t="shared" ref="I44" si="227">E44*H44</f>
        <v>365</v>
      </c>
      <c r="J44" s="119">
        <f t="shared" ref="J44" si="228">I44*12</f>
        <v>4380</v>
      </c>
      <c r="K44" s="119">
        <v>0</v>
      </c>
      <c r="L44" s="119">
        <v>0</v>
      </c>
      <c r="M44" s="119">
        <f t="shared" ref="M44" si="229">I44</f>
        <v>365</v>
      </c>
      <c r="N44" s="119">
        <v>0</v>
      </c>
      <c r="O44" s="119">
        <v>0</v>
      </c>
      <c r="P44" s="119">
        <f t="shared" si="198"/>
        <v>27.38</v>
      </c>
      <c r="Q44" s="119">
        <f t="shared" si="199"/>
        <v>3.65</v>
      </c>
      <c r="R44" s="119">
        <f t="shared" ref="R44" si="230">SUM(N44:Q44)</f>
        <v>31.029999999999998</v>
      </c>
      <c r="S44" s="119">
        <f t="shared" si="201"/>
        <v>0</v>
      </c>
      <c r="T44" s="119">
        <f t="shared" si="201"/>
        <v>0</v>
      </c>
      <c r="U44" s="119">
        <f t="shared" si="202"/>
        <v>328.56</v>
      </c>
      <c r="V44" s="119">
        <f t="shared" si="203"/>
        <v>43.8</v>
      </c>
      <c r="W44" s="119">
        <f t="shared" ref="W44:W45" si="231">SUM(S44:V44)</f>
        <v>372.36</v>
      </c>
      <c r="X44" s="109">
        <f t="shared" si="205"/>
        <v>5117.3599999999997</v>
      </c>
      <c r="Y44" s="641"/>
      <c r="Z44" s="641"/>
      <c r="AA44" s="641"/>
      <c r="AB44" s="641"/>
      <c r="AC44" s="641">
        <f t="shared" si="25"/>
        <v>396.03</v>
      </c>
      <c r="AD44" s="641"/>
      <c r="AE44" s="641"/>
      <c r="AF44" s="246"/>
      <c r="AG44" s="11"/>
      <c r="AH44" s="11"/>
      <c r="AI44" s="233" t="s">
        <v>842</v>
      </c>
      <c r="AJ44" s="119">
        <f t="shared" ref="AJ44" si="232">I44*AI44</f>
        <v>0</v>
      </c>
      <c r="AK44" s="119"/>
      <c r="AL44" s="119"/>
      <c r="AM44" s="119">
        <f t="shared" si="207"/>
        <v>0</v>
      </c>
      <c r="AN44" s="119">
        <f t="shared" si="208"/>
        <v>0</v>
      </c>
      <c r="AO44" s="119">
        <f t="shared" si="209"/>
        <v>0</v>
      </c>
      <c r="AP44" s="864">
        <f t="shared" si="210"/>
        <v>365</v>
      </c>
      <c r="AQ44" s="119">
        <f t="shared" si="211"/>
        <v>365</v>
      </c>
      <c r="AS44" s="461">
        <f t="shared" si="212"/>
        <v>12</v>
      </c>
      <c r="AT44" s="119">
        <f t="shared" si="213"/>
        <v>4380</v>
      </c>
      <c r="AU44" s="119">
        <f t="shared" si="214"/>
        <v>0</v>
      </c>
      <c r="AV44" s="119"/>
      <c r="AW44" s="119">
        <f t="shared" si="215"/>
        <v>372.35999999999996</v>
      </c>
      <c r="AX44" s="119">
        <f t="shared" si="216"/>
        <v>0</v>
      </c>
      <c r="AY44" s="119">
        <f t="shared" si="217"/>
        <v>0</v>
      </c>
      <c r="AZ44" s="119">
        <v>0</v>
      </c>
      <c r="BA44" s="119">
        <f t="shared" si="218"/>
        <v>4752.3599999999997</v>
      </c>
      <c r="BC44" s="197">
        <f t="shared" si="4"/>
        <v>0</v>
      </c>
      <c r="BD44"/>
      <c r="BE44" s="2">
        <f t="shared" si="26"/>
        <v>0</v>
      </c>
    </row>
    <row r="45" spans="1:57" s="46" customFormat="1" x14ac:dyDescent="0.2">
      <c r="A45" s="159">
        <f t="shared" si="220"/>
        <v>29</v>
      </c>
      <c r="B45" s="30" t="s">
        <v>23</v>
      </c>
      <c r="C45" s="30" t="s">
        <v>829</v>
      </c>
      <c r="D45" s="115"/>
      <c r="E45" s="116">
        <v>1</v>
      </c>
      <c r="F45" s="117" t="s">
        <v>24</v>
      </c>
      <c r="G45" s="117" t="s">
        <v>24</v>
      </c>
      <c r="H45" s="195">
        <v>365</v>
      </c>
      <c r="I45" s="201">
        <f t="shared" si="196"/>
        <v>365</v>
      </c>
      <c r="J45" s="119">
        <f t="shared" si="224"/>
        <v>4380</v>
      </c>
      <c r="K45" s="119">
        <v>0</v>
      </c>
      <c r="L45" s="119">
        <v>0</v>
      </c>
      <c r="M45" s="119">
        <f t="shared" si="219"/>
        <v>365</v>
      </c>
      <c r="N45" s="119">
        <f t="shared" si="197"/>
        <v>31.94</v>
      </c>
      <c r="O45" s="119">
        <v>0</v>
      </c>
      <c r="P45" s="119">
        <f t="shared" si="198"/>
        <v>27.38</v>
      </c>
      <c r="Q45" s="119">
        <f t="shared" si="199"/>
        <v>3.65</v>
      </c>
      <c r="R45" s="119">
        <f t="shared" si="200"/>
        <v>62.97</v>
      </c>
      <c r="S45" s="119">
        <f t="shared" si="201"/>
        <v>383.28000000000003</v>
      </c>
      <c r="T45" s="119">
        <f t="shared" si="201"/>
        <v>0</v>
      </c>
      <c r="U45" s="119">
        <f t="shared" si="202"/>
        <v>328.56</v>
      </c>
      <c r="V45" s="119">
        <f t="shared" si="203"/>
        <v>43.8</v>
      </c>
      <c r="W45" s="119">
        <f t="shared" si="231"/>
        <v>755.64</v>
      </c>
      <c r="X45" s="109">
        <f t="shared" si="205"/>
        <v>5500.64</v>
      </c>
      <c r="Y45" s="641"/>
      <c r="Z45" s="641"/>
      <c r="AA45" s="641"/>
      <c r="AB45" s="641"/>
      <c r="AC45" s="641">
        <f t="shared" si="25"/>
        <v>427.97</v>
      </c>
      <c r="AD45" s="641"/>
      <c r="AE45" s="641"/>
      <c r="AF45" s="246"/>
      <c r="AG45" s="11"/>
      <c r="AH45" s="11"/>
      <c r="AI45" s="233" t="s">
        <v>842</v>
      </c>
      <c r="AJ45" s="119">
        <f t="shared" si="206"/>
        <v>0</v>
      </c>
      <c r="AK45" s="119"/>
      <c r="AL45" s="119"/>
      <c r="AM45" s="119">
        <f t="shared" si="207"/>
        <v>0</v>
      </c>
      <c r="AN45" s="119">
        <f t="shared" si="208"/>
        <v>0</v>
      </c>
      <c r="AO45" s="119">
        <f t="shared" si="209"/>
        <v>0</v>
      </c>
      <c r="AP45" s="864">
        <f t="shared" si="210"/>
        <v>365</v>
      </c>
      <c r="AQ45" s="119">
        <f t="shared" si="211"/>
        <v>365</v>
      </c>
      <c r="AS45" s="461">
        <f t="shared" si="212"/>
        <v>12</v>
      </c>
      <c r="AT45" s="119">
        <f t="shared" si="213"/>
        <v>4380</v>
      </c>
      <c r="AU45" s="119">
        <f t="shared" si="214"/>
        <v>0</v>
      </c>
      <c r="AV45" s="119"/>
      <c r="AW45" s="119">
        <f t="shared" si="215"/>
        <v>372.35999999999996</v>
      </c>
      <c r="AX45" s="119">
        <f t="shared" si="216"/>
        <v>0</v>
      </c>
      <c r="AY45" s="119">
        <f t="shared" si="217"/>
        <v>383.28000000000003</v>
      </c>
      <c r="AZ45" s="119">
        <v>0</v>
      </c>
      <c r="BA45" s="119">
        <f t="shared" si="218"/>
        <v>5135.6399999999994</v>
      </c>
      <c r="BC45" s="197">
        <f t="shared" si="4"/>
        <v>351.34000000000003</v>
      </c>
      <c r="BD45"/>
      <c r="BE45" s="2">
        <f t="shared" si="26"/>
        <v>0</v>
      </c>
    </row>
    <row r="46" spans="1:57" s="46" customFormat="1" ht="13.5" thickBot="1" x14ac:dyDescent="0.25">
      <c r="A46" s="126"/>
      <c r="B46" s="50" t="s">
        <v>389</v>
      </c>
      <c r="C46" s="50"/>
      <c r="D46" s="121"/>
      <c r="E46" s="122">
        <f>SUM(E39:E45)</f>
        <v>7</v>
      </c>
      <c r="F46" s="123"/>
      <c r="G46" s="123"/>
      <c r="H46" s="123"/>
      <c r="I46" s="124">
        <f t="shared" ref="I46:X46" si="233">SUM(I39:I45)</f>
        <v>3730</v>
      </c>
      <c r="J46" s="124">
        <f t="shared" si="233"/>
        <v>44760</v>
      </c>
      <c r="K46" s="124">
        <f t="shared" si="233"/>
        <v>0</v>
      </c>
      <c r="L46" s="124">
        <f t="shared" si="233"/>
        <v>0</v>
      </c>
      <c r="M46" s="124">
        <f t="shared" si="233"/>
        <v>3730</v>
      </c>
      <c r="N46" s="124">
        <f t="shared" si="233"/>
        <v>250.7</v>
      </c>
      <c r="O46" s="124">
        <f t="shared" si="233"/>
        <v>30</v>
      </c>
      <c r="P46" s="124">
        <f t="shared" si="233"/>
        <v>279.76</v>
      </c>
      <c r="Q46" s="124">
        <f t="shared" si="233"/>
        <v>37.299999999999997</v>
      </c>
      <c r="R46" s="124">
        <f t="shared" si="233"/>
        <v>597.76</v>
      </c>
      <c r="S46" s="124">
        <f t="shared" si="233"/>
        <v>3008.4</v>
      </c>
      <c r="T46" s="124">
        <f t="shared" si="233"/>
        <v>360</v>
      </c>
      <c r="U46" s="124">
        <f t="shared" si="233"/>
        <v>3357.12</v>
      </c>
      <c r="V46" s="124">
        <f t="shared" si="233"/>
        <v>447.6</v>
      </c>
      <c r="W46" s="124">
        <f t="shared" si="233"/>
        <v>7173.12</v>
      </c>
      <c r="X46" s="47">
        <f t="shared" si="233"/>
        <v>55663.119999999995</v>
      </c>
      <c r="Y46" s="642"/>
      <c r="Z46" s="642"/>
      <c r="AA46" s="642"/>
      <c r="AB46" s="642"/>
      <c r="AC46" s="646">
        <f t="shared" si="25"/>
        <v>4327.76</v>
      </c>
      <c r="AD46" s="642"/>
      <c r="AE46" s="642"/>
      <c r="AF46" s="246">
        <v>51836.76</v>
      </c>
      <c r="AG46" s="11">
        <f>X46-AF46</f>
        <v>3826.3599999999933</v>
      </c>
      <c r="AH46" s="11"/>
      <c r="AI46" s="240"/>
      <c r="AJ46" s="240">
        <f t="shared" ref="AJ46:AQ46" si="234">SUM(AJ39:AJ45)</f>
        <v>9350</v>
      </c>
      <c r="AK46" s="240">
        <f t="shared" si="234"/>
        <v>0</v>
      </c>
      <c r="AL46" s="240">
        <f t="shared" si="234"/>
        <v>0</v>
      </c>
      <c r="AM46" s="240">
        <f t="shared" si="234"/>
        <v>794.75</v>
      </c>
      <c r="AN46" s="240">
        <f t="shared" si="234"/>
        <v>0</v>
      </c>
      <c r="AO46" s="240">
        <f t="shared" si="234"/>
        <v>818.18</v>
      </c>
      <c r="AP46" s="240">
        <f t="shared" si="234"/>
        <v>3730</v>
      </c>
      <c r="AQ46" s="240">
        <f t="shared" si="234"/>
        <v>14692.93</v>
      </c>
      <c r="AS46" s="240"/>
      <c r="AT46" s="240">
        <f t="shared" ref="AT46:BA46" si="235">SUM(AT39:AT45)</f>
        <v>35410</v>
      </c>
      <c r="AU46" s="240">
        <f t="shared" si="235"/>
        <v>0</v>
      </c>
      <c r="AV46" s="240">
        <f t="shared" si="235"/>
        <v>0</v>
      </c>
      <c r="AW46" s="240">
        <f t="shared" si="235"/>
        <v>3009.9700000000003</v>
      </c>
      <c r="AX46" s="240">
        <f t="shared" si="235"/>
        <v>360</v>
      </c>
      <c r="AY46" s="240">
        <f t="shared" si="235"/>
        <v>2190.2200000000003</v>
      </c>
      <c r="AZ46" s="240">
        <f t="shared" si="235"/>
        <v>0</v>
      </c>
      <c r="BA46" s="240">
        <f t="shared" si="235"/>
        <v>40970.189999999995</v>
      </c>
      <c r="BC46" s="197">
        <f t="shared" si="4"/>
        <v>2757.7000000000003</v>
      </c>
      <c r="BD46"/>
      <c r="BE46" s="2">
        <f t="shared" si="26"/>
        <v>0</v>
      </c>
    </row>
    <row r="47" spans="1:57" s="46" customFormat="1" ht="14.25" thickTop="1" thickBot="1" x14ac:dyDescent="0.25">
      <c r="A47" s="126"/>
      <c r="B47" s="50" t="s">
        <v>670</v>
      </c>
      <c r="C47" s="50"/>
      <c r="D47" s="121"/>
      <c r="E47" s="122">
        <f>E46</f>
        <v>7</v>
      </c>
      <c r="F47" s="123"/>
      <c r="G47" s="123"/>
      <c r="H47" s="123"/>
      <c r="I47" s="124">
        <f t="shared" ref="I47:X47" si="236">I46</f>
        <v>3730</v>
      </c>
      <c r="J47" s="124">
        <f t="shared" si="236"/>
        <v>44760</v>
      </c>
      <c r="K47" s="124">
        <f>K46</f>
        <v>0</v>
      </c>
      <c r="L47" s="124">
        <f t="shared" si="236"/>
        <v>0</v>
      </c>
      <c r="M47" s="124">
        <f t="shared" si="236"/>
        <v>3730</v>
      </c>
      <c r="N47" s="124">
        <f t="shared" si="236"/>
        <v>250.7</v>
      </c>
      <c r="O47" s="124">
        <f t="shared" si="236"/>
        <v>30</v>
      </c>
      <c r="P47" s="124">
        <f t="shared" si="236"/>
        <v>279.76</v>
      </c>
      <c r="Q47" s="124">
        <f t="shared" si="236"/>
        <v>37.299999999999997</v>
      </c>
      <c r="R47" s="124">
        <f t="shared" si="236"/>
        <v>597.76</v>
      </c>
      <c r="S47" s="124">
        <f t="shared" si="236"/>
        <v>3008.4</v>
      </c>
      <c r="T47" s="124">
        <f t="shared" si="236"/>
        <v>360</v>
      </c>
      <c r="U47" s="124">
        <f t="shared" si="236"/>
        <v>3357.12</v>
      </c>
      <c r="V47" s="124">
        <f t="shared" si="236"/>
        <v>447.6</v>
      </c>
      <c r="W47" s="124">
        <f t="shared" si="236"/>
        <v>7173.12</v>
      </c>
      <c r="X47" s="47">
        <f t="shared" si="236"/>
        <v>55663.119999999995</v>
      </c>
      <c r="Y47" s="642"/>
      <c r="Z47" s="642"/>
      <c r="AA47" s="642"/>
      <c r="AB47" s="642"/>
      <c r="AC47" s="641">
        <f t="shared" si="25"/>
        <v>4327.76</v>
      </c>
      <c r="AD47" s="642"/>
      <c r="AE47" s="642"/>
      <c r="AF47" s="246">
        <v>51836.76</v>
      </c>
      <c r="AG47" s="11">
        <f>X47-AF47</f>
        <v>3826.3599999999933</v>
      </c>
      <c r="AH47" s="11"/>
      <c r="AI47" s="240"/>
      <c r="AJ47" s="240">
        <f t="shared" ref="AJ47:AQ47" si="237">AJ46</f>
        <v>9350</v>
      </c>
      <c r="AK47" s="240">
        <f t="shared" si="237"/>
        <v>0</v>
      </c>
      <c r="AL47" s="240">
        <f t="shared" si="237"/>
        <v>0</v>
      </c>
      <c r="AM47" s="240">
        <f t="shared" si="237"/>
        <v>794.75</v>
      </c>
      <c r="AN47" s="240">
        <f t="shared" si="237"/>
        <v>0</v>
      </c>
      <c r="AO47" s="240">
        <f t="shared" si="237"/>
        <v>818.18</v>
      </c>
      <c r="AP47" s="240">
        <f t="shared" si="237"/>
        <v>3730</v>
      </c>
      <c r="AQ47" s="240">
        <f t="shared" si="237"/>
        <v>14692.93</v>
      </c>
      <c r="AS47" s="240"/>
      <c r="AT47" s="240">
        <f t="shared" ref="AT47:BA47" si="238">AT46</f>
        <v>35410</v>
      </c>
      <c r="AU47" s="240">
        <f t="shared" si="238"/>
        <v>0</v>
      </c>
      <c r="AV47" s="240">
        <f t="shared" si="238"/>
        <v>0</v>
      </c>
      <c r="AW47" s="240">
        <f t="shared" si="238"/>
        <v>3009.9700000000003</v>
      </c>
      <c r="AX47" s="240">
        <f t="shared" si="238"/>
        <v>360</v>
      </c>
      <c r="AY47" s="240">
        <f t="shared" si="238"/>
        <v>2190.2200000000003</v>
      </c>
      <c r="AZ47" s="240">
        <f t="shared" si="238"/>
        <v>0</v>
      </c>
      <c r="BA47" s="240">
        <f t="shared" si="238"/>
        <v>40970.189999999995</v>
      </c>
      <c r="BC47" s="197">
        <f t="shared" si="4"/>
        <v>2757.7000000000003</v>
      </c>
      <c r="BD47"/>
      <c r="BE47" s="2">
        <f t="shared" si="26"/>
        <v>0</v>
      </c>
    </row>
    <row r="48" spans="1:57" s="46" customFormat="1" ht="13.5" thickTop="1" x14ac:dyDescent="0.2">
      <c r="A48" s="116">
        <f>A45+1</f>
        <v>30</v>
      </c>
      <c r="B48" s="30" t="s">
        <v>559</v>
      </c>
      <c r="C48" s="30" t="s">
        <v>832</v>
      </c>
      <c r="D48" s="115" t="s">
        <v>509</v>
      </c>
      <c r="E48" s="116">
        <v>1</v>
      </c>
      <c r="F48" s="117" t="s">
        <v>244</v>
      </c>
      <c r="G48" s="117" t="s">
        <v>244</v>
      </c>
      <c r="H48" s="195">
        <v>550</v>
      </c>
      <c r="I48" s="201">
        <f t="shared" ref="I48:I53" si="239">E48*H48</f>
        <v>550</v>
      </c>
      <c r="J48" s="119">
        <f t="shared" ref="J48:J53" si="240">I48*12</f>
        <v>6600</v>
      </c>
      <c r="K48" s="119">
        <v>0</v>
      </c>
      <c r="L48" s="119">
        <v>0</v>
      </c>
      <c r="M48" s="119">
        <f>I48</f>
        <v>550</v>
      </c>
      <c r="N48" s="119">
        <f>ROUND(I48*$N$8,2)</f>
        <v>48.13</v>
      </c>
      <c r="O48" s="119">
        <v>0</v>
      </c>
      <c r="P48" s="119">
        <f>ROUND((IF(I48&gt;1000,1000*$P$8,I48*$P$8)),2)*E48</f>
        <v>41.25</v>
      </c>
      <c r="Q48" s="119">
        <f>ROUND((IF(I48&gt;1000,1000*$Q$8,I48*$Q$8)),2)</f>
        <v>5.5</v>
      </c>
      <c r="R48" s="119">
        <f>SUM(N48:Q48)</f>
        <v>94.88</v>
      </c>
      <c r="S48" s="119">
        <f t="shared" ref="S48:V53" si="241">N48*12</f>
        <v>577.56000000000006</v>
      </c>
      <c r="T48" s="119">
        <f t="shared" si="241"/>
        <v>0</v>
      </c>
      <c r="U48" s="119">
        <f t="shared" si="241"/>
        <v>495</v>
      </c>
      <c r="V48" s="119">
        <f t="shared" si="241"/>
        <v>66</v>
      </c>
      <c r="W48" s="119">
        <f>SUM(S48:V48)</f>
        <v>1138.56</v>
      </c>
      <c r="X48" s="109">
        <f t="shared" ref="X48:X68" si="242">J48+K48+L48+M48+W48</f>
        <v>8288.56</v>
      </c>
      <c r="Y48" s="641"/>
      <c r="Z48" s="641"/>
      <c r="AA48" s="641"/>
      <c r="AB48" s="641"/>
      <c r="AC48" s="641">
        <f t="shared" si="25"/>
        <v>644.88</v>
      </c>
      <c r="AD48" s="641"/>
      <c r="AE48" s="641"/>
      <c r="AF48" s="246"/>
      <c r="AG48" s="11"/>
      <c r="AH48" s="11"/>
      <c r="AI48" s="233" t="s">
        <v>842</v>
      </c>
      <c r="AJ48" s="119">
        <f t="shared" ref="AJ48:AJ53" si="243">I48*AI48</f>
        <v>0</v>
      </c>
      <c r="AK48" s="119"/>
      <c r="AL48" s="119"/>
      <c r="AM48" s="119">
        <f t="shared" ref="AM48:AM53" si="244">(P48+Q48)*AI48</f>
        <v>0</v>
      </c>
      <c r="AN48" s="119">
        <f t="shared" ref="AN48:AN53" si="245">AI48*O48</f>
        <v>0</v>
      </c>
      <c r="AO48" s="119">
        <f t="shared" ref="AO48:AO53" si="246">N48*AI48</f>
        <v>0</v>
      </c>
      <c r="AP48" s="864">
        <f t="shared" ref="AP48:AP68" si="247">I48</f>
        <v>550</v>
      </c>
      <c r="AQ48" s="119">
        <f t="shared" ref="AQ48:AQ53" si="248">SUM(AJ48:AP48)</f>
        <v>550</v>
      </c>
      <c r="AS48" s="461">
        <f t="shared" ref="AS48:AS53" si="249">12-AI48</f>
        <v>12</v>
      </c>
      <c r="AT48" s="119">
        <f t="shared" ref="AT48:AT53" si="250">I48*AS48</f>
        <v>6600</v>
      </c>
      <c r="AU48" s="119">
        <f>K48</f>
        <v>0</v>
      </c>
      <c r="AV48" s="119">
        <f>L48</f>
        <v>0</v>
      </c>
      <c r="AW48" s="119">
        <f t="shared" ref="AW48:AW68" si="251">(P48+Q48)*AS48</f>
        <v>561</v>
      </c>
      <c r="AX48" s="119">
        <f t="shared" ref="AX48:AX53" si="252">AS48*O48</f>
        <v>0</v>
      </c>
      <c r="AY48" s="119">
        <f t="shared" ref="AY48:AY53" si="253">N48*AS48</f>
        <v>577.56000000000006</v>
      </c>
      <c r="AZ48" s="119">
        <v>0</v>
      </c>
      <c r="BA48" s="119">
        <f t="shared" ref="BA48:BA53" si="254">SUM(AT48:AY48)</f>
        <v>7738.56</v>
      </c>
      <c r="BC48" s="197">
        <f t="shared" si="4"/>
        <v>529.43000000000006</v>
      </c>
      <c r="BD48"/>
      <c r="BE48" s="2">
        <f t="shared" si="26"/>
        <v>0</v>
      </c>
    </row>
    <row r="49" spans="1:57" s="46" customFormat="1" x14ac:dyDescent="0.2">
      <c r="A49" s="116">
        <f>A48+1</f>
        <v>31</v>
      </c>
      <c r="B49" s="30" t="s">
        <v>560</v>
      </c>
      <c r="C49" s="30" t="s">
        <v>833</v>
      </c>
      <c r="D49" s="115" t="s">
        <v>509</v>
      </c>
      <c r="E49" s="116">
        <v>1</v>
      </c>
      <c r="F49" s="117" t="s">
        <v>244</v>
      </c>
      <c r="G49" s="117" t="s">
        <v>244</v>
      </c>
      <c r="H49" s="195">
        <v>384.29</v>
      </c>
      <c r="I49" s="201">
        <f t="shared" si="239"/>
        <v>384.29</v>
      </c>
      <c r="J49" s="119">
        <f t="shared" si="240"/>
        <v>4611.4800000000005</v>
      </c>
      <c r="K49" s="119">
        <v>0</v>
      </c>
      <c r="L49" s="119">
        <f>(ROUND((ROUND(H49/30,2)*15)*30%,2))*E49</f>
        <v>57.65</v>
      </c>
      <c r="M49" s="119">
        <f>I49</f>
        <v>384.29</v>
      </c>
      <c r="N49" s="119">
        <f>ROUND(I49*$N$8,2)</f>
        <v>33.630000000000003</v>
      </c>
      <c r="O49" s="119">
        <v>0</v>
      </c>
      <c r="P49" s="119">
        <f>ROUND((IF(I49&gt;1000,1000*$P$8,I49*$P$8)),2)*E49</f>
        <v>28.82</v>
      </c>
      <c r="Q49" s="119">
        <f>ROUND((IF(I49&gt;1000,1000*$Q$8,I49*$Q$8)),2)</f>
        <v>3.84</v>
      </c>
      <c r="R49" s="119">
        <f>SUM(N49:Q49)</f>
        <v>66.290000000000006</v>
      </c>
      <c r="S49" s="119">
        <f t="shared" si="241"/>
        <v>403.56000000000006</v>
      </c>
      <c r="T49" s="119">
        <f t="shared" si="241"/>
        <v>0</v>
      </c>
      <c r="U49" s="119">
        <f t="shared" si="241"/>
        <v>345.84000000000003</v>
      </c>
      <c r="V49" s="119">
        <f t="shared" si="241"/>
        <v>46.08</v>
      </c>
      <c r="W49" s="119">
        <f>SUM(S49:V49)</f>
        <v>795.48000000000013</v>
      </c>
      <c r="X49" s="109">
        <f t="shared" si="242"/>
        <v>5848.9000000000005</v>
      </c>
      <c r="Y49" s="641"/>
      <c r="Z49" s="641"/>
      <c r="AA49" s="641"/>
      <c r="AB49" s="641"/>
      <c r="AC49" s="641">
        <f t="shared" si="25"/>
        <v>450.58000000000004</v>
      </c>
      <c r="AD49" s="641"/>
      <c r="AE49" s="641"/>
      <c r="AF49" s="246"/>
      <c r="AG49" s="11"/>
      <c r="AH49" s="11"/>
      <c r="AI49" s="233" t="s">
        <v>842</v>
      </c>
      <c r="AJ49" s="119">
        <f t="shared" si="243"/>
        <v>0</v>
      </c>
      <c r="AK49" s="119"/>
      <c r="AL49" s="119"/>
      <c r="AM49" s="119">
        <f t="shared" si="244"/>
        <v>0</v>
      </c>
      <c r="AN49" s="119">
        <f t="shared" si="245"/>
        <v>0</v>
      </c>
      <c r="AO49" s="119">
        <f t="shared" si="246"/>
        <v>0</v>
      </c>
      <c r="AP49" s="864">
        <f t="shared" si="247"/>
        <v>384.29</v>
      </c>
      <c r="AQ49" s="119">
        <f t="shared" si="248"/>
        <v>384.29</v>
      </c>
      <c r="AS49" s="461">
        <f t="shared" si="249"/>
        <v>12</v>
      </c>
      <c r="AT49" s="119">
        <f t="shared" si="250"/>
        <v>4611.4800000000005</v>
      </c>
      <c r="AU49" s="119">
        <f>K49</f>
        <v>0</v>
      </c>
      <c r="AV49" s="119">
        <f>L49</f>
        <v>57.65</v>
      </c>
      <c r="AW49" s="119">
        <f t="shared" si="251"/>
        <v>391.91999999999996</v>
      </c>
      <c r="AX49" s="119">
        <f t="shared" si="252"/>
        <v>0</v>
      </c>
      <c r="AY49" s="119">
        <f t="shared" si="253"/>
        <v>403.56000000000006</v>
      </c>
      <c r="AZ49" s="119">
        <v>0</v>
      </c>
      <c r="BA49" s="119">
        <f t="shared" si="254"/>
        <v>5464.6100000000006</v>
      </c>
      <c r="BC49" s="197">
        <f t="shared" si="4"/>
        <v>369.93000000000006</v>
      </c>
      <c r="BD49"/>
      <c r="BE49" s="2">
        <f t="shared" si="26"/>
        <v>0</v>
      </c>
    </row>
    <row r="50" spans="1:57" s="46" customFormat="1" ht="12.75" customHeight="1" x14ac:dyDescent="0.2">
      <c r="A50" s="116">
        <f t="shared" ref="A50:A53" si="255">A49+1</f>
        <v>32</v>
      </c>
      <c r="B50" s="72" t="s">
        <v>584</v>
      </c>
      <c r="C50" s="72"/>
      <c r="D50" s="115" t="s">
        <v>509</v>
      </c>
      <c r="E50" s="116">
        <v>1</v>
      </c>
      <c r="F50" s="117" t="s">
        <v>244</v>
      </c>
      <c r="G50" s="117" t="s">
        <v>244</v>
      </c>
      <c r="H50" s="195">
        <v>0</v>
      </c>
      <c r="I50" s="201">
        <f t="shared" si="239"/>
        <v>0</v>
      </c>
      <c r="J50" s="119">
        <f t="shared" si="240"/>
        <v>0</v>
      </c>
      <c r="K50" s="118">
        <v>0</v>
      </c>
      <c r="L50" s="119">
        <f t="shared" ref="L50" si="256">H50*E50</f>
        <v>0</v>
      </c>
      <c r="M50" s="119">
        <f>I50</f>
        <v>0</v>
      </c>
      <c r="N50" s="119">
        <f>ROUND(I50*$N$8,2)</f>
        <v>0</v>
      </c>
      <c r="O50" s="120">
        <v>0</v>
      </c>
      <c r="P50" s="119">
        <f>ROUND((IF(I50&gt;1000,1000*$P$8,I50*$P$8)),2)*E50</f>
        <v>0</v>
      </c>
      <c r="Q50" s="119">
        <f>ROUND((IF(I50&gt;1000,1000*$Q$8,I50*$Q$8)),2)</f>
        <v>0</v>
      </c>
      <c r="R50" s="119">
        <f>SUM(N50:Q50)</f>
        <v>0</v>
      </c>
      <c r="S50" s="119">
        <f t="shared" si="241"/>
        <v>0</v>
      </c>
      <c r="T50" s="120">
        <f t="shared" si="241"/>
        <v>0</v>
      </c>
      <c r="U50" s="119">
        <f t="shared" si="241"/>
        <v>0</v>
      </c>
      <c r="V50" s="119">
        <f t="shared" si="241"/>
        <v>0</v>
      </c>
      <c r="W50" s="119">
        <f>SUM(S50:V50)</f>
        <v>0</v>
      </c>
      <c r="X50" s="109">
        <f t="shared" si="242"/>
        <v>0</v>
      </c>
      <c r="Y50" s="641"/>
      <c r="Z50" s="641"/>
      <c r="AA50" s="641"/>
      <c r="AB50" s="641"/>
      <c r="AC50" s="641">
        <f t="shared" si="25"/>
        <v>0</v>
      </c>
      <c r="AD50" s="641"/>
      <c r="AE50" s="641"/>
      <c r="AF50" s="246"/>
      <c r="AG50" s="11"/>
      <c r="AH50" s="11"/>
      <c r="AI50" s="233" t="s">
        <v>842</v>
      </c>
      <c r="AJ50" s="119">
        <f t="shared" si="243"/>
        <v>0</v>
      </c>
      <c r="AK50" s="119"/>
      <c r="AL50" s="119"/>
      <c r="AM50" s="119">
        <f t="shared" si="244"/>
        <v>0</v>
      </c>
      <c r="AN50" s="119">
        <f t="shared" si="245"/>
        <v>0</v>
      </c>
      <c r="AO50" s="119">
        <f t="shared" si="246"/>
        <v>0</v>
      </c>
      <c r="AP50" s="864">
        <f t="shared" si="247"/>
        <v>0</v>
      </c>
      <c r="AQ50" s="119">
        <f t="shared" si="248"/>
        <v>0</v>
      </c>
      <c r="AS50" s="461">
        <f t="shared" si="249"/>
        <v>12</v>
      </c>
      <c r="AT50" s="119">
        <f t="shared" si="250"/>
        <v>0</v>
      </c>
      <c r="AU50" s="119">
        <f>K50</f>
        <v>0</v>
      </c>
      <c r="AV50" s="119"/>
      <c r="AW50" s="119">
        <f t="shared" si="251"/>
        <v>0</v>
      </c>
      <c r="AX50" s="119">
        <f t="shared" si="252"/>
        <v>0</v>
      </c>
      <c r="AY50" s="119">
        <f t="shared" si="253"/>
        <v>0</v>
      </c>
      <c r="AZ50" s="119">
        <v>0</v>
      </c>
      <c r="BA50" s="119">
        <f t="shared" si="254"/>
        <v>0</v>
      </c>
      <c r="BC50" s="197">
        <f t="shared" si="4"/>
        <v>0</v>
      </c>
      <c r="BE50" s="2">
        <f t="shared" si="26"/>
        <v>0</v>
      </c>
    </row>
    <row r="51" spans="1:57" s="46" customFormat="1" x14ac:dyDescent="0.2">
      <c r="A51" s="116">
        <f t="shared" si="255"/>
        <v>33</v>
      </c>
      <c r="B51" s="72" t="s">
        <v>584</v>
      </c>
      <c r="C51" s="72" t="s">
        <v>830</v>
      </c>
      <c r="D51" s="115" t="s">
        <v>509</v>
      </c>
      <c r="E51" s="116">
        <v>1</v>
      </c>
      <c r="F51" s="117" t="s">
        <v>244</v>
      </c>
      <c r="G51" s="117" t="s">
        <v>244</v>
      </c>
      <c r="H51" s="195">
        <v>365</v>
      </c>
      <c r="I51" s="201">
        <f t="shared" si="239"/>
        <v>365</v>
      </c>
      <c r="J51" s="119">
        <f t="shared" si="240"/>
        <v>4380</v>
      </c>
      <c r="K51" s="119">
        <v>0</v>
      </c>
      <c r="L51" s="119">
        <f>(ROUND((ROUND(H51/30,2)*15)*30%,2))*E51</f>
        <v>54.77</v>
      </c>
      <c r="M51" s="119">
        <f t="shared" ref="M51" si="257">I51</f>
        <v>365</v>
      </c>
      <c r="N51" s="119">
        <f>ROUND(I51*$N$8,2)</f>
        <v>31.94</v>
      </c>
      <c r="O51" s="119">
        <v>0</v>
      </c>
      <c r="P51" s="119">
        <f>ROUND((IF(I51&gt;1000,1000*$P$8,I51*$P$8)),2)*E51</f>
        <v>27.38</v>
      </c>
      <c r="Q51" s="119">
        <f>ROUND((IF(I51&gt;1000,1000*$Q$8,I51*$Q$8)),2)</f>
        <v>3.65</v>
      </c>
      <c r="R51" s="119">
        <f t="shared" ref="R51" si="258">SUM(N51:Q51)</f>
        <v>62.97</v>
      </c>
      <c r="S51" s="119">
        <f t="shared" si="241"/>
        <v>383.28000000000003</v>
      </c>
      <c r="T51" s="119">
        <f t="shared" si="241"/>
        <v>0</v>
      </c>
      <c r="U51" s="119">
        <f t="shared" si="241"/>
        <v>328.56</v>
      </c>
      <c r="V51" s="119">
        <f t="shared" si="241"/>
        <v>43.8</v>
      </c>
      <c r="W51" s="119">
        <f t="shared" ref="W51" si="259">SUM(S51:V51)</f>
        <v>755.64</v>
      </c>
      <c r="X51" s="109">
        <f t="shared" si="242"/>
        <v>5555.4100000000008</v>
      </c>
      <c r="Y51" s="641"/>
      <c r="Z51" s="641"/>
      <c r="AA51" s="641"/>
      <c r="AB51" s="641"/>
      <c r="AC51" s="641">
        <f t="shared" si="25"/>
        <v>427.97</v>
      </c>
      <c r="AD51" s="641"/>
      <c r="AE51" s="641"/>
      <c r="AF51" s="246"/>
      <c r="AG51" s="11"/>
      <c r="AH51" s="11"/>
      <c r="AI51" s="233" t="s">
        <v>842</v>
      </c>
      <c r="AJ51" s="119">
        <f t="shared" si="243"/>
        <v>0</v>
      </c>
      <c r="AK51" s="119"/>
      <c r="AL51" s="119"/>
      <c r="AM51" s="119">
        <f t="shared" si="244"/>
        <v>0</v>
      </c>
      <c r="AN51" s="119">
        <f t="shared" si="245"/>
        <v>0</v>
      </c>
      <c r="AO51" s="119">
        <f t="shared" si="246"/>
        <v>0</v>
      </c>
      <c r="AP51" s="864">
        <f t="shared" si="247"/>
        <v>365</v>
      </c>
      <c r="AQ51" s="119">
        <f t="shared" si="248"/>
        <v>365</v>
      </c>
      <c r="AS51" s="461">
        <f t="shared" si="249"/>
        <v>12</v>
      </c>
      <c r="AT51" s="119">
        <f t="shared" si="250"/>
        <v>4380</v>
      </c>
      <c r="AU51" s="119">
        <f>K51</f>
        <v>0</v>
      </c>
      <c r="AV51" s="119">
        <f>L51</f>
        <v>54.77</v>
      </c>
      <c r="AW51" s="119">
        <f t="shared" si="251"/>
        <v>372.35999999999996</v>
      </c>
      <c r="AX51" s="119">
        <f t="shared" si="252"/>
        <v>0</v>
      </c>
      <c r="AY51" s="119">
        <f t="shared" si="253"/>
        <v>383.28000000000003</v>
      </c>
      <c r="AZ51" s="119">
        <v>0</v>
      </c>
      <c r="BA51" s="119">
        <f t="shared" si="254"/>
        <v>5190.41</v>
      </c>
      <c r="BC51" s="197">
        <f t="shared" si="4"/>
        <v>351.34000000000003</v>
      </c>
      <c r="BD51"/>
      <c r="BE51" s="2">
        <f t="shared" si="26"/>
        <v>0</v>
      </c>
    </row>
    <row r="52" spans="1:57" s="46" customFormat="1" x14ac:dyDescent="0.2">
      <c r="A52" s="116">
        <f t="shared" si="255"/>
        <v>34</v>
      </c>
      <c r="B52" s="72" t="s">
        <v>584</v>
      </c>
      <c r="C52" s="72" t="s">
        <v>831</v>
      </c>
      <c r="D52" s="115" t="s">
        <v>509</v>
      </c>
      <c r="E52" s="116">
        <v>1</v>
      </c>
      <c r="F52" s="117" t="s">
        <v>244</v>
      </c>
      <c r="G52" s="117" t="s">
        <v>244</v>
      </c>
      <c r="H52" s="195">
        <v>365</v>
      </c>
      <c r="I52" s="201">
        <f t="shared" si="239"/>
        <v>365</v>
      </c>
      <c r="J52" s="119">
        <f t="shared" si="240"/>
        <v>4380</v>
      </c>
      <c r="K52" s="119">
        <v>0</v>
      </c>
      <c r="L52" s="119">
        <f>(ROUND((ROUND(H52/30,2)*15)*30%,2))*E52</f>
        <v>54.77</v>
      </c>
      <c r="M52" s="119">
        <f t="shared" ref="M52" si="260">I52</f>
        <v>365</v>
      </c>
      <c r="N52" s="119">
        <v>0</v>
      </c>
      <c r="O52" s="119">
        <v>0</v>
      </c>
      <c r="P52" s="119">
        <f>ROUND((IF(I52&gt;1000,1000*$P$8,I52*$P$8)),2)*E52</f>
        <v>27.38</v>
      </c>
      <c r="Q52" s="119">
        <f>ROUND((IF(I52&gt;1000,1000*$Q$8,I52*$Q$8)),2)</f>
        <v>3.65</v>
      </c>
      <c r="R52" s="119">
        <f t="shared" ref="R52" si="261">SUM(N52:Q52)</f>
        <v>31.029999999999998</v>
      </c>
      <c r="S52" s="119">
        <f t="shared" si="241"/>
        <v>0</v>
      </c>
      <c r="T52" s="119">
        <f t="shared" si="241"/>
        <v>0</v>
      </c>
      <c r="U52" s="119">
        <f t="shared" si="241"/>
        <v>328.56</v>
      </c>
      <c r="V52" s="119">
        <f t="shared" si="241"/>
        <v>43.8</v>
      </c>
      <c r="W52" s="119">
        <f t="shared" ref="W52" si="262">SUM(S52:V52)</f>
        <v>372.36</v>
      </c>
      <c r="X52" s="109">
        <f t="shared" si="242"/>
        <v>5172.13</v>
      </c>
      <c r="Y52" s="641"/>
      <c r="Z52" s="641"/>
      <c r="AA52" s="641"/>
      <c r="AB52" s="641"/>
      <c r="AC52" s="641">
        <f t="shared" si="25"/>
        <v>396.03</v>
      </c>
      <c r="AD52" s="641"/>
      <c r="AE52" s="641"/>
      <c r="AF52" s="246"/>
      <c r="AG52" s="11"/>
      <c r="AH52" s="11"/>
      <c r="AI52" s="233" t="s">
        <v>842</v>
      </c>
      <c r="AJ52" s="119">
        <f t="shared" si="243"/>
        <v>0</v>
      </c>
      <c r="AK52" s="119"/>
      <c r="AL52" s="119"/>
      <c r="AM52" s="119">
        <f t="shared" si="244"/>
        <v>0</v>
      </c>
      <c r="AN52" s="119">
        <f t="shared" si="245"/>
        <v>0</v>
      </c>
      <c r="AO52" s="119">
        <f t="shared" si="246"/>
        <v>0</v>
      </c>
      <c r="AP52" s="864">
        <f t="shared" si="247"/>
        <v>365</v>
      </c>
      <c r="AQ52" s="119">
        <f t="shared" si="248"/>
        <v>365</v>
      </c>
      <c r="AS52" s="461">
        <f t="shared" si="249"/>
        <v>12</v>
      </c>
      <c r="AT52" s="119">
        <f t="shared" si="250"/>
        <v>4380</v>
      </c>
      <c r="AU52" s="119">
        <f>K52</f>
        <v>0</v>
      </c>
      <c r="AV52" s="119">
        <f>L52</f>
        <v>54.77</v>
      </c>
      <c r="AW52" s="119">
        <f t="shared" si="251"/>
        <v>372.35999999999996</v>
      </c>
      <c r="AX52" s="119">
        <f t="shared" si="252"/>
        <v>0</v>
      </c>
      <c r="AY52" s="119">
        <f t="shared" si="253"/>
        <v>0</v>
      </c>
      <c r="AZ52" s="119">
        <v>0</v>
      </c>
      <c r="BA52" s="119">
        <f t="shared" si="254"/>
        <v>4807.13</v>
      </c>
      <c r="BC52" s="197">
        <f t="shared" si="4"/>
        <v>0</v>
      </c>
      <c r="BD52"/>
      <c r="BE52" s="2">
        <f t="shared" si="26"/>
        <v>0</v>
      </c>
    </row>
    <row r="53" spans="1:57" s="46" customFormat="1" x14ac:dyDescent="0.2">
      <c r="A53" s="116">
        <f t="shared" si="255"/>
        <v>35</v>
      </c>
      <c r="B53" s="30" t="s">
        <v>394</v>
      </c>
      <c r="C53" s="30" t="s">
        <v>796</v>
      </c>
      <c r="D53" s="115" t="s">
        <v>509</v>
      </c>
      <c r="E53" s="116">
        <v>3</v>
      </c>
      <c r="F53" s="117" t="s">
        <v>244</v>
      </c>
      <c r="G53" s="117" t="s">
        <v>244</v>
      </c>
      <c r="H53" s="195">
        <v>365</v>
      </c>
      <c r="I53" s="201">
        <f t="shared" si="239"/>
        <v>1095</v>
      </c>
      <c r="J53" s="119">
        <f t="shared" si="240"/>
        <v>13140</v>
      </c>
      <c r="K53" s="119">
        <v>0</v>
      </c>
      <c r="L53" s="119">
        <f>(ROUND((ROUND(H53/30,2)*15)*30%,2))*E53</f>
        <v>164.31</v>
      </c>
      <c r="M53" s="119">
        <f>I53</f>
        <v>1095</v>
      </c>
      <c r="N53" s="119">
        <f>ROUND(I53*$N$8,2)</f>
        <v>95.81</v>
      </c>
      <c r="O53" s="119">
        <v>0</v>
      </c>
      <c r="P53" s="119">
        <f>ROUND(I53*P8,2)</f>
        <v>82.13</v>
      </c>
      <c r="Q53" s="119">
        <f>ROUND(I53*Q8,2)</f>
        <v>10.95</v>
      </c>
      <c r="R53" s="119">
        <f>SUM(N53:Q53)</f>
        <v>188.89</v>
      </c>
      <c r="S53" s="119">
        <f t="shared" si="241"/>
        <v>1149.72</v>
      </c>
      <c r="T53" s="119">
        <f t="shared" si="241"/>
        <v>0</v>
      </c>
      <c r="U53" s="119">
        <f t="shared" si="241"/>
        <v>985.56</v>
      </c>
      <c r="V53" s="119">
        <f t="shared" si="241"/>
        <v>131.39999999999998</v>
      </c>
      <c r="W53" s="119">
        <f>SUM(S53:V53)</f>
        <v>2266.6799999999998</v>
      </c>
      <c r="X53" s="109">
        <f t="shared" si="242"/>
        <v>16665.989999999998</v>
      </c>
      <c r="Y53" s="641"/>
      <c r="Z53" s="641"/>
      <c r="AA53" s="641"/>
      <c r="AB53" s="641"/>
      <c r="AC53" s="641">
        <f t="shared" si="25"/>
        <v>1283.8899999999999</v>
      </c>
      <c r="AD53" s="641"/>
      <c r="AE53" s="641"/>
      <c r="AF53" s="246"/>
      <c r="AG53" s="11"/>
      <c r="AH53" s="11"/>
      <c r="AI53" s="233" t="s">
        <v>842</v>
      </c>
      <c r="AJ53" s="119">
        <f t="shared" si="243"/>
        <v>0</v>
      </c>
      <c r="AK53" s="119"/>
      <c r="AL53" s="119"/>
      <c r="AM53" s="119">
        <f t="shared" si="244"/>
        <v>0</v>
      </c>
      <c r="AN53" s="119">
        <f t="shared" si="245"/>
        <v>0</v>
      </c>
      <c r="AO53" s="119">
        <f t="shared" si="246"/>
        <v>0</v>
      </c>
      <c r="AP53" s="864">
        <f t="shared" si="247"/>
        <v>1095</v>
      </c>
      <c r="AQ53" s="119">
        <f t="shared" si="248"/>
        <v>1095</v>
      </c>
      <c r="AS53" s="461">
        <f t="shared" si="249"/>
        <v>12</v>
      </c>
      <c r="AT53" s="119">
        <f t="shared" si="250"/>
        <v>13140</v>
      </c>
      <c r="AU53" s="119">
        <f>K53</f>
        <v>0</v>
      </c>
      <c r="AV53" s="119">
        <f>L53</f>
        <v>164.31</v>
      </c>
      <c r="AW53" s="119">
        <f t="shared" si="251"/>
        <v>1116.96</v>
      </c>
      <c r="AX53" s="119">
        <f t="shared" si="252"/>
        <v>0</v>
      </c>
      <c r="AY53" s="119">
        <f t="shared" si="253"/>
        <v>1149.72</v>
      </c>
      <c r="AZ53" s="119">
        <v>0</v>
      </c>
      <c r="BA53" s="119">
        <f t="shared" si="254"/>
        <v>15570.99</v>
      </c>
      <c r="BC53" s="197">
        <f t="shared" si="4"/>
        <v>1053.9100000000001</v>
      </c>
      <c r="BE53" s="2">
        <f t="shared" si="26"/>
        <v>0</v>
      </c>
    </row>
    <row r="54" spans="1:57" s="46" customFormat="1" ht="13.5" thickBot="1" x14ac:dyDescent="0.25">
      <c r="A54" s="126"/>
      <c r="B54" s="50" t="s">
        <v>407</v>
      </c>
      <c r="C54" s="50"/>
      <c r="D54" s="121"/>
      <c r="E54" s="122">
        <f>SUM(E48:E53)</f>
        <v>8</v>
      </c>
      <c r="F54" s="123"/>
      <c r="G54" s="123"/>
      <c r="H54" s="123"/>
      <c r="I54" s="124">
        <f t="shared" ref="I54:X54" si="263">SUM(I48:I53)</f>
        <v>2759.29</v>
      </c>
      <c r="J54" s="124">
        <f t="shared" si="263"/>
        <v>33111.479999999996</v>
      </c>
      <c r="K54" s="124">
        <f t="shared" si="263"/>
        <v>0</v>
      </c>
      <c r="L54" s="124">
        <f t="shared" si="263"/>
        <v>331.5</v>
      </c>
      <c r="M54" s="124">
        <f t="shared" si="263"/>
        <v>2759.29</v>
      </c>
      <c r="N54" s="124">
        <f t="shared" si="263"/>
        <v>209.51</v>
      </c>
      <c r="O54" s="124">
        <f t="shared" si="263"/>
        <v>0</v>
      </c>
      <c r="P54" s="124">
        <f t="shared" si="263"/>
        <v>206.95999999999998</v>
      </c>
      <c r="Q54" s="124">
        <f t="shared" si="263"/>
        <v>27.59</v>
      </c>
      <c r="R54" s="124">
        <f t="shared" si="263"/>
        <v>444.06</v>
      </c>
      <c r="S54" s="124">
        <f t="shared" si="263"/>
        <v>2514.12</v>
      </c>
      <c r="T54" s="124">
        <f t="shared" si="263"/>
        <v>0</v>
      </c>
      <c r="U54" s="124">
        <f t="shared" si="263"/>
        <v>2483.52</v>
      </c>
      <c r="V54" s="124">
        <f t="shared" si="263"/>
        <v>331.08</v>
      </c>
      <c r="W54" s="124">
        <f t="shared" si="263"/>
        <v>5328.7199999999993</v>
      </c>
      <c r="X54" s="47">
        <f t="shared" si="263"/>
        <v>41530.99</v>
      </c>
      <c r="Y54" s="642"/>
      <c r="Z54" s="642"/>
      <c r="AA54" s="642"/>
      <c r="AB54" s="642"/>
      <c r="AC54" s="641">
        <f t="shared" si="25"/>
        <v>3203.35</v>
      </c>
      <c r="AD54" s="647">
        <v>3759.2100000000005</v>
      </c>
      <c r="AE54" s="642">
        <f>AC54-AD54</f>
        <v>-555.86000000000058</v>
      </c>
      <c r="AF54" s="246">
        <v>53646.38</v>
      </c>
      <c r="AG54" s="11">
        <f>X54-AF54</f>
        <v>-12115.39</v>
      </c>
      <c r="AH54" s="181"/>
      <c r="AI54" s="240"/>
      <c r="AJ54" s="240">
        <f>SUM(AJ48:AJ53)</f>
        <v>0</v>
      </c>
      <c r="AK54" s="240">
        <f t="shared" ref="AK54:AQ54" si="264">SUM(AK48:AK53)</f>
        <v>0</v>
      </c>
      <c r="AL54" s="240">
        <f t="shared" si="264"/>
        <v>0</v>
      </c>
      <c r="AM54" s="240">
        <f t="shared" si="264"/>
        <v>0</v>
      </c>
      <c r="AN54" s="240">
        <f t="shared" si="264"/>
        <v>0</v>
      </c>
      <c r="AO54" s="240">
        <f t="shared" si="264"/>
        <v>0</v>
      </c>
      <c r="AP54" s="240">
        <f t="shared" si="264"/>
        <v>2759.29</v>
      </c>
      <c r="AQ54" s="240">
        <f t="shared" si="264"/>
        <v>2759.29</v>
      </c>
      <c r="AR54" s="4">
        <f>+AQ54-3759.21</f>
        <v>-999.92000000000007</v>
      </c>
      <c r="AS54" s="240"/>
      <c r="AT54" s="240">
        <f>SUM(AT48:AT53)</f>
        <v>33111.479999999996</v>
      </c>
      <c r="AU54" s="240">
        <f t="shared" ref="AU54:BA54" si="265">SUM(AU48:AU53)</f>
        <v>0</v>
      </c>
      <c r="AV54" s="240">
        <f t="shared" si="265"/>
        <v>331.5</v>
      </c>
      <c r="AW54" s="240">
        <f t="shared" si="265"/>
        <v>2814.6</v>
      </c>
      <c r="AX54" s="240">
        <f t="shared" si="265"/>
        <v>0</v>
      </c>
      <c r="AY54" s="240">
        <f t="shared" si="265"/>
        <v>2514.12</v>
      </c>
      <c r="AZ54" s="240">
        <f t="shared" si="265"/>
        <v>0</v>
      </c>
      <c r="BA54" s="240">
        <f t="shared" si="265"/>
        <v>38771.700000000004</v>
      </c>
      <c r="BC54" s="197"/>
      <c r="BE54" s="2">
        <f t="shared" si="26"/>
        <v>0</v>
      </c>
    </row>
    <row r="55" spans="1:57" s="46" customFormat="1" ht="13.5" thickTop="1" x14ac:dyDescent="0.2">
      <c r="A55" s="116">
        <f>A53+1</f>
        <v>36</v>
      </c>
      <c r="B55" s="30" t="s">
        <v>558</v>
      </c>
      <c r="C55" s="30"/>
      <c r="D55" s="115" t="s">
        <v>390</v>
      </c>
      <c r="E55" s="116">
        <v>1</v>
      </c>
      <c r="F55" s="117" t="s">
        <v>244</v>
      </c>
      <c r="G55" s="117" t="s">
        <v>244</v>
      </c>
      <c r="H55" s="195">
        <v>0</v>
      </c>
      <c r="I55" s="201">
        <f t="shared" ref="I55:I62" si="266">E55*H55</f>
        <v>0</v>
      </c>
      <c r="J55" s="119">
        <f>I55*12</f>
        <v>0</v>
      </c>
      <c r="K55" s="119">
        <v>0</v>
      </c>
      <c r="L55" s="119">
        <v>0</v>
      </c>
      <c r="M55" s="119">
        <f>I55</f>
        <v>0</v>
      </c>
      <c r="N55" s="119">
        <f t="shared" ref="N55:N62" si="267">ROUND(I55*$N$8,2)</f>
        <v>0</v>
      </c>
      <c r="O55" s="119">
        <f>(J55+L55)*O$8</f>
        <v>0</v>
      </c>
      <c r="P55" s="119">
        <f t="shared" ref="P55:P56" si="268">ROUND((IF(I55&gt;1000,1000*$P$8,I55*$P$8)),2)*E55</f>
        <v>0</v>
      </c>
      <c r="Q55" s="119">
        <f t="shared" ref="Q55:Q56" si="269">ROUND((IF(I55&gt;1000,1000*$Q$8,I55*$Q$8)),2)</f>
        <v>0</v>
      </c>
      <c r="R55" s="119">
        <f>SUM(N55:Q55)</f>
        <v>0</v>
      </c>
      <c r="S55" s="119">
        <f t="shared" ref="S55:T62" si="270">N55*12</f>
        <v>0</v>
      </c>
      <c r="T55" s="119">
        <f t="shared" si="270"/>
        <v>0</v>
      </c>
      <c r="U55" s="119">
        <f t="shared" ref="U55:U62" si="271">P55*12</f>
        <v>0</v>
      </c>
      <c r="V55" s="119">
        <f t="shared" ref="V55:V62" si="272">Q55*12</f>
        <v>0</v>
      </c>
      <c r="W55" s="119">
        <f>SUM(S55:V55)</f>
        <v>0</v>
      </c>
      <c r="X55" s="109">
        <f t="shared" si="242"/>
        <v>0</v>
      </c>
      <c r="Y55" s="641"/>
      <c r="Z55" s="641"/>
      <c r="AA55" s="641"/>
      <c r="AB55" s="641"/>
      <c r="AC55" s="641">
        <f t="shared" si="25"/>
        <v>0</v>
      </c>
      <c r="AD55" s="641"/>
      <c r="AE55" s="641"/>
      <c r="AF55" s="246"/>
      <c r="AG55" s="11"/>
      <c r="AH55" s="11"/>
      <c r="AI55" s="233" t="s">
        <v>842</v>
      </c>
      <c r="AJ55" s="119">
        <f>I55*AI55</f>
        <v>0</v>
      </c>
      <c r="AK55" s="119"/>
      <c r="AL55" s="119"/>
      <c r="AM55" s="119">
        <f t="shared" ref="AM55:AM58" si="273">(P55+Q55)*AI55</f>
        <v>0</v>
      </c>
      <c r="AN55" s="119">
        <f t="shared" ref="AN55:AN58" si="274">AI55*O55</f>
        <v>0</v>
      </c>
      <c r="AO55" s="119">
        <f t="shared" ref="AO55:AO58" si="275">N55*AI55</f>
        <v>0</v>
      </c>
      <c r="AP55" s="864">
        <f t="shared" si="247"/>
        <v>0</v>
      </c>
      <c r="AQ55" s="119">
        <f>SUM(AJ55:AP55)</f>
        <v>0</v>
      </c>
      <c r="AS55" s="461">
        <f>12-AI55</f>
        <v>12</v>
      </c>
      <c r="AT55" s="119">
        <f>I55*AS55</f>
        <v>0</v>
      </c>
      <c r="AU55" s="119">
        <f>K55</f>
        <v>0</v>
      </c>
      <c r="AV55" s="119"/>
      <c r="AW55" s="119">
        <f t="shared" si="251"/>
        <v>0</v>
      </c>
      <c r="AX55" s="119">
        <f t="shared" ref="AX55:AX58" si="276">AS55*O55</f>
        <v>0</v>
      </c>
      <c r="AY55" s="119">
        <f t="shared" ref="AY55:AY58" si="277">N55*AS55</f>
        <v>0</v>
      </c>
      <c r="AZ55" s="119">
        <v>0</v>
      </c>
      <c r="BA55" s="119">
        <f>SUM(AT55:AY55)</f>
        <v>0</v>
      </c>
      <c r="BC55" s="197">
        <f>AO55+AY55-N55</f>
        <v>0</v>
      </c>
      <c r="BD55"/>
      <c r="BE55" s="2">
        <f t="shared" si="26"/>
        <v>0</v>
      </c>
    </row>
    <row r="56" spans="1:57" s="46" customFormat="1" x14ac:dyDescent="0.2">
      <c r="A56" s="116">
        <f>A55+1</f>
        <v>37</v>
      </c>
      <c r="B56" s="30" t="s">
        <v>391</v>
      </c>
      <c r="C56" s="30" t="s">
        <v>810</v>
      </c>
      <c r="D56" s="115" t="s">
        <v>390</v>
      </c>
      <c r="E56" s="116">
        <v>1</v>
      </c>
      <c r="F56" s="117" t="s">
        <v>244</v>
      </c>
      <c r="G56" s="117" t="s">
        <v>244</v>
      </c>
      <c r="H56" s="195">
        <v>405</v>
      </c>
      <c r="I56" s="201">
        <f t="shared" si="266"/>
        <v>405</v>
      </c>
      <c r="J56" s="119">
        <f>I56*12</f>
        <v>4860</v>
      </c>
      <c r="K56" s="119">
        <v>0</v>
      </c>
      <c r="L56" s="119">
        <f>(ROUND((ROUND(L52/30,2)*15)*30%,2))*L49</f>
        <v>475.036</v>
      </c>
      <c r="M56" s="119">
        <f t="shared" ref="M56:M62" si="278">I56</f>
        <v>405</v>
      </c>
      <c r="N56" s="119">
        <f t="shared" si="267"/>
        <v>35.44</v>
      </c>
      <c r="O56" s="119">
        <v>0</v>
      </c>
      <c r="P56" s="119">
        <f t="shared" si="268"/>
        <v>30.38</v>
      </c>
      <c r="Q56" s="119">
        <f t="shared" si="269"/>
        <v>4.05</v>
      </c>
      <c r="R56" s="119">
        <f t="shared" ref="R56:R62" si="279">SUM(N56:Q56)</f>
        <v>69.86999999999999</v>
      </c>
      <c r="S56" s="119">
        <f t="shared" si="270"/>
        <v>425.28</v>
      </c>
      <c r="T56" s="119">
        <f t="shared" si="270"/>
        <v>0</v>
      </c>
      <c r="U56" s="119">
        <f t="shared" si="271"/>
        <v>364.56</v>
      </c>
      <c r="V56" s="119">
        <f t="shared" si="272"/>
        <v>48.599999999999994</v>
      </c>
      <c r="W56" s="119">
        <f t="shared" ref="W56:W62" si="280">SUM(S56:V56)</f>
        <v>838.43999999999994</v>
      </c>
      <c r="X56" s="109">
        <f t="shared" si="242"/>
        <v>6578.4759999999997</v>
      </c>
      <c r="Y56" s="641"/>
      <c r="Z56" s="641"/>
      <c r="AA56" s="641"/>
      <c r="AB56" s="641"/>
      <c r="AC56" s="641">
        <f t="shared" si="25"/>
        <v>474.87</v>
      </c>
      <c r="AD56" s="641"/>
      <c r="AE56" s="641"/>
      <c r="AF56" s="246"/>
      <c r="AG56" s="11"/>
      <c r="AH56" s="11"/>
      <c r="AI56" s="233" t="s">
        <v>842</v>
      </c>
      <c r="AJ56" s="119">
        <f t="shared" ref="AJ56:AJ62" si="281">I56*AI56</f>
        <v>0</v>
      </c>
      <c r="AK56" s="119"/>
      <c r="AL56" s="119"/>
      <c r="AM56" s="119">
        <f t="shared" si="273"/>
        <v>0</v>
      </c>
      <c r="AN56" s="119">
        <f t="shared" si="274"/>
        <v>0</v>
      </c>
      <c r="AO56" s="119">
        <f t="shared" si="275"/>
        <v>0</v>
      </c>
      <c r="AP56" s="864">
        <f t="shared" si="247"/>
        <v>405</v>
      </c>
      <c r="AQ56" s="119">
        <f>SUM(AJ56:AP56)</f>
        <v>405</v>
      </c>
      <c r="AS56" s="461">
        <f>12-AI56</f>
        <v>12</v>
      </c>
      <c r="AT56" s="119">
        <f>I56*AS56</f>
        <v>4860</v>
      </c>
      <c r="AU56" s="119">
        <f>K56</f>
        <v>0</v>
      </c>
      <c r="AV56" s="119">
        <f>L56</f>
        <v>475.036</v>
      </c>
      <c r="AW56" s="119">
        <f t="shared" si="251"/>
        <v>413.15999999999997</v>
      </c>
      <c r="AX56" s="119">
        <f t="shared" si="276"/>
        <v>0</v>
      </c>
      <c r="AY56" s="119">
        <f t="shared" si="277"/>
        <v>425.28</v>
      </c>
      <c r="AZ56" s="119">
        <v>0</v>
      </c>
      <c r="BA56" s="119">
        <f>SUM(AT56:AY56)</f>
        <v>6173.4759999999997</v>
      </c>
      <c r="BC56" s="197">
        <f>AO56+AY56-N56</f>
        <v>389.84</v>
      </c>
      <c r="BD56"/>
      <c r="BE56" s="2">
        <f t="shared" si="26"/>
        <v>0</v>
      </c>
    </row>
    <row r="57" spans="1:57" s="46" customFormat="1" x14ac:dyDescent="0.2">
      <c r="A57" s="116">
        <f t="shared" ref="A57:A58" si="282">A56+1</f>
        <v>38</v>
      </c>
      <c r="B57" s="30" t="s">
        <v>391</v>
      </c>
      <c r="C57" s="30" t="s">
        <v>812</v>
      </c>
      <c r="D57" s="115" t="s">
        <v>390</v>
      </c>
      <c r="E57" s="116">
        <v>1</v>
      </c>
      <c r="F57" s="117" t="s">
        <v>244</v>
      </c>
      <c r="G57" s="117" t="s">
        <v>244</v>
      </c>
      <c r="H57" s="195">
        <v>365</v>
      </c>
      <c r="I57" s="201">
        <f t="shared" ref="I57:I58" si="283">E57*H57</f>
        <v>365</v>
      </c>
      <c r="J57" s="119">
        <f t="shared" ref="J57:J58" si="284">I57*12</f>
        <v>4380</v>
      </c>
      <c r="K57" s="119">
        <v>0</v>
      </c>
      <c r="L57" s="119">
        <f>(ROUND((ROUND(H57/30,2)*15)*30%,2))*E57</f>
        <v>54.77</v>
      </c>
      <c r="M57" s="119">
        <f t="shared" ref="M57:M58" si="285">I57</f>
        <v>365</v>
      </c>
      <c r="N57" s="119">
        <v>0</v>
      </c>
      <c r="O57" s="119">
        <v>0</v>
      </c>
      <c r="P57" s="119">
        <v>0</v>
      </c>
      <c r="Q57" s="119">
        <v>0</v>
      </c>
      <c r="R57" s="119">
        <f t="shared" ref="R57:R58" si="286">SUM(N57:Q57)</f>
        <v>0</v>
      </c>
      <c r="S57" s="119">
        <f t="shared" ref="S57:S58" si="287">N57*12</f>
        <v>0</v>
      </c>
      <c r="T57" s="119">
        <f t="shared" ref="T57:T58" si="288">O57*12</f>
        <v>0</v>
      </c>
      <c r="U57" s="119">
        <f t="shared" ref="U57:U58" si="289">P57*12</f>
        <v>0</v>
      </c>
      <c r="V57" s="119">
        <f t="shared" ref="V57:V58" si="290">Q57*12</f>
        <v>0</v>
      </c>
      <c r="W57" s="119">
        <f t="shared" ref="W57:W58" si="291">SUM(S57:V57)</f>
        <v>0</v>
      </c>
      <c r="X57" s="109">
        <f t="shared" si="242"/>
        <v>4799.7700000000004</v>
      </c>
      <c r="Y57" s="641"/>
      <c r="Z57" s="641"/>
      <c r="AA57" s="641"/>
      <c r="AB57" s="641"/>
      <c r="AC57" s="641">
        <f t="shared" si="25"/>
        <v>365</v>
      </c>
      <c r="AD57" s="641"/>
      <c r="AE57" s="641"/>
      <c r="AF57" s="246"/>
      <c r="AG57" s="11"/>
      <c r="AH57" s="11"/>
      <c r="AI57" s="233" t="s">
        <v>842</v>
      </c>
      <c r="AJ57" s="119">
        <f t="shared" ref="AJ57:AJ58" si="292">I57*AI57</f>
        <v>0</v>
      </c>
      <c r="AK57" s="119"/>
      <c r="AL57" s="119"/>
      <c r="AM57" s="119">
        <f t="shared" si="273"/>
        <v>0</v>
      </c>
      <c r="AN57" s="119">
        <f t="shared" si="274"/>
        <v>0</v>
      </c>
      <c r="AO57" s="119">
        <f t="shared" si="275"/>
        <v>0</v>
      </c>
      <c r="AP57" s="864">
        <f t="shared" si="247"/>
        <v>365</v>
      </c>
      <c r="AQ57" s="119">
        <f>SUM(AJ57:AP57)</f>
        <v>365</v>
      </c>
      <c r="AS57" s="461">
        <f>12-AI57</f>
        <v>12</v>
      </c>
      <c r="AT57" s="119">
        <f>I57*AS57</f>
        <v>4380</v>
      </c>
      <c r="AU57" s="119">
        <f>K57</f>
        <v>0</v>
      </c>
      <c r="AV57" s="119">
        <f>L57</f>
        <v>54.77</v>
      </c>
      <c r="AW57" s="119">
        <f t="shared" si="251"/>
        <v>0</v>
      </c>
      <c r="AX57" s="119">
        <f t="shared" si="276"/>
        <v>0</v>
      </c>
      <c r="AY57" s="119">
        <f t="shared" si="277"/>
        <v>0</v>
      </c>
      <c r="AZ57" s="119">
        <v>0</v>
      </c>
      <c r="BA57" s="119">
        <f>SUM(AT57:AY57)</f>
        <v>4434.7700000000004</v>
      </c>
      <c r="BC57" s="197">
        <f>AO57+AY57-N57</f>
        <v>0</v>
      </c>
      <c r="BD57"/>
      <c r="BE57" s="2">
        <f t="shared" si="26"/>
        <v>0</v>
      </c>
    </row>
    <row r="58" spans="1:57" s="46" customFormat="1" x14ac:dyDescent="0.2">
      <c r="A58" s="116">
        <f t="shared" si="282"/>
        <v>39</v>
      </c>
      <c r="B58" s="30" t="s">
        <v>391</v>
      </c>
      <c r="C58" s="30" t="s">
        <v>813</v>
      </c>
      <c r="D58" s="115" t="s">
        <v>390</v>
      </c>
      <c r="E58" s="116">
        <v>3</v>
      </c>
      <c r="F58" s="117" t="s">
        <v>244</v>
      </c>
      <c r="G58" s="117" t="s">
        <v>244</v>
      </c>
      <c r="H58" s="195">
        <v>365</v>
      </c>
      <c r="I58" s="201">
        <f t="shared" si="283"/>
        <v>1095</v>
      </c>
      <c r="J58" s="119">
        <f t="shared" si="284"/>
        <v>13140</v>
      </c>
      <c r="K58" s="119">
        <v>0</v>
      </c>
      <c r="L58" s="119">
        <f>(ROUND((ROUND(H58/30,2)*15)*30%,2))*E58</f>
        <v>164.31</v>
      </c>
      <c r="M58" s="119">
        <f t="shared" si="285"/>
        <v>1095</v>
      </c>
      <c r="N58" s="119">
        <f t="shared" ref="N58" si="293">ROUND(I58*$N$8,2)</f>
        <v>95.81</v>
      </c>
      <c r="O58" s="119">
        <v>0</v>
      </c>
      <c r="P58" s="119">
        <f>ROUND(I58*P8,2)</f>
        <v>82.13</v>
      </c>
      <c r="Q58" s="119">
        <f>ROUND(I58*Q8,2)</f>
        <v>10.95</v>
      </c>
      <c r="R58" s="119">
        <f t="shared" si="286"/>
        <v>188.89</v>
      </c>
      <c r="S58" s="119">
        <f t="shared" si="287"/>
        <v>1149.72</v>
      </c>
      <c r="T58" s="119">
        <f t="shared" si="288"/>
        <v>0</v>
      </c>
      <c r="U58" s="119">
        <f t="shared" si="289"/>
        <v>985.56</v>
      </c>
      <c r="V58" s="119">
        <f t="shared" si="290"/>
        <v>131.39999999999998</v>
      </c>
      <c r="W58" s="119">
        <f t="shared" si="291"/>
        <v>2266.6799999999998</v>
      </c>
      <c r="X58" s="109">
        <f t="shared" si="242"/>
        <v>16665.989999999998</v>
      </c>
      <c r="Y58" s="641"/>
      <c r="Z58" s="641"/>
      <c r="AA58" s="641"/>
      <c r="AB58" s="641"/>
      <c r="AC58" s="641">
        <f t="shared" si="25"/>
        <v>1283.8899999999999</v>
      </c>
      <c r="AD58" s="641"/>
      <c r="AE58" s="641"/>
      <c r="AF58" s="246"/>
      <c r="AG58" s="11"/>
      <c r="AH58" s="11"/>
      <c r="AI58" s="233" t="s">
        <v>842</v>
      </c>
      <c r="AJ58" s="119">
        <f t="shared" si="292"/>
        <v>0</v>
      </c>
      <c r="AK58" s="119"/>
      <c r="AL58" s="119"/>
      <c r="AM58" s="119">
        <f t="shared" si="273"/>
        <v>0</v>
      </c>
      <c r="AN58" s="119">
        <f t="shared" si="274"/>
        <v>0</v>
      </c>
      <c r="AO58" s="119">
        <f t="shared" si="275"/>
        <v>0</v>
      </c>
      <c r="AP58" s="864">
        <f t="shared" si="247"/>
        <v>1095</v>
      </c>
      <c r="AQ58" s="119">
        <f>SUM(AJ58:AP58)</f>
        <v>1095</v>
      </c>
      <c r="AS58" s="461">
        <f>12-AI58</f>
        <v>12</v>
      </c>
      <c r="AT58" s="119">
        <f>I58*AS58</f>
        <v>13140</v>
      </c>
      <c r="AU58" s="119">
        <f>K58</f>
        <v>0</v>
      </c>
      <c r="AV58" s="119">
        <f>L58</f>
        <v>164.31</v>
      </c>
      <c r="AW58" s="119">
        <f t="shared" si="251"/>
        <v>1116.96</v>
      </c>
      <c r="AX58" s="119">
        <f t="shared" si="276"/>
        <v>0</v>
      </c>
      <c r="AY58" s="119">
        <f t="shared" si="277"/>
        <v>1149.72</v>
      </c>
      <c r="AZ58" s="119">
        <v>0</v>
      </c>
      <c r="BA58" s="119">
        <f>SUM(AT58:AY58)</f>
        <v>15570.99</v>
      </c>
      <c r="BC58" s="197">
        <f>AO58+AY58-N58</f>
        <v>1053.9100000000001</v>
      </c>
      <c r="BD58"/>
      <c r="BE58" s="2">
        <f t="shared" si="26"/>
        <v>0</v>
      </c>
    </row>
    <row r="59" spans="1:57" s="46" customFormat="1" ht="13.5" thickBot="1" x14ac:dyDescent="0.25">
      <c r="A59" s="126"/>
      <c r="B59" s="50" t="s">
        <v>407</v>
      </c>
      <c r="C59" s="50"/>
      <c r="D59" s="121"/>
      <c r="E59" s="122">
        <f>SUM(E55:E58)</f>
        <v>6</v>
      </c>
      <c r="F59" s="123"/>
      <c r="G59" s="123"/>
      <c r="H59" s="123"/>
      <c r="I59" s="124">
        <f t="shared" ref="I59:X59" si="294">SUM(I55:I58)</f>
        <v>1865</v>
      </c>
      <c r="J59" s="124">
        <f t="shared" si="294"/>
        <v>22380</v>
      </c>
      <c r="K59" s="124">
        <f t="shared" si="294"/>
        <v>0</v>
      </c>
      <c r="L59" s="124">
        <f t="shared" si="294"/>
        <v>694.11599999999999</v>
      </c>
      <c r="M59" s="124">
        <f t="shared" si="294"/>
        <v>1865</v>
      </c>
      <c r="N59" s="124">
        <f t="shared" si="294"/>
        <v>131.25</v>
      </c>
      <c r="O59" s="124">
        <f t="shared" si="294"/>
        <v>0</v>
      </c>
      <c r="P59" s="124">
        <f t="shared" si="294"/>
        <v>112.50999999999999</v>
      </c>
      <c r="Q59" s="124">
        <f t="shared" si="294"/>
        <v>15</v>
      </c>
      <c r="R59" s="124">
        <f t="shared" si="294"/>
        <v>258.76</v>
      </c>
      <c r="S59" s="124">
        <f t="shared" si="294"/>
        <v>1575</v>
      </c>
      <c r="T59" s="124">
        <f t="shared" si="294"/>
        <v>0</v>
      </c>
      <c r="U59" s="124">
        <f t="shared" si="294"/>
        <v>1350.12</v>
      </c>
      <c r="V59" s="124">
        <f t="shared" si="294"/>
        <v>179.99999999999997</v>
      </c>
      <c r="W59" s="124">
        <f t="shared" si="294"/>
        <v>3105.12</v>
      </c>
      <c r="X59" s="47">
        <f t="shared" si="294"/>
        <v>28044.235999999997</v>
      </c>
      <c r="Y59" s="642"/>
      <c r="Z59" s="642"/>
      <c r="AA59" s="642"/>
      <c r="AB59" s="642"/>
      <c r="AC59" s="641">
        <f t="shared" si="25"/>
        <v>2123.7600000000002</v>
      </c>
      <c r="AD59" s="648">
        <v>2108.7799999999997</v>
      </c>
      <c r="AE59" s="642">
        <f>AC59-AD59</f>
        <v>14.980000000000473</v>
      </c>
      <c r="AF59" s="246">
        <v>30285.119999999999</v>
      </c>
      <c r="AG59" s="11">
        <f>X59-AF59</f>
        <v>-2240.8840000000018</v>
      </c>
      <c r="AH59" s="181"/>
      <c r="AI59" s="240"/>
      <c r="AJ59" s="240">
        <f>SUM(AJ55:AJ58)</f>
        <v>0</v>
      </c>
      <c r="AK59" s="240">
        <f t="shared" ref="AK59:AQ59" si="295">SUM(AK55:AK58)</f>
        <v>0</v>
      </c>
      <c r="AL59" s="240">
        <f t="shared" si="295"/>
        <v>0</v>
      </c>
      <c r="AM59" s="240">
        <f t="shared" si="295"/>
        <v>0</v>
      </c>
      <c r="AN59" s="240">
        <f t="shared" si="295"/>
        <v>0</v>
      </c>
      <c r="AO59" s="240">
        <f t="shared" si="295"/>
        <v>0</v>
      </c>
      <c r="AP59" s="240">
        <f t="shared" si="295"/>
        <v>1865</v>
      </c>
      <c r="AQ59" s="240">
        <f t="shared" si="295"/>
        <v>1865</v>
      </c>
      <c r="AR59" s="4">
        <f>2108.78-AQ59</f>
        <v>243.7800000000002</v>
      </c>
      <c r="AS59" s="240"/>
      <c r="AT59" s="240">
        <f t="shared" ref="AT59:BA59" si="296">SUM(AT55:AT58)</f>
        <v>22380</v>
      </c>
      <c r="AU59" s="240">
        <f t="shared" si="296"/>
        <v>0</v>
      </c>
      <c r="AV59" s="240">
        <f t="shared" si="296"/>
        <v>694.11599999999999</v>
      </c>
      <c r="AW59" s="240">
        <f t="shared" si="296"/>
        <v>1530.12</v>
      </c>
      <c r="AX59" s="240">
        <f t="shared" si="296"/>
        <v>0</v>
      </c>
      <c r="AY59" s="240">
        <f t="shared" si="296"/>
        <v>1575</v>
      </c>
      <c r="AZ59" s="240">
        <f t="shared" si="296"/>
        <v>0</v>
      </c>
      <c r="BA59" s="240">
        <f t="shared" si="296"/>
        <v>26179.235999999997</v>
      </c>
      <c r="BC59" s="197"/>
      <c r="BE59" s="2">
        <f t="shared" si="26"/>
        <v>0</v>
      </c>
    </row>
    <row r="60" spans="1:57" s="46" customFormat="1" ht="13.5" thickTop="1" x14ac:dyDescent="0.2">
      <c r="A60" s="116">
        <f>A58+1</f>
        <v>40</v>
      </c>
      <c r="B60" s="199" t="s">
        <v>671</v>
      </c>
      <c r="C60" s="199" t="s">
        <v>807</v>
      </c>
      <c r="D60" s="115" t="s">
        <v>527</v>
      </c>
      <c r="E60" s="116">
        <v>1</v>
      </c>
      <c r="F60" s="117" t="s">
        <v>244</v>
      </c>
      <c r="G60" s="117" t="s">
        <v>244</v>
      </c>
      <c r="H60" s="195">
        <v>750</v>
      </c>
      <c r="I60" s="201">
        <f t="shared" ref="I60" si="297">E60*H60</f>
        <v>750</v>
      </c>
      <c r="J60" s="119">
        <f>I60*12</f>
        <v>9000</v>
      </c>
      <c r="K60" s="119">
        <v>0</v>
      </c>
      <c r="L60" s="119">
        <v>0</v>
      </c>
      <c r="M60" s="119">
        <f>I60</f>
        <v>750</v>
      </c>
      <c r="N60" s="119">
        <f>ROUND(I60*$N$8,2)</f>
        <v>65.63</v>
      </c>
      <c r="O60" s="119">
        <v>0</v>
      </c>
      <c r="P60" s="119">
        <f>ROUND((IF(I60&gt;1000,1000*$P$8,I60*$P$8)),2)*E60</f>
        <v>56.25</v>
      </c>
      <c r="Q60" s="119">
        <f>ROUND((IF(I60&gt;1000,1000*$Q$8,I60*$Q$8)),2)</f>
        <v>7.5</v>
      </c>
      <c r="R60" s="119">
        <f>SUM(N60:Q60)</f>
        <v>129.38</v>
      </c>
      <c r="S60" s="119">
        <f t="shared" ref="S60:V61" si="298">N60*12</f>
        <v>787.56</v>
      </c>
      <c r="T60" s="119">
        <f t="shared" si="298"/>
        <v>0</v>
      </c>
      <c r="U60" s="119">
        <f t="shared" si="298"/>
        <v>675</v>
      </c>
      <c r="V60" s="119">
        <f t="shared" si="298"/>
        <v>90</v>
      </c>
      <c r="W60" s="119">
        <f>SUM(S60:V60)</f>
        <v>1552.56</v>
      </c>
      <c r="X60" s="109">
        <f t="shared" si="242"/>
        <v>11302.56</v>
      </c>
      <c r="Y60" s="641"/>
      <c r="Z60" s="641"/>
      <c r="AA60" s="641"/>
      <c r="AB60" s="641"/>
      <c r="AC60" s="641">
        <f t="shared" si="25"/>
        <v>879.38</v>
      </c>
      <c r="AD60" s="641"/>
      <c r="AE60" s="641"/>
      <c r="AF60" s="246"/>
      <c r="AG60" s="11"/>
      <c r="AH60" s="11"/>
      <c r="AI60" s="233" t="s">
        <v>842</v>
      </c>
      <c r="AJ60" s="119">
        <f t="shared" ref="AJ60" si="299">I60*AI60</f>
        <v>0</v>
      </c>
      <c r="AK60" s="119"/>
      <c r="AL60" s="119"/>
      <c r="AM60" s="119">
        <f t="shared" ref="AM60:AM62" si="300">(P60+Q60)*AI60</f>
        <v>0</v>
      </c>
      <c r="AN60" s="119">
        <f t="shared" ref="AN60:AN62" si="301">AI60*O60</f>
        <v>0</v>
      </c>
      <c r="AO60" s="119">
        <f t="shared" ref="AO60:AO62" si="302">N60*AI60</f>
        <v>0</v>
      </c>
      <c r="AP60" s="864">
        <f t="shared" si="247"/>
        <v>750</v>
      </c>
      <c r="AQ60" s="119">
        <f>SUM(AJ60:AP60)</f>
        <v>750</v>
      </c>
      <c r="AS60" s="461">
        <f>12-AI60</f>
        <v>12</v>
      </c>
      <c r="AT60" s="119">
        <f>I60*AS60</f>
        <v>9000</v>
      </c>
      <c r="AU60" s="119">
        <f>K60</f>
        <v>0</v>
      </c>
      <c r="AV60" s="119"/>
      <c r="AW60" s="119">
        <f t="shared" si="251"/>
        <v>765</v>
      </c>
      <c r="AX60" s="119">
        <f t="shared" ref="AX60:AX62" si="303">AS60*O60</f>
        <v>0</v>
      </c>
      <c r="AY60" s="119">
        <f t="shared" ref="AY60:AY62" si="304">N60*AS60</f>
        <v>787.56</v>
      </c>
      <c r="AZ60" s="119">
        <v>0</v>
      </c>
      <c r="BA60" s="119">
        <f>SUM(AT60:AY60)</f>
        <v>10552.56</v>
      </c>
      <c r="BC60" s="197">
        <f>AO60+AY60-N60</f>
        <v>721.93</v>
      </c>
      <c r="BD60"/>
      <c r="BE60" s="2">
        <f t="shared" si="26"/>
        <v>0</v>
      </c>
    </row>
    <row r="61" spans="1:57" s="46" customFormat="1" x14ac:dyDescent="0.2">
      <c r="A61" s="116">
        <f>A60+1</f>
        <v>41</v>
      </c>
      <c r="B61" s="199" t="s">
        <v>616</v>
      </c>
      <c r="C61" s="199" t="s">
        <v>808</v>
      </c>
      <c r="D61" s="115" t="s">
        <v>616</v>
      </c>
      <c r="E61" s="116">
        <v>1</v>
      </c>
      <c r="F61" s="117" t="s">
        <v>244</v>
      </c>
      <c r="G61" s="117" t="s">
        <v>244</v>
      </c>
      <c r="H61" s="195">
        <v>500</v>
      </c>
      <c r="I61" s="201">
        <f t="shared" ref="I61" si="305">E61*H61</f>
        <v>500</v>
      </c>
      <c r="J61" s="119">
        <f>I61*12</f>
        <v>6000</v>
      </c>
      <c r="K61" s="119">
        <v>0</v>
      </c>
      <c r="L61" s="119">
        <v>0</v>
      </c>
      <c r="M61" s="119">
        <f t="shared" ref="M61" si="306">I61</f>
        <v>500</v>
      </c>
      <c r="N61" s="119">
        <f>ROUND(I61*$N$8,2)</f>
        <v>43.75</v>
      </c>
      <c r="O61" s="119">
        <v>0</v>
      </c>
      <c r="P61" s="119">
        <f>ROUND((IF(I61&gt;1000,1000*$P$8,I61*$P$8)),2)*E61</f>
        <v>37.5</v>
      </c>
      <c r="Q61" s="119">
        <f>ROUND((IF(I61&gt;1000,1000*$Q$8,I61*$Q$8)),2)</f>
        <v>5</v>
      </c>
      <c r="R61" s="119">
        <f>SUM(N61:Q61)</f>
        <v>86.25</v>
      </c>
      <c r="S61" s="119">
        <f t="shared" si="298"/>
        <v>525</v>
      </c>
      <c r="T61" s="119">
        <f t="shared" si="298"/>
        <v>0</v>
      </c>
      <c r="U61" s="119">
        <f t="shared" si="298"/>
        <v>450</v>
      </c>
      <c r="V61" s="119">
        <f t="shared" si="298"/>
        <v>60</v>
      </c>
      <c r="W61" s="119">
        <f>SUM(S61:V61)</f>
        <v>1035</v>
      </c>
      <c r="X61" s="109">
        <f t="shared" si="242"/>
        <v>7535</v>
      </c>
      <c r="Y61" s="641"/>
      <c r="Z61" s="641"/>
      <c r="AA61" s="641"/>
      <c r="AB61" s="641"/>
      <c r="AC61" s="641">
        <f t="shared" si="25"/>
        <v>586.25</v>
      </c>
      <c r="AD61" s="641"/>
      <c r="AE61" s="641"/>
      <c r="AF61" s="246"/>
      <c r="AG61" s="11"/>
      <c r="AH61" s="11"/>
      <c r="AI61" s="233" t="s">
        <v>842</v>
      </c>
      <c r="AJ61" s="119">
        <f t="shared" ref="AJ61" si="307">I61*AI61</f>
        <v>0</v>
      </c>
      <c r="AK61" s="119"/>
      <c r="AL61" s="119"/>
      <c r="AM61" s="119">
        <f t="shared" si="300"/>
        <v>0</v>
      </c>
      <c r="AN61" s="119">
        <f t="shared" si="301"/>
        <v>0</v>
      </c>
      <c r="AO61" s="119">
        <f t="shared" si="302"/>
        <v>0</v>
      </c>
      <c r="AP61" s="864">
        <f t="shared" si="247"/>
        <v>500</v>
      </c>
      <c r="AQ61" s="119">
        <f>SUM(AJ61:AP61)</f>
        <v>500</v>
      </c>
      <c r="AS61" s="461">
        <f>12-AI61</f>
        <v>12</v>
      </c>
      <c r="AT61" s="119">
        <f>I61*AS61</f>
        <v>6000</v>
      </c>
      <c r="AU61" s="119">
        <f>K61</f>
        <v>0</v>
      </c>
      <c r="AV61" s="119"/>
      <c r="AW61" s="119">
        <f t="shared" si="251"/>
        <v>510</v>
      </c>
      <c r="AX61" s="119">
        <f t="shared" si="303"/>
        <v>0</v>
      </c>
      <c r="AY61" s="119">
        <f t="shared" si="304"/>
        <v>525</v>
      </c>
      <c r="AZ61" s="119">
        <v>0</v>
      </c>
      <c r="BA61" s="119">
        <f>SUM(AT61:AY61)</f>
        <v>7035</v>
      </c>
      <c r="BC61" s="197">
        <f>AO61+AY61-N61</f>
        <v>481.25</v>
      </c>
      <c r="BD61"/>
      <c r="BE61" s="2">
        <f t="shared" si="26"/>
        <v>0</v>
      </c>
    </row>
    <row r="62" spans="1:57" s="46" customFormat="1" x14ac:dyDescent="0.2">
      <c r="A62" s="116">
        <f>A61+1</f>
        <v>42</v>
      </c>
      <c r="B62" s="30" t="s">
        <v>392</v>
      </c>
      <c r="C62" s="30" t="s">
        <v>809</v>
      </c>
      <c r="D62" s="115" t="s">
        <v>7</v>
      </c>
      <c r="E62" s="116">
        <v>2</v>
      </c>
      <c r="F62" s="117" t="s">
        <v>244</v>
      </c>
      <c r="G62" s="117" t="s">
        <v>244</v>
      </c>
      <c r="H62" s="195">
        <v>365</v>
      </c>
      <c r="I62" s="201">
        <f t="shared" si="266"/>
        <v>730</v>
      </c>
      <c r="J62" s="119">
        <f t="shared" ref="J62" si="308">I62*12</f>
        <v>8760</v>
      </c>
      <c r="K62" s="119">
        <v>0</v>
      </c>
      <c r="L62" s="119">
        <f>(ROUND((ROUND(H62/30,2)*15)*30%,2))*E62</f>
        <v>109.54</v>
      </c>
      <c r="M62" s="119">
        <f t="shared" si="278"/>
        <v>730</v>
      </c>
      <c r="N62" s="119">
        <f t="shared" si="267"/>
        <v>63.88</v>
      </c>
      <c r="O62" s="119">
        <v>0</v>
      </c>
      <c r="P62" s="119">
        <f>ROUND(I62*P8,2)</f>
        <v>54.75</v>
      </c>
      <c r="Q62" s="119">
        <f>ROUND(I62*Q8,2)</f>
        <v>7.3</v>
      </c>
      <c r="R62" s="119">
        <f t="shared" si="279"/>
        <v>125.92999999999999</v>
      </c>
      <c r="S62" s="119">
        <f t="shared" si="270"/>
        <v>766.56000000000006</v>
      </c>
      <c r="T62" s="119">
        <f t="shared" si="270"/>
        <v>0</v>
      </c>
      <c r="U62" s="119">
        <f t="shared" si="271"/>
        <v>657</v>
      </c>
      <c r="V62" s="119">
        <f t="shared" si="272"/>
        <v>87.6</v>
      </c>
      <c r="W62" s="119">
        <f t="shared" si="280"/>
        <v>1511.1599999999999</v>
      </c>
      <c r="X62" s="109">
        <f t="shared" si="242"/>
        <v>11110.7</v>
      </c>
      <c r="Y62" s="641"/>
      <c r="Z62" s="641"/>
      <c r="AA62" s="641"/>
      <c r="AB62" s="641"/>
      <c r="AC62" s="641">
        <f t="shared" si="25"/>
        <v>855.93</v>
      </c>
      <c r="AD62" s="641"/>
      <c r="AE62" s="641"/>
      <c r="AF62" s="246"/>
      <c r="AG62" s="11"/>
      <c r="AH62" s="11"/>
      <c r="AI62" s="233" t="s">
        <v>842</v>
      </c>
      <c r="AJ62" s="119">
        <f t="shared" si="281"/>
        <v>0</v>
      </c>
      <c r="AK62" s="119"/>
      <c r="AL62" s="119"/>
      <c r="AM62" s="119">
        <f t="shared" si="300"/>
        <v>0</v>
      </c>
      <c r="AN62" s="119">
        <f t="shared" si="301"/>
        <v>0</v>
      </c>
      <c r="AO62" s="119">
        <f t="shared" si="302"/>
        <v>0</v>
      </c>
      <c r="AP62" s="864">
        <f t="shared" si="247"/>
        <v>730</v>
      </c>
      <c r="AQ62" s="119">
        <f>SUM(AJ62:AP62)</f>
        <v>730</v>
      </c>
      <c r="AS62" s="461">
        <f>12-AI62</f>
        <v>12</v>
      </c>
      <c r="AT62" s="119">
        <f>I62*AS62</f>
        <v>8760</v>
      </c>
      <c r="AU62" s="119">
        <f>K62</f>
        <v>0</v>
      </c>
      <c r="AV62" s="119">
        <f>L62</f>
        <v>109.54</v>
      </c>
      <c r="AW62" s="119">
        <f t="shared" si="251"/>
        <v>744.59999999999991</v>
      </c>
      <c r="AX62" s="119">
        <f t="shared" si="303"/>
        <v>0</v>
      </c>
      <c r="AY62" s="119">
        <f t="shared" si="304"/>
        <v>766.56000000000006</v>
      </c>
      <c r="AZ62" s="119">
        <v>0</v>
      </c>
      <c r="BA62" s="119">
        <f>SUM(AT62:AY62)</f>
        <v>10380.700000000001</v>
      </c>
      <c r="BC62" s="197">
        <f>AO62+AY62-N62</f>
        <v>702.68000000000006</v>
      </c>
      <c r="BD62"/>
      <c r="BE62" s="2">
        <f t="shared" si="26"/>
        <v>0</v>
      </c>
    </row>
    <row r="63" spans="1:57" s="46" customFormat="1" ht="13.5" thickBot="1" x14ac:dyDescent="0.25">
      <c r="A63" s="126"/>
      <c r="B63" s="50" t="s">
        <v>407</v>
      </c>
      <c r="C63" s="50"/>
      <c r="D63" s="121"/>
      <c r="E63" s="122">
        <f>SUM(E60:E62)</f>
        <v>4</v>
      </c>
      <c r="F63" s="123"/>
      <c r="G63" s="123"/>
      <c r="H63" s="123"/>
      <c r="I63" s="124">
        <f t="shared" ref="I63:X63" si="309">SUM(I60:I62)</f>
        <v>1980</v>
      </c>
      <c r="J63" s="124">
        <f t="shared" si="309"/>
        <v>23760</v>
      </c>
      <c r="K63" s="124">
        <f t="shared" si="309"/>
        <v>0</v>
      </c>
      <c r="L63" s="124">
        <f t="shared" si="309"/>
        <v>109.54</v>
      </c>
      <c r="M63" s="124">
        <f t="shared" si="309"/>
        <v>1980</v>
      </c>
      <c r="N63" s="124">
        <f t="shared" si="309"/>
        <v>173.26</v>
      </c>
      <c r="O63" s="124">
        <f t="shared" si="309"/>
        <v>0</v>
      </c>
      <c r="P63" s="124">
        <f t="shared" si="309"/>
        <v>148.5</v>
      </c>
      <c r="Q63" s="124">
        <f t="shared" si="309"/>
        <v>19.8</v>
      </c>
      <c r="R63" s="124">
        <f t="shared" si="309"/>
        <v>341.56</v>
      </c>
      <c r="S63" s="124">
        <f t="shared" si="309"/>
        <v>2079.12</v>
      </c>
      <c r="T63" s="124">
        <f t="shared" si="309"/>
        <v>0</v>
      </c>
      <c r="U63" s="124">
        <f t="shared" si="309"/>
        <v>1782</v>
      </c>
      <c r="V63" s="124">
        <f t="shared" si="309"/>
        <v>237.6</v>
      </c>
      <c r="W63" s="124">
        <f t="shared" si="309"/>
        <v>4098.7199999999993</v>
      </c>
      <c r="X63" s="47">
        <f t="shared" si="309"/>
        <v>29948.26</v>
      </c>
      <c r="Y63" s="642"/>
      <c r="Z63" s="642"/>
      <c r="AA63" s="642"/>
      <c r="AB63" s="642"/>
      <c r="AC63" s="641">
        <f t="shared" si="25"/>
        <v>2321.56</v>
      </c>
      <c r="AD63" s="648">
        <v>2301.7700000000004</v>
      </c>
      <c r="AE63" s="642">
        <f>AC63-AD63</f>
        <v>19.789999999999509</v>
      </c>
      <c r="AF63" s="246">
        <v>31331.119999999999</v>
      </c>
      <c r="AG63" s="11">
        <f>X63-AF63</f>
        <v>-1382.8600000000006</v>
      </c>
      <c r="AH63" s="181"/>
      <c r="AI63" s="240"/>
      <c r="AJ63" s="240">
        <f>SUM(AJ60:AJ62)</f>
        <v>0</v>
      </c>
      <c r="AK63" s="240">
        <f t="shared" ref="AK63:AQ63" si="310">SUM(AK60:AK62)</f>
        <v>0</v>
      </c>
      <c r="AL63" s="240">
        <f t="shared" si="310"/>
        <v>0</v>
      </c>
      <c r="AM63" s="240">
        <f t="shared" si="310"/>
        <v>0</v>
      </c>
      <c r="AN63" s="240">
        <f t="shared" si="310"/>
        <v>0</v>
      </c>
      <c r="AO63" s="240">
        <f t="shared" si="310"/>
        <v>0</v>
      </c>
      <c r="AP63" s="240">
        <f t="shared" si="310"/>
        <v>1980</v>
      </c>
      <c r="AQ63" s="240">
        <f t="shared" si="310"/>
        <v>1980</v>
      </c>
      <c r="AR63" s="4">
        <f>2301.77-AQ63</f>
        <v>321.77</v>
      </c>
      <c r="AS63" s="240"/>
      <c r="AT63" s="240">
        <f t="shared" ref="AT63:BA63" si="311">SUM(AT60:AT62)</f>
        <v>23760</v>
      </c>
      <c r="AU63" s="240">
        <f t="shared" si="311"/>
        <v>0</v>
      </c>
      <c r="AV63" s="240">
        <f t="shared" si="311"/>
        <v>109.54</v>
      </c>
      <c r="AW63" s="240">
        <f t="shared" si="311"/>
        <v>2019.6</v>
      </c>
      <c r="AX63" s="240">
        <f t="shared" si="311"/>
        <v>0</v>
      </c>
      <c r="AY63" s="240">
        <f t="shared" si="311"/>
        <v>2079.12</v>
      </c>
      <c r="AZ63" s="240">
        <f t="shared" si="311"/>
        <v>0</v>
      </c>
      <c r="BA63" s="240">
        <f t="shared" si="311"/>
        <v>27968.26</v>
      </c>
      <c r="BC63" s="197"/>
      <c r="BE63" s="2">
        <f t="shared" si="26"/>
        <v>0</v>
      </c>
    </row>
    <row r="64" spans="1:57" s="46" customFormat="1" ht="13.5" thickTop="1" x14ac:dyDescent="0.2">
      <c r="A64" s="116">
        <f>A62+1</f>
        <v>43</v>
      </c>
      <c r="B64" s="199" t="s">
        <v>672</v>
      </c>
      <c r="C64" s="199" t="s">
        <v>797</v>
      </c>
      <c r="D64" s="115" t="s">
        <v>674</v>
      </c>
      <c r="E64" s="116">
        <v>1</v>
      </c>
      <c r="F64" s="117" t="s">
        <v>244</v>
      </c>
      <c r="G64" s="117" t="s">
        <v>244</v>
      </c>
      <c r="H64" s="195">
        <v>500</v>
      </c>
      <c r="I64" s="201">
        <f t="shared" ref="I64:I68" si="312">E64*H64</f>
        <v>500</v>
      </c>
      <c r="J64" s="119">
        <f>I64*12</f>
        <v>6000</v>
      </c>
      <c r="K64" s="119">
        <v>0</v>
      </c>
      <c r="L64" s="119">
        <f t="shared" ref="L64:L68" si="313">(ROUND((ROUND(H64/30,2)*15)*30%,2))*E64</f>
        <v>75.02</v>
      </c>
      <c r="M64" s="119">
        <f>I64</f>
        <v>500</v>
      </c>
      <c r="N64" s="119">
        <f>ROUND(I64*$N$8,2)</f>
        <v>43.75</v>
      </c>
      <c r="O64" s="119">
        <v>0</v>
      </c>
      <c r="P64" s="119">
        <f>ROUND((IF(I64&gt;1000,1000*$P$8,I64*$P$8)),2)*E64</f>
        <v>37.5</v>
      </c>
      <c r="Q64" s="119">
        <f>ROUND((IF(I64&gt;1000,1000*$Q$8,I64*$Q$8)),2)</f>
        <v>5</v>
      </c>
      <c r="R64" s="119">
        <f>SUM(N64:Q64)</f>
        <v>86.25</v>
      </c>
      <c r="S64" s="119">
        <f t="shared" ref="S64:V66" si="314">N64*12</f>
        <v>525</v>
      </c>
      <c r="T64" s="119">
        <f t="shared" si="314"/>
        <v>0</v>
      </c>
      <c r="U64" s="119">
        <f t="shared" si="314"/>
        <v>450</v>
      </c>
      <c r="V64" s="119">
        <f t="shared" si="314"/>
        <v>60</v>
      </c>
      <c r="W64" s="119">
        <f>SUM(S64:V64)</f>
        <v>1035</v>
      </c>
      <c r="X64" s="109">
        <f t="shared" si="242"/>
        <v>7610.02</v>
      </c>
      <c r="Y64" s="804"/>
      <c r="Z64" s="804"/>
      <c r="AA64" s="804"/>
      <c r="AB64" s="804"/>
      <c r="AC64" s="641">
        <f t="shared" si="25"/>
        <v>586.25</v>
      </c>
      <c r="AD64" s="641"/>
      <c r="AE64" s="641"/>
      <c r="AF64" s="246"/>
      <c r="AG64" s="11"/>
      <c r="AH64" s="11"/>
      <c r="AI64" s="233" t="s">
        <v>842</v>
      </c>
      <c r="AJ64" s="119">
        <f t="shared" ref="AJ64:AJ68" si="315">I64*AI64</f>
        <v>0</v>
      </c>
      <c r="AK64" s="119"/>
      <c r="AL64" s="119"/>
      <c r="AM64" s="119">
        <f t="shared" ref="AM64:AM68" si="316">(P64+Q64)*AI64</f>
        <v>0</v>
      </c>
      <c r="AN64" s="119">
        <f t="shared" ref="AN64:AN68" si="317">AI64*O64</f>
        <v>0</v>
      </c>
      <c r="AO64" s="119">
        <f t="shared" ref="AO64:AO68" si="318">N64*AI64</f>
        <v>0</v>
      </c>
      <c r="AP64" s="864">
        <f t="shared" si="247"/>
        <v>500</v>
      </c>
      <c r="AQ64" s="119">
        <f>SUM(AJ64:AP64)</f>
        <v>500</v>
      </c>
      <c r="AS64" s="461">
        <f>12-AI64</f>
        <v>12</v>
      </c>
      <c r="AT64" s="119">
        <f>I64*AS64</f>
        <v>6000</v>
      </c>
      <c r="AU64" s="119">
        <f>K64</f>
        <v>0</v>
      </c>
      <c r="AV64" s="119">
        <f t="shared" ref="AV64:AV66" si="319">L64</f>
        <v>75.02</v>
      </c>
      <c r="AW64" s="119">
        <f t="shared" si="251"/>
        <v>510</v>
      </c>
      <c r="AX64" s="119">
        <f t="shared" ref="AX64:AX68" si="320">AS64*O64</f>
        <v>0</v>
      </c>
      <c r="AY64" s="119">
        <f t="shared" ref="AY64:AY68" si="321">N64*AS64</f>
        <v>525</v>
      </c>
      <c r="AZ64" s="119">
        <v>0</v>
      </c>
      <c r="BA64" s="119">
        <f>SUM(AT64:AY64)</f>
        <v>7110.02</v>
      </c>
      <c r="BC64" s="197">
        <f>AO64+AY64-N64</f>
        <v>481.25</v>
      </c>
      <c r="BD64"/>
      <c r="BE64" s="2">
        <f t="shared" si="26"/>
        <v>0</v>
      </c>
    </row>
    <row r="65" spans="1:57" s="46" customFormat="1" ht="24" x14ac:dyDescent="0.2">
      <c r="A65" s="116">
        <f>A64+1</f>
        <v>44</v>
      </c>
      <c r="B65" s="199" t="s">
        <v>673</v>
      </c>
      <c r="C65" s="199" t="s">
        <v>811</v>
      </c>
      <c r="D65" s="115" t="s">
        <v>674</v>
      </c>
      <c r="E65" s="116">
        <v>1</v>
      </c>
      <c r="F65" s="117" t="s">
        <v>244</v>
      </c>
      <c r="G65" s="117" t="s">
        <v>244</v>
      </c>
      <c r="H65" s="195">
        <v>500</v>
      </c>
      <c r="I65" s="201">
        <f t="shared" ref="I65" si="322">E65*H65</f>
        <v>500</v>
      </c>
      <c r="J65" s="119">
        <f>I65*12</f>
        <v>6000</v>
      </c>
      <c r="K65" s="119">
        <v>0</v>
      </c>
      <c r="L65" s="119">
        <f t="shared" si="313"/>
        <v>75.02</v>
      </c>
      <c r="M65" s="119">
        <f t="shared" ref="M65" si="323">I65</f>
        <v>500</v>
      </c>
      <c r="N65" s="119">
        <f>ROUND(I65*$N$8,2)</f>
        <v>43.75</v>
      </c>
      <c r="O65" s="119">
        <v>0</v>
      </c>
      <c r="P65" s="119">
        <f>ROUND((IF(I65&gt;1000,1000*$P$8,I65*$P$8)),2)*E65</f>
        <v>37.5</v>
      </c>
      <c r="Q65" s="119">
        <f>ROUND((IF(I65&gt;1000,1000*$Q$8,I65*$Q$8)),2)</f>
        <v>5</v>
      </c>
      <c r="R65" s="119">
        <f>SUM(N65:Q65)</f>
        <v>86.25</v>
      </c>
      <c r="S65" s="119">
        <f t="shared" ref="S65" si="324">N65*12</f>
        <v>525</v>
      </c>
      <c r="T65" s="119">
        <f t="shared" ref="T65" si="325">O65*12</f>
        <v>0</v>
      </c>
      <c r="U65" s="119">
        <f t="shared" ref="U65" si="326">P65*12</f>
        <v>450</v>
      </c>
      <c r="V65" s="119">
        <f t="shared" ref="V65" si="327">Q65*12</f>
        <v>60</v>
      </c>
      <c r="W65" s="119">
        <f>SUM(S65:V65)</f>
        <v>1035</v>
      </c>
      <c r="X65" s="109">
        <f t="shared" ref="X65" si="328">J65+K65+L65+M65+W65</f>
        <v>7610.02</v>
      </c>
      <c r="Y65" s="804"/>
      <c r="Z65" s="804"/>
      <c r="AA65" s="804"/>
      <c r="AB65" s="804"/>
      <c r="AC65" s="641">
        <f t="shared" ref="AC65" si="329">I65+R65</f>
        <v>586.25</v>
      </c>
      <c r="AD65" s="641"/>
      <c r="AE65" s="641"/>
      <c r="AF65" s="246"/>
      <c r="AG65" s="11"/>
      <c r="AH65" s="11"/>
      <c r="AI65" s="233" t="s">
        <v>842</v>
      </c>
      <c r="AJ65" s="119">
        <f t="shared" ref="AJ65" si="330">I65*AI65</f>
        <v>0</v>
      </c>
      <c r="AK65" s="119"/>
      <c r="AL65" s="119"/>
      <c r="AM65" s="119">
        <f t="shared" ref="AM65" si="331">(P65+Q65)*AI65</f>
        <v>0</v>
      </c>
      <c r="AN65" s="119">
        <f t="shared" ref="AN65" si="332">AI65*O65</f>
        <v>0</v>
      </c>
      <c r="AO65" s="119">
        <f t="shared" ref="AO65" si="333">N65*AI65</f>
        <v>0</v>
      </c>
      <c r="AP65" s="864">
        <f t="shared" si="247"/>
        <v>500</v>
      </c>
      <c r="AQ65" s="119">
        <f>SUM(AJ65:AP65)</f>
        <v>500</v>
      </c>
      <c r="AS65" s="461">
        <f>12-AI65</f>
        <v>12</v>
      </c>
      <c r="AT65" s="119">
        <f>I65*AS65</f>
        <v>6000</v>
      </c>
      <c r="AU65" s="119">
        <f>K65</f>
        <v>0</v>
      </c>
      <c r="AV65" s="119">
        <f t="shared" si="319"/>
        <v>75.02</v>
      </c>
      <c r="AW65" s="119">
        <f t="shared" ref="AW65" si="334">(P65+Q65)*AS65</f>
        <v>510</v>
      </c>
      <c r="AX65" s="119">
        <f t="shared" ref="AX65" si="335">AS65*O65</f>
        <v>0</v>
      </c>
      <c r="AY65" s="119">
        <f t="shared" ref="AY65" si="336">N65*AS65</f>
        <v>525</v>
      </c>
      <c r="AZ65" s="119">
        <v>0</v>
      </c>
      <c r="BA65" s="119">
        <f>SUM(AT65:AY65)</f>
        <v>7110.02</v>
      </c>
      <c r="BC65" s="197">
        <f>AO65+AY65-N65</f>
        <v>481.25</v>
      </c>
      <c r="BD65"/>
      <c r="BE65" s="2">
        <f t="shared" si="26"/>
        <v>0</v>
      </c>
    </row>
    <row r="66" spans="1:57" s="46" customFormat="1" ht="24" x14ac:dyDescent="0.2">
      <c r="A66" s="116">
        <f>A65+1</f>
        <v>45</v>
      </c>
      <c r="B66" s="199" t="s">
        <v>673</v>
      </c>
      <c r="C66" s="199" t="s">
        <v>955</v>
      </c>
      <c r="D66" s="115" t="s">
        <v>674</v>
      </c>
      <c r="E66" s="116">
        <v>2</v>
      </c>
      <c r="F66" s="117" t="s">
        <v>244</v>
      </c>
      <c r="G66" s="117" t="s">
        <v>244</v>
      </c>
      <c r="H66" s="195">
        <v>450</v>
      </c>
      <c r="I66" s="201">
        <f t="shared" si="312"/>
        <v>900</v>
      </c>
      <c r="J66" s="119">
        <f>I66*12</f>
        <v>10800</v>
      </c>
      <c r="K66" s="119">
        <v>0</v>
      </c>
      <c r="L66" s="119">
        <f t="shared" si="313"/>
        <v>135</v>
      </c>
      <c r="M66" s="119">
        <f t="shared" ref="M66:M68" si="337">I66</f>
        <v>900</v>
      </c>
      <c r="N66" s="119">
        <f>ROUND(I66*$N$8,2)</f>
        <v>78.75</v>
      </c>
      <c r="O66" s="119">
        <v>0</v>
      </c>
      <c r="P66" s="119">
        <f>ROUND((IF(I66&gt;1000,1000*$P$8,I66*$P$8)),2)*E66</f>
        <v>135</v>
      </c>
      <c r="Q66" s="119">
        <f>ROUND((IF(I66&gt;1000,1000*$Q$8,I66*$Q$8)),2)</f>
        <v>9</v>
      </c>
      <c r="R66" s="119">
        <f>SUM(N66:Q66)</f>
        <v>222.75</v>
      </c>
      <c r="S66" s="119">
        <f t="shared" si="314"/>
        <v>945</v>
      </c>
      <c r="T66" s="119">
        <f t="shared" si="314"/>
        <v>0</v>
      </c>
      <c r="U66" s="119">
        <f t="shared" si="314"/>
        <v>1620</v>
      </c>
      <c r="V66" s="119">
        <f t="shared" si="314"/>
        <v>108</v>
      </c>
      <c r="W66" s="119">
        <f>SUM(S66:V66)</f>
        <v>2673</v>
      </c>
      <c r="X66" s="109">
        <f t="shared" si="242"/>
        <v>14508</v>
      </c>
      <c r="Y66" s="804"/>
      <c r="Z66" s="804"/>
      <c r="AA66" s="804"/>
      <c r="AB66" s="804"/>
      <c r="AC66" s="641">
        <f t="shared" si="25"/>
        <v>1122.75</v>
      </c>
      <c r="AD66" s="641"/>
      <c r="AE66" s="641"/>
      <c r="AF66" s="246"/>
      <c r="AG66" s="11"/>
      <c r="AH66" s="11"/>
      <c r="AI66" s="233" t="s">
        <v>842</v>
      </c>
      <c r="AJ66" s="119">
        <f t="shared" si="315"/>
        <v>0</v>
      </c>
      <c r="AK66" s="119"/>
      <c r="AL66" s="119"/>
      <c r="AM66" s="119">
        <f t="shared" si="316"/>
        <v>0</v>
      </c>
      <c r="AN66" s="119">
        <f t="shared" si="317"/>
        <v>0</v>
      </c>
      <c r="AO66" s="119">
        <f t="shared" si="318"/>
        <v>0</v>
      </c>
      <c r="AP66" s="864">
        <f t="shared" si="247"/>
        <v>900</v>
      </c>
      <c r="AQ66" s="119">
        <f>SUM(AJ66:AP66)</f>
        <v>900</v>
      </c>
      <c r="AS66" s="461">
        <f>12-AI66</f>
        <v>12</v>
      </c>
      <c r="AT66" s="119">
        <f>I66*AS66</f>
        <v>10800</v>
      </c>
      <c r="AU66" s="119">
        <f>K66</f>
        <v>0</v>
      </c>
      <c r="AV66" s="119">
        <f t="shared" si="319"/>
        <v>135</v>
      </c>
      <c r="AW66" s="119">
        <f t="shared" si="251"/>
        <v>1728</v>
      </c>
      <c r="AX66" s="119">
        <f t="shared" si="320"/>
        <v>0</v>
      </c>
      <c r="AY66" s="119">
        <f t="shared" si="321"/>
        <v>945</v>
      </c>
      <c r="AZ66" s="119">
        <v>0</v>
      </c>
      <c r="BA66" s="119">
        <f>SUM(AT66:AY66)</f>
        <v>13608</v>
      </c>
      <c r="BC66" s="197">
        <f>AO66+AY66-N66</f>
        <v>866.25</v>
      </c>
      <c r="BD66"/>
      <c r="BE66" s="2">
        <f t="shared" si="26"/>
        <v>0</v>
      </c>
    </row>
    <row r="67" spans="1:57" s="46" customFormat="1" ht="24" x14ac:dyDescent="0.2">
      <c r="A67" s="116">
        <f>A66+1</f>
        <v>46</v>
      </c>
      <c r="B67" s="199" t="s">
        <v>673</v>
      </c>
      <c r="C67" s="199" t="s">
        <v>806</v>
      </c>
      <c r="D67" s="115" t="s">
        <v>674</v>
      </c>
      <c r="E67" s="116">
        <v>3</v>
      </c>
      <c r="F67" s="117" t="s">
        <v>244</v>
      </c>
      <c r="G67" s="117" t="s">
        <v>244</v>
      </c>
      <c r="H67" s="195">
        <v>400</v>
      </c>
      <c r="I67" s="201">
        <f t="shared" ref="I67" si="338">E67*H67</f>
        <v>1200</v>
      </c>
      <c r="J67" s="119">
        <f t="shared" ref="J67" si="339">I67*12</f>
        <v>14400</v>
      </c>
      <c r="K67" s="119">
        <v>0</v>
      </c>
      <c r="L67" s="119">
        <f t="shared" si="313"/>
        <v>179.97</v>
      </c>
      <c r="M67" s="119">
        <f t="shared" ref="M67" si="340">I67</f>
        <v>1200</v>
      </c>
      <c r="N67" s="119">
        <f t="shared" ref="N67" si="341">ROUND(I67*$N$8,2)</f>
        <v>105</v>
      </c>
      <c r="O67" s="119">
        <v>0</v>
      </c>
      <c r="P67" s="119">
        <f>ROUND((IF(I67&gt;1000,1000*$P$8,I67*$P$8)),2)*E67</f>
        <v>225</v>
      </c>
      <c r="Q67" s="119">
        <f>ROUND((IF(I67&gt;1000,1000*$Q$8,I67*$Q$8)),2)</f>
        <v>10</v>
      </c>
      <c r="R67" s="119">
        <f>SUM(N67:Q67)</f>
        <v>340</v>
      </c>
      <c r="S67" s="119">
        <f t="shared" ref="S67" si="342">N67*12</f>
        <v>1260</v>
      </c>
      <c r="T67" s="119">
        <f t="shared" ref="T67" si="343">O67*12</f>
        <v>0</v>
      </c>
      <c r="U67" s="119">
        <f t="shared" ref="U67" si="344">P67*12</f>
        <v>2700</v>
      </c>
      <c r="V67" s="119">
        <f t="shared" ref="V67" si="345">Q67*12</f>
        <v>120</v>
      </c>
      <c r="W67" s="119">
        <f>SUM(S67:V67)</f>
        <v>4080</v>
      </c>
      <c r="X67" s="109">
        <f t="shared" ref="X67" si="346">J67+K67+L67+M67+W67</f>
        <v>19859.97</v>
      </c>
      <c r="Y67" s="804"/>
      <c r="Z67" s="804"/>
      <c r="AA67" s="804"/>
      <c r="AB67" s="804"/>
      <c r="AC67" s="641">
        <f t="shared" ref="AC67" si="347">I67+R67</f>
        <v>1540</v>
      </c>
      <c r="AD67" s="641"/>
      <c r="AE67" s="641"/>
      <c r="AF67" s="246"/>
      <c r="AG67" s="11"/>
      <c r="AH67" s="11"/>
      <c r="AI67" s="233" t="s">
        <v>842</v>
      </c>
      <c r="AJ67" s="119">
        <f t="shared" ref="AJ67" si="348">I67*AI67</f>
        <v>0</v>
      </c>
      <c r="AK67" s="119"/>
      <c r="AL67" s="119"/>
      <c r="AM67" s="119">
        <f t="shared" ref="AM67" si="349">(P67+Q67)*AI67</f>
        <v>0</v>
      </c>
      <c r="AN67" s="119">
        <f t="shared" ref="AN67" si="350">AI67*O67</f>
        <v>0</v>
      </c>
      <c r="AO67" s="119">
        <f t="shared" ref="AO67" si="351">N67*AI67</f>
        <v>0</v>
      </c>
      <c r="AP67" s="864">
        <f t="shared" si="247"/>
        <v>1200</v>
      </c>
      <c r="AQ67" s="119">
        <f>SUM(AJ67:AP67)</f>
        <v>1200</v>
      </c>
      <c r="AS67" s="461">
        <f>12-AI67</f>
        <v>12</v>
      </c>
      <c r="AT67" s="119">
        <f>I67*AS67</f>
        <v>14400</v>
      </c>
      <c r="AU67" s="119">
        <f>K67</f>
        <v>0</v>
      </c>
      <c r="AV67" s="119">
        <f>L67</f>
        <v>179.97</v>
      </c>
      <c r="AW67" s="119">
        <f t="shared" ref="AW67" si="352">(P67+Q67)*AS67</f>
        <v>2820</v>
      </c>
      <c r="AX67" s="119">
        <f t="shared" ref="AX67" si="353">AS67*O67</f>
        <v>0</v>
      </c>
      <c r="AY67" s="119">
        <f t="shared" ref="AY67" si="354">N67*AS67</f>
        <v>1260</v>
      </c>
      <c r="AZ67" s="119">
        <v>0</v>
      </c>
      <c r="BA67" s="119">
        <f>SUM(AT67:AY67)</f>
        <v>18659.97</v>
      </c>
      <c r="BC67" s="197">
        <f>AO67+AY67-N67</f>
        <v>1155</v>
      </c>
      <c r="BD67"/>
      <c r="BE67" s="2">
        <f t="shared" si="26"/>
        <v>0</v>
      </c>
    </row>
    <row r="68" spans="1:57" s="46" customFormat="1" ht="24" x14ac:dyDescent="0.2">
      <c r="A68" s="116">
        <f>A67+1</f>
        <v>47</v>
      </c>
      <c r="B68" s="199" t="s">
        <v>673</v>
      </c>
      <c r="C68" s="199" t="s">
        <v>816</v>
      </c>
      <c r="D68" s="115" t="s">
        <v>674</v>
      </c>
      <c r="E68" s="116">
        <v>1</v>
      </c>
      <c r="F68" s="117" t="s">
        <v>244</v>
      </c>
      <c r="G68" s="117" t="s">
        <v>244</v>
      </c>
      <c r="H68" s="195">
        <v>365</v>
      </c>
      <c r="I68" s="201">
        <f t="shared" si="312"/>
        <v>365</v>
      </c>
      <c r="J68" s="119">
        <f t="shared" ref="J68" si="355">I68*12</f>
        <v>4380</v>
      </c>
      <c r="K68" s="119">
        <v>0</v>
      </c>
      <c r="L68" s="119">
        <f t="shared" si="313"/>
        <v>54.77</v>
      </c>
      <c r="M68" s="119">
        <f t="shared" si="337"/>
        <v>365</v>
      </c>
      <c r="N68" s="119">
        <f t="shared" ref="N68" si="356">ROUND(I68*$N$8,2)</f>
        <v>31.94</v>
      </c>
      <c r="O68" s="119">
        <v>0</v>
      </c>
      <c r="P68" s="119">
        <f>ROUND(I68*P8,2)</f>
        <v>27.38</v>
      </c>
      <c r="Q68" s="119">
        <f>ROUND(I68*Q8,2)</f>
        <v>3.65</v>
      </c>
      <c r="R68" s="119">
        <f t="shared" ref="R68" si="357">SUM(N68:Q68)</f>
        <v>62.97</v>
      </c>
      <c r="S68" s="119">
        <f t="shared" ref="S68" si="358">N68*12</f>
        <v>383.28000000000003</v>
      </c>
      <c r="T68" s="119">
        <f t="shared" ref="T68" si="359">O68*12</f>
        <v>0</v>
      </c>
      <c r="U68" s="119">
        <f t="shared" ref="U68" si="360">P68*12</f>
        <v>328.56</v>
      </c>
      <c r="V68" s="119">
        <f t="shared" ref="V68" si="361">Q68*12</f>
        <v>43.8</v>
      </c>
      <c r="W68" s="119">
        <f t="shared" ref="W68" si="362">SUM(S68:V68)</f>
        <v>755.64</v>
      </c>
      <c r="X68" s="109">
        <f t="shared" si="242"/>
        <v>5555.4100000000008</v>
      </c>
      <c r="Y68" s="804"/>
      <c r="Z68" s="804"/>
      <c r="AA68" s="804"/>
      <c r="AB68" s="804"/>
      <c r="AC68" s="641">
        <f t="shared" si="25"/>
        <v>427.97</v>
      </c>
      <c r="AD68" s="641"/>
      <c r="AE68" s="641"/>
      <c r="AF68" s="246"/>
      <c r="AG68" s="11"/>
      <c r="AH68" s="11"/>
      <c r="AI68" s="233" t="s">
        <v>842</v>
      </c>
      <c r="AJ68" s="119">
        <f t="shared" si="315"/>
        <v>0</v>
      </c>
      <c r="AK68" s="119"/>
      <c r="AL68" s="119"/>
      <c r="AM68" s="119">
        <f t="shared" si="316"/>
        <v>0</v>
      </c>
      <c r="AN68" s="119">
        <f t="shared" si="317"/>
        <v>0</v>
      </c>
      <c r="AO68" s="119">
        <f t="shared" si="318"/>
        <v>0</v>
      </c>
      <c r="AP68" s="864">
        <f t="shared" si="247"/>
        <v>365</v>
      </c>
      <c r="AQ68" s="119">
        <f>SUM(AJ68:AP68)</f>
        <v>365</v>
      </c>
      <c r="AS68" s="461">
        <f>12-AI68</f>
        <v>12</v>
      </c>
      <c r="AT68" s="119">
        <f>I68*AS68</f>
        <v>4380</v>
      </c>
      <c r="AU68" s="119">
        <f>K68</f>
        <v>0</v>
      </c>
      <c r="AV68" s="119">
        <f>L68</f>
        <v>54.77</v>
      </c>
      <c r="AW68" s="119">
        <f t="shared" si="251"/>
        <v>372.35999999999996</v>
      </c>
      <c r="AX68" s="119">
        <f t="shared" si="320"/>
        <v>0</v>
      </c>
      <c r="AY68" s="119">
        <f t="shared" si="321"/>
        <v>383.28000000000003</v>
      </c>
      <c r="AZ68" s="119">
        <v>0</v>
      </c>
      <c r="BA68" s="119">
        <f>SUM(AT68:AY68)</f>
        <v>5190.41</v>
      </c>
      <c r="BC68" s="197">
        <f>AO68+AY68-N68</f>
        <v>351.34000000000003</v>
      </c>
      <c r="BD68"/>
      <c r="BE68" s="2">
        <f t="shared" si="26"/>
        <v>0</v>
      </c>
    </row>
    <row r="69" spans="1:57" s="46" customFormat="1" ht="13.5" thickBot="1" x14ac:dyDescent="0.25">
      <c r="A69" s="126"/>
      <c r="B69" s="50" t="s">
        <v>407</v>
      </c>
      <c r="C69" s="50"/>
      <c r="D69" s="121"/>
      <c r="E69" s="122">
        <f>SUM(E64:E68)</f>
        <v>8</v>
      </c>
      <c r="F69" s="123"/>
      <c r="G69" s="123"/>
      <c r="H69" s="123"/>
      <c r="I69" s="124">
        <f>SUM(I64:I68)</f>
        <v>3465</v>
      </c>
      <c r="J69" s="124">
        <f>SUM(J64:J68)</f>
        <v>41580</v>
      </c>
      <c r="K69" s="124">
        <f t="shared" ref="K69" si="363">SUM(K64:K68)</f>
        <v>0</v>
      </c>
      <c r="L69" s="124">
        <f t="shared" ref="L69" si="364">SUM(L64:L68)</f>
        <v>519.78</v>
      </c>
      <c r="M69" s="124">
        <f t="shared" ref="M69" si="365">SUM(M64:M68)</f>
        <v>3465</v>
      </c>
      <c r="N69" s="124">
        <f t="shared" ref="N69" si="366">SUM(N64:N68)</f>
        <v>303.19</v>
      </c>
      <c r="O69" s="124">
        <f t="shared" ref="O69" si="367">SUM(O64:O68)</f>
        <v>0</v>
      </c>
      <c r="P69" s="124">
        <f t="shared" ref="P69" si="368">SUM(P64:P68)</f>
        <v>462.38</v>
      </c>
      <c r="Q69" s="124">
        <f t="shared" ref="Q69" si="369">SUM(Q64:Q68)</f>
        <v>32.65</v>
      </c>
      <c r="R69" s="124">
        <f t="shared" ref="R69" si="370">SUM(R64:R68)</f>
        <v>798.22</v>
      </c>
      <c r="S69" s="124">
        <f t="shared" ref="S69" si="371">SUM(S64:S68)</f>
        <v>3638.28</v>
      </c>
      <c r="T69" s="124">
        <f t="shared" ref="T69" si="372">SUM(T64:T68)</f>
        <v>0</v>
      </c>
      <c r="U69" s="124">
        <f t="shared" ref="U69" si="373">SUM(U64:U68)</f>
        <v>5548.56</v>
      </c>
      <c r="V69" s="124">
        <f t="shared" ref="V69" si="374">SUM(V64:V68)</f>
        <v>391.8</v>
      </c>
      <c r="W69" s="124">
        <f t="shared" ref="W69" si="375">SUM(W64:W68)</f>
        <v>9578.64</v>
      </c>
      <c r="X69" s="47">
        <f t="shared" ref="X69" si="376">SUM(X64:X68)</f>
        <v>55143.420000000006</v>
      </c>
      <c r="Y69" s="805"/>
      <c r="Z69" s="805"/>
      <c r="AA69" s="805"/>
      <c r="AB69" s="805"/>
      <c r="AC69" s="646">
        <f t="shared" si="25"/>
        <v>4263.22</v>
      </c>
      <c r="AD69" s="642"/>
      <c r="AE69" s="642"/>
      <c r="AF69" s="246">
        <v>39622.559999999998</v>
      </c>
      <c r="AG69" s="11">
        <f>X69-AF69</f>
        <v>15520.860000000008</v>
      </c>
      <c r="AH69" s="181"/>
      <c r="AI69" s="240"/>
      <c r="AJ69" s="240">
        <f t="shared" ref="AJ69:AQ69" si="377">SUM(AJ64:AJ68)</f>
        <v>0</v>
      </c>
      <c r="AK69" s="240">
        <f t="shared" si="377"/>
        <v>0</v>
      </c>
      <c r="AL69" s="240">
        <f t="shared" si="377"/>
        <v>0</v>
      </c>
      <c r="AM69" s="240">
        <f t="shared" si="377"/>
        <v>0</v>
      </c>
      <c r="AN69" s="240">
        <f t="shared" si="377"/>
        <v>0</v>
      </c>
      <c r="AO69" s="240">
        <f t="shared" si="377"/>
        <v>0</v>
      </c>
      <c r="AP69" s="240">
        <f t="shared" si="377"/>
        <v>3465</v>
      </c>
      <c r="AQ69" s="240">
        <f t="shared" si="377"/>
        <v>3465</v>
      </c>
      <c r="AS69" s="240"/>
      <c r="AT69" s="240">
        <f t="shared" ref="AT69:BA69" si="378">SUM(AT64:AT68)</f>
        <v>41580</v>
      </c>
      <c r="AU69" s="240">
        <f t="shared" si="378"/>
        <v>0</v>
      </c>
      <c r="AV69" s="240">
        <f t="shared" si="378"/>
        <v>519.78</v>
      </c>
      <c r="AW69" s="240">
        <f t="shared" si="378"/>
        <v>5940.36</v>
      </c>
      <c r="AX69" s="240">
        <f t="shared" si="378"/>
        <v>0</v>
      </c>
      <c r="AY69" s="240">
        <f t="shared" si="378"/>
        <v>3638.28</v>
      </c>
      <c r="AZ69" s="240">
        <f t="shared" si="378"/>
        <v>0</v>
      </c>
      <c r="BA69" s="240">
        <f t="shared" si="378"/>
        <v>51678.42</v>
      </c>
      <c r="BC69" s="197"/>
    </row>
    <row r="70" spans="1:57" s="46" customFormat="1" ht="14.25" thickTop="1" thickBot="1" x14ac:dyDescent="0.25">
      <c r="A70" s="126"/>
      <c r="B70" s="50" t="s">
        <v>677</v>
      </c>
      <c r="C70" s="50"/>
      <c r="D70" s="121"/>
      <c r="E70" s="122">
        <f>E54+E59+E63+E69</f>
        <v>26</v>
      </c>
      <c r="F70" s="123"/>
      <c r="G70" s="123"/>
      <c r="H70" s="123"/>
      <c r="I70" s="124">
        <f t="shared" ref="I70:X70" si="379">I54+I59+I63+I69</f>
        <v>10069.290000000001</v>
      </c>
      <c r="J70" s="124">
        <f t="shared" si="379"/>
        <v>120831.48</v>
      </c>
      <c r="K70" s="124">
        <f t="shared" si="379"/>
        <v>0</v>
      </c>
      <c r="L70" s="124">
        <f>L54+L59+L63+L69</f>
        <v>1654.9359999999999</v>
      </c>
      <c r="M70" s="124">
        <f t="shared" si="379"/>
        <v>10069.290000000001</v>
      </c>
      <c r="N70" s="124">
        <f t="shared" si="379"/>
        <v>817.21</v>
      </c>
      <c r="O70" s="124">
        <f t="shared" si="379"/>
        <v>0</v>
      </c>
      <c r="P70" s="124">
        <f t="shared" si="379"/>
        <v>930.34999999999991</v>
      </c>
      <c r="Q70" s="124">
        <f t="shared" si="379"/>
        <v>95.039999999999992</v>
      </c>
      <c r="R70" s="124">
        <f t="shared" si="379"/>
        <v>1842.6</v>
      </c>
      <c r="S70" s="124">
        <f t="shared" si="379"/>
        <v>9806.52</v>
      </c>
      <c r="T70" s="124">
        <f t="shared" si="379"/>
        <v>0</v>
      </c>
      <c r="U70" s="124">
        <f t="shared" si="379"/>
        <v>11164.2</v>
      </c>
      <c r="V70" s="124">
        <f t="shared" si="379"/>
        <v>1140.48</v>
      </c>
      <c r="W70" s="124">
        <f t="shared" si="379"/>
        <v>22111.199999999997</v>
      </c>
      <c r="X70" s="47">
        <f t="shared" si="379"/>
        <v>154666.90599999999</v>
      </c>
      <c r="Y70" s="805"/>
      <c r="Z70" s="805"/>
      <c r="AA70" s="805"/>
      <c r="AB70" s="805"/>
      <c r="AC70" s="641">
        <f t="shared" si="25"/>
        <v>11911.890000000001</v>
      </c>
      <c r="AD70" s="642"/>
      <c r="AE70" s="642"/>
      <c r="AF70" s="246">
        <v>154885.18</v>
      </c>
      <c r="AG70" s="11">
        <f>X70-AF70</f>
        <v>-218.27400000000489</v>
      </c>
      <c r="AH70" s="181"/>
      <c r="AI70" s="240"/>
      <c r="AJ70" s="240">
        <f t="shared" ref="AJ70:AQ70" si="380">AJ54+AJ59+AJ63+AJ69</f>
        <v>0</v>
      </c>
      <c r="AK70" s="240">
        <f t="shared" si="380"/>
        <v>0</v>
      </c>
      <c r="AL70" s="240">
        <f t="shared" si="380"/>
        <v>0</v>
      </c>
      <c r="AM70" s="240">
        <f t="shared" si="380"/>
        <v>0</v>
      </c>
      <c r="AN70" s="240">
        <f t="shared" si="380"/>
        <v>0</v>
      </c>
      <c r="AO70" s="240">
        <f t="shared" si="380"/>
        <v>0</v>
      </c>
      <c r="AP70" s="240">
        <f t="shared" si="380"/>
        <v>10069.290000000001</v>
      </c>
      <c r="AQ70" s="240">
        <f t="shared" si="380"/>
        <v>10069.290000000001</v>
      </c>
      <c r="AS70" s="240"/>
      <c r="AT70" s="240">
        <f t="shared" ref="AT70:BA70" si="381">AT54+AT59+AT63+AT69</f>
        <v>120831.48</v>
      </c>
      <c r="AU70" s="240">
        <f t="shared" si="381"/>
        <v>0</v>
      </c>
      <c r="AV70" s="240">
        <f t="shared" si="381"/>
        <v>1654.9359999999999</v>
      </c>
      <c r="AW70" s="240">
        <f t="shared" si="381"/>
        <v>12304.68</v>
      </c>
      <c r="AX70" s="240">
        <f t="shared" si="381"/>
        <v>0</v>
      </c>
      <c r="AY70" s="240">
        <f t="shared" si="381"/>
        <v>9806.52</v>
      </c>
      <c r="AZ70" s="240">
        <f t="shared" si="381"/>
        <v>0</v>
      </c>
      <c r="BA70" s="240">
        <f t="shared" si="381"/>
        <v>144597.61599999998</v>
      </c>
      <c r="BC70" s="197"/>
    </row>
    <row r="71" spans="1:57" ht="14.25" thickTop="1" thickBot="1" x14ac:dyDescent="0.25">
      <c r="A71" s="694"/>
      <c r="B71" s="695" t="s">
        <v>676</v>
      </c>
      <c r="C71" s="695"/>
      <c r="D71" s="696"/>
      <c r="E71" s="697">
        <f>E47+E70</f>
        <v>33</v>
      </c>
      <c r="F71" s="698"/>
      <c r="G71" s="698"/>
      <c r="H71" s="698"/>
      <c r="I71" s="699">
        <f t="shared" ref="I71:X71" si="382">I47+I70</f>
        <v>13799.29</v>
      </c>
      <c r="J71" s="699">
        <f t="shared" si="382"/>
        <v>165591.47999999998</v>
      </c>
      <c r="K71" s="699">
        <f t="shared" si="382"/>
        <v>0</v>
      </c>
      <c r="L71" s="699">
        <f>L47+L70</f>
        <v>1654.9359999999999</v>
      </c>
      <c r="M71" s="699">
        <f t="shared" si="382"/>
        <v>13799.29</v>
      </c>
      <c r="N71" s="699">
        <f t="shared" si="382"/>
        <v>1067.9100000000001</v>
      </c>
      <c r="O71" s="699">
        <f t="shared" si="382"/>
        <v>30</v>
      </c>
      <c r="P71" s="699">
        <f t="shared" si="382"/>
        <v>1210.1099999999999</v>
      </c>
      <c r="Q71" s="699">
        <f t="shared" si="382"/>
        <v>132.33999999999997</v>
      </c>
      <c r="R71" s="699">
        <f t="shared" si="382"/>
        <v>2440.3599999999997</v>
      </c>
      <c r="S71" s="699">
        <f t="shared" si="382"/>
        <v>12814.92</v>
      </c>
      <c r="T71" s="699">
        <f t="shared" si="382"/>
        <v>360</v>
      </c>
      <c r="U71" s="699">
        <f t="shared" si="382"/>
        <v>14521.32</v>
      </c>
      <c r="V71" s="699">
        <f t="shared" si="382"/>
        <v>1588.08</v>
      </c>
      <c r="W71" s="699">
        <f t="shared" si="382"/>
        <v>29284.319999999996</v>
      </c>
      <c r="X71" s="700">
        <f t="shared" si="382"/>
        <v>210330.02599999998</v>
      </c>
      <c r="Y71" s="805"/>
      <c r="Z71" s="805"/>
      <c r="AA71" s="805"/>
      <c r="AB71" s="805"/>
      <c r="AC71" s="641">
        <f t="shared" si="25"/>
        <v>16239.650000000001</v>
      </c>
      <c r="AD71" s="645"/>
      <c r="AE71" s="645"/>
      <c r="AF71" s="246">
        <v>206721.94</v>
      </c>
      <c r="AG71" s="11">
        <f>X71-AF71</f>
        <v>3608.0859999999811</v>
      </c>
      <c r="AH71" s="11"/>
      <c r="AI71" s="238"/>
      <c r="AJ71" s="238">
        <f t="shared" ref="AJ71:AQ71" si="383">AJ47+AJ70</f>
        <v>9350</v>
      </c>
      <c r="AK71" s="238">
        <f t="shared" si="383"/>
        <v>0</v>
      </c>
      <c r="AL71" s="238">
        <f t="shared" si="383"/>
        <v>0</v>
      </c>
      <c r="AM71" s="238">
        <f>AM47+AM70</f>
        <v>794.75</v>
      </c>
      <c r="AN71" s="238">
        <f t="shared" si="383"/>
        <v>0</v>
      </c>
      <c r="AO71" s="238">
        <f t="shared" si="383"/>
        <v>818.18</v>
      </c>
      <c r="AP71" s="238">
        <f t="shared" si="383"/>
        <v>13799.29</v>
      </c>
      <c r="AQ71" s="238">
        <f t="shared" si="383"/>
        <v>24762.22</v>
      </c>
      <c r="AS71" s="238"/>
      <c r="AT71" s="238">
        <f t="shared" ref="AT71:BA71" si="384">AT47+AT70</f>
        <v>156241.47999999998</v>
      </c>
      <c r="AU71" s="238">
        <f t="shared" si="384"/>
        <v>0</v>
      </c>
      <c r="AV71" s="238">
        <f t="shared" si="384"/>
        <v>1654.9359999999999</v>
      </c>
      <c r="AW71" s="238">
        <f t="shared" si="384"/>
        <v>15314.650000000001</v>
      </c>
      <c r="AX71" s="238">
        <f t="shared" si="384"/>
        <v>360</v>
      </c>
      <c r="AY71" s="238">
        <f t="shared" si="384"/>
        <v>11996.740000000002</v>
      </c>
      <c r="AZ71" s="238">
        <f t="shared" si="384"/>
        <v>0</v>
      </c>
      <c r="BA71" s="238">
        <f t="shared" si="384"/>
        <v>185567.80599999998</v>
      </c>
      <c r="BC71" s="197"/>
    </row>
    <row r="72" spans="1:57" ht="6.75" customHeight="1" thickBot="1" x14ac:dyDescent="0.25">
      <c r="A72" s="650"/>
      <c r="B72" s="49"/>
      <c r="C72" s="49"/>
      <c r="D72" s="375"/>
      <c r="E72" s="375"/>
      <c r="F72" s="651"/>
      <c r="G72" s="651"/>
      <c r="H72" s="651"/>
      <c r="I72" s="642"/>
      <c r="J72" s="642"/>
      <c r="K72" s="642"/>
      <c r="L72" s="642"/>
      <c r="M72" s="642"/>
      <c r="N72" s="642"/>
      <c r="O72" s="642"/>
      <c r="P72" s="642"/>
      <c r="Q72" s="642"/>
      <c r="R72" s="652"/>
      <c r="S72" s="642"/>
      <c r="T72" s="642"/>
      <c r="U72" s="642"/>
      <c r="V72" s="642"/>
      <c r="W72" s="652"/>
      <c r="X72" s="642"/>
      <c r="Y72" s="805"/>
      <c r="Z72" s="805"/>
      <c r="AA72" s="805"/>
      <c r="AB72" s="805"/>
      <c r="AC72" s="641">
        <f t="shared" si="25"/>
        <v>0</v>
      </c>
      <c r="AD72" s="642"/>
      <c r="AE72" s="642"/>
      <c r="AF72" s="653"/>
      <c r="AG72" s="11"/>
      <c r="AH72" s="11"/>
      <c r="AI72" s="636"/>
      <c r="AJ72" s="636"/>
      <c r="AK72" s="636"/>
      <c r="AL72" s="636"/>
      <c r="AM72" s="636"/>
      <c r="AN72" s="636"/>
      <c r="AO72" s="636"/>
      <c r="AP72" s="636"/>
      <c r="AQ72" s="636"/>
      <c r="AS72" s="636"/>
      <c r="AT72" s="636"/>
      <c r="AU72" s="636"/>
      <c r="AV72" s="636"/>
      <c r="AW72" s="636"/>
      <c r="AX72" s="636"/>
      <c r="AY72" s="636"/>
      <c r="AZ72" s="636"/>
      <c r="BA72" s="636"/>
      <c r="BC72" s="197"/>
    </row>
    <row r="73" spans="1:57" s="46" customFormat="1" ht="13.5" thickBot="1" x14ac:dyDescent="0.25">
      <c r="A73" s="701"/>
      <c r="B73" s="702" t="s">
        <v>395</v>
      </c>
      <c r="C73" s="702"/>
      <c r="D73" s="703"/>
      <c r="E73" s="704">
        <f>E38+E71</f>
        <v>54</v>
      </c>
      <c r="F73" s="705"/>
      <c r="G73" s="705"/>
      <c r="H73" s="705"/>
      <c r="I73" s="706">
        <f t="shared" ref="I73:X73" si="385">I38+I71</f>
        <v>25789.29</v>
      </c>
      <c r="J73" s="706">
        <f t="shared" si="385"/>
        <v>309471.48</v>
      </c>
      <c r="K73" s="706">
        <f t="shared" si="385"/>
        <v>0</v>
      </c>
      <c r="L73" s="706">
        <f t="shared" si="385"/>
        <v>1654.9359999999999</v>
      </c>
      <c r="M73" s="706">
        <f t="shared" si="385"/>
        <v>25789.29</v>
      </c>
      <c r="N73" s="706">
        <f t="shared" si="385"/>
        <v>2117.0500000000002</v>
      </c>
      <c r="O73" s="706">
        <f t="shared" si="385"/>
        <v>30</v>
      </c>
      <c r="P73" s="706">
        <f t="shared" si="385"/>
        <v>1970.61</v>
      </c>
      <c r="Q73" s="706">
        <f t="shared" si="385"/>
        <v>233.73999999999998</v>
      </c>
      <c r="R73" s="706">
        <f t="shared" si="385"/>
        <v>4351.3999999999996</v>
      </c>
      <c r="S73" s="706">
        <f t="shared" si="385"/>
        <v>25404.6</v>
      </c>
      <c r="T73" s="706">
        <f t="shared" si="385"/>
        <v>360</v>
      </c>
      <c r="U73" s="706">
        <f t="shared" si="385"/>
        <v>23647.32</v>
      </c>
      <c r="V73" s="706">
        <f t="shared" si="385"/>
        <v>2804.88</v>
      </c>
      <c r="W73" s="706">
        <f t="shared" si="385"/>
        <v>52216.799999999996</v>
      </c>
      <c r="X73" s="707">
        <f t="shared" si="385"/>
        <v>389132.50599999994</v>
      </c>
      <c r="Y73" s="805"/>
      <c r="Z73" s="805"/>
      <c r="AA73" s="805"/>
      <c r="AB73" s="805"/>
      <c r="AC73" s="641">
        <f t="shared" si="25"/>
        <v>30140.690000000002</v>
      </c>
      <c r="AD73" s="642">
        <v>36680.889999999992</v>
      </c>
      <c r="AE73" s="642"/>
      <c r="AF73" s="246">
        <v>387142.18</v>
      </c>
      <c r="AG73" s="11">
        <f>X73-AF73</f>
        <v>1990.3259999999427</v>
      </c>
      <c r="AH73" s="51"/>
      <c r="AI73" s="239"/>
      <c r="AJ73" s="239">
        <f t="shared" ref="AJ73:AQ73" si="386">AJ38+AJ71</f>
        <v>72230</v>
      </c>
      <c r="AK73" s="239">
        <f t="shared" si="386"/>
        <v>0</v>
      </c>
      <c r="AL73" s="239">
        <f t="shared" si="386"/>
        <v>0</v>
      </c>
      <c r="AM73" s="239">
        <f t="shared" si="386"/>
        <v>5986.55</v>
      </c>
      <c r="AN73" s="239">
        <f t="shared" si="386"/>
        <v>0</v>
      </c>
      <c r="AO73" s="239">
        <f t="shared" si="386"/>
        <v>6320.3</v>
      </c>
      <c r="AP73" s="239">
        <f t="shared" si="386"/>
        <v>25789.29</v>
      </c>
      <c r="AQ73" s="239">
        <f t="shared" si="386"/>
        <v>110326.14</v>
      </c>
      <c r="AS73" s="239"/>
      <c r="AT73" s="239">
        <f t="shared" ref="AT73:BA73" si="387">AT38+AT71</f>
        <v>237241.47999999998</v>
      </c>
      <c r="AU73" s="239">
        <f t="shared" si="387"/>
        <v>0</v>
      </c>
      <c r="AV73" s="239">
        <f t="shared" si="387"/>
        <v>1654.9359999999999</v>
      </c>
      <c r="AW73" s="239">
        <f t="shared" si="387"/>
        <v>20465.650000000001</v>
      </c>
      <c r="AX73" s="239">
        <f t="shared" si="387"/>
        <v>360</v>
      </c>
      <c r="AY73" s="239">
        <f t="shared" si="387"/>
        <v>19084.300000000003</v>
      </c>
      <c r="AZ73" s="239">
        <f t="shared" si="387"/>
        <v>0</v>
      </c>
      <c r="BA73" s="239">
        <f t="shared" si="387"/>
        <v>278806.36599999998</v>
      </c>
      <c r="BB73" s="4"/>
      <c r="BC73" s="197"/>
    </row>
    <row r="74" spans="1:57" x14ac:dyDescent="0.2">
      <c r="I74" s="203"/>
      <c r="J74" s="173"/>
      <c r="K74" s="637"/>
      <c r="L74" s="173"/>
      <c r="M74" s="174"/>
      <c r="N74" s="174"/>
      <c r="O74" s="174"/>
      <c r="P74" s="174"/>
      <c r="Q74" s="173"/>
      <c r="R74" s="174"/>
      <c r="S74" s="174"/>
      <c r="T74" s="174"/>
      <c r="U74" s="174"/>
      <c r="V74" s="173"/>
      <c r="W74" s="174"/>
      <c r="X74" s="175"/>
      <c r="Y74" s="175"/>
      <c r="Z74" s="175"/>
      <c r="AA74" s="175"/>
      <c r="AB74" s="175"/>
      <c r="AC74" s="175"/>
      <c r="AD74" s="175"/>
      <c r="AE74" s="175"/>
      <c r="AG74" s="11"/>
      <c r="AH74" s="714"/>
      <c r="AI74" s="715"/>
      <c r="AJ74" s="714"/>
      <c r="AK74" s="714"/>
      <c r="AL74" s="714"/>
      <c r="AM74" s="714"/>
      <c r="AN74" s="714"/>
      <c r="AO74" s="714"/>
      <c r="AP74" s="11"/>
      <c r="AQ74" s="230"/>
      <c r="AT74" s="11"/>
      <c r="AU74" s="11"/>
      <c r="AV74" s="11"/>
      <c r="AW74" s="11"/>
      <c r="AX74" s="11"/>
      <c r="AY74" s="11"/>
      <c r="AZ74" s="11"/>
      <c r="BA74" s="230"/>
      <c r="BC74" s="197"/>
    </row>
    <row r="75" spans="1:57" x14ac:dyDescent="0.2">
      <c r="A75" s="385"/>
      <c r="B75" s="385"/>
      <c r="C75" s="385"/>
      <c r="D75" s="385"/>
      <c r="E75" s="385"/>
      <c r="F75" s="912"/>
      <c r="G75" s="912"/>
      <c r="H75" s="912"/>
      <c r="I75" s="912"/>
      <c r="J75" s="913"/>
      <c r="K75" s="914"/>
      <c r="L75" s="913"/>
      <c r="M75" s="385"/>
      <c r="N75" s="385"/>
      <c r="O75" s="385"/>
      <c r="P75" s="385"/>
      <c r="Q75" s="913"/>
      <c r="R75" s="385"/>
      <c r="S75" s="385"/>
      <c r="T75" s="385"/>
      <c r="U75" s="915">
        <f>+T73+U73+V73</f>
        <v>26812.2</v>
      </c>
      <c r="V75" s="913"/>
      <c r="W75" s="385"/>
      <c r="X75" s="916">
        <f>AQ73+BA73</f>
        <v>389132.50599999999</v>
      </c>
      <c r="Y75" s="175"/>
      <c r="Z75" s="175"/>
      <c r="AA75" s="175"/>
      <c r="AB75" s="175"/>
      <c r="AC75" s="175"/>
      <c r="AD75" s="175"/>
      <c r="AE75" s="175"/>
      <c r="AG75" s="11"/>
      <c r="AH75" s="714"/>
      <c r="AI75" s="715"/>
      <c r="AJ75" s="714"/>
      <c r="AK75" s="714"/>
      <c r="AL75" s="714"/>
      <c r="AM75" s="714"/>
      <c r="AN75" s="714"/>
      <c r="AO75" s="714"/>
      <c r="AP75" s="11"/>
      <c r="AQ75" s="230"/>
      <c r="AT75" s="11"/>
      <c r="AU75" s="11"/>
      <c r="AV75" s="11"/>
      <c r="AW75" s="11"/>
      <c r="AX75" s="11"/>
      <c r="AY75" s="11"/>
      <c r="AZ75" s="11"/>
      <c r="BA75" s="230"/>
      <c r="BC75" s="197"/>
    </row>
    <row r="76" spans="1:57" x14ac:dyDescent="0.2">
      <c r="A76" s="385"/>
      <c r="B76" s="385"/>
      <c r="C76" s="385"/>
      <c r="D76" s="385"/>
      <c r="E76" s="385"/>
      <c r="F76" s="912"/>
      <c r="G76" s="912"/>
      <c r="H76" s="912"/>
      <c r="I76" s="912"/>
      <c r="J76" s="913"/>
      <c r="K76" s="914"/>
      <c r="L76" s="913"/>
      <c r="M76" s="385"/>
      <c r="N76" s="385"/>
      <c r="O76" s="385"/>
      <c r="P76" s="385"/>
      <c r="Q76" s="913"/>
      <c r="R76" s="385"/>
      <c r="S76" s="385"/>
      <c r="T76" s="385"/>
      <c r="U76" s="385"/>
      <c r="V76" s="913"/>
      <c r="W76" s="385"/>
      <c r="X76" s="916"/>
      <c r="Y76" s="175"/>
      <c r="Z76" s="175"/>
      <c r="AA76" s="175"/>
      <c r="AB76" s="175"/>
      <c r="AC76" s="175"/>
      <c r="AD76" s="175"/>
      <c r="AE76" s="175"/>
      <c r="AG76" s="11"/>
      <c r="AH76" s="714"/>
      <c r="AI76" s="715"/>
      <c r="AJ76" s="714"/>
      <c r="AK76" s="714"/>
      <c r="AL76" s="714"/>
      <c r="AM76" s="714"/>
      <c r="AN76" s="714"/>
      <c r="AO76" s="714"/>
      <c r="AP76" s="11"/>
      <c r="AQ76" s="230"/>
      <c r="AT76" s="11"/>
      <c r="AU76" s="11"/>
      <c r="AV76" s="11"/>
      <c r="AW76" s="11"/>
      <c r="AX76" s="11"/>
      <c r="AY76" s="11"/>
      <c r="AZ76" s="11"/>
      <c r="BA76" s="230"/>
      <c r="BC76" s="197"/>
    </row>
    <row r="77" spans="1:57" x14ac:dyDescent="0.2">
      <c r="A77" s="385"/>
      <c r="B77" s="385"/>
      <c r="C77" s="385"/>
      <c r="D77" s="385"/>
      <c r="E77" s="385"/>
      <c r="F77" s="912"/>
      <c r="G77" s="912"/>
      <c r="H77" s="912"/>
      <c r="I77" s="912"/>
      <c r="J77" s="913"/>
      <c r="K77" s="914"/>
      <c r="L77" s="913"/>
      <c r="M77" s="385"/>
      <c r="N77" s="385"/>
      <c r="O77" s="385"/>
      <c r="P77" s="385"/>
      <c r="Q77" s="913"/>
      <c r="R77" s="385"/>
      <c r="S77" s="385"/>
      <c r="T77" s="385"/>
      <c r="U77" s="385"/>
      <c r="V77" s="913"/>
      <c r="W77" s="385"/>
      <c r="X77" s="916">
        <f>X73-X75</f>
        <v>0</v>
      </c>
      <c r="Y77" s="175"/>
      <c r="Z77" s="175"/>
      <c r="AA77" s="175"/>
      <c r="AB77" s="175"/>
      <c r="AC77" s="175"/>
      <c r="AD77" s="175"/>
      <c r="AE77" s="175"/>
      <c r="AG77" s="11"/>
      <c r="AH77" s="714"/>
      <c r="AI77" s="715"/>
      <c r="AJ77" s="714"/>
      <c r="AK77" s="714"/>
      <c r="AL77" s="714"/>
      <c r="AM77" s="714"/>
      <c r="AN77" s="714"/>
      <c r="AO77" s="714"/>
      <c r="AP77" s="11"/>
      <c r="AQ77" s="230"/>
      <c r="AT77" s="11"/>
      <c r="AU77" s="11"/>
      <c r="AV77" s="11"/>
      <c r="AW77" s="11"/>
      <c r="AX77" s="11"/>
      <c r="AY77" s="11"/>
      <c r="AZ77" s="11"/>
      <c r="BA77" s="230"/>
      <c r="BB77" s="11"/>
      <c r="BC77" s="197"/>
    </row>
    <row r="78" spans="1:57" x14ac:dyDescent="0.2">
      <c r="A78" s="385"/>
      <c r="B78" s="385"/>
      <c r="C78" s="385"/>
      <c r="D78" s="385"/>
      <c r="E78" s="385"/>
      <c r="F78" s="912"/>
      <c r="G78" s="912"/>
      <c r="H78" s="912"/>
      <c r="I78" s="912"/>
      <c r="J78" s="913"/>
      <c r="K78" s="914"/>
      <c r="L78" s="913"/>
      <c r="M78" s="385"/>
      <c r="N78" s="385"/>
      <c r="O78" s="385"/>
      <c r="P78" s="385"/>
      <c r="Q78" s="913"/>
      <c r="R78" s="385"/>
      <c r="S78" s="385"/>
      <c r="T78" s="385"/>
      <c r="U78" s="385"/>
      <c r="V78" s="913"/>
      <c r="W78" s="385"/>
      <c r="X78" s="916">
        <f>X77-AZ73</f>
        <v>0</v>
      </c>
      <c r="Y78" s="175"/>
      <c r="Z78" s="175"/>
      <c r="AA78" s="175"/>
      <c r="AB78" s="175"/>
      <c r="AC78" s="175"/>
      <c r="AD78" s="175"/>
      <c r="AE78" s="175"/>
      <c r="AG78" s="11"/>
      <c r="AH78" s="714"/>
      <c r="AI78" s="715"/>
      <c r="AJ78" s="714"/>
      <c r="AK78" s="714"/>
      <c r="AL78" s="714"/>
      <c r="AM78" s="714"/>
      <c r="AN78" s="714"/>
      <c r="AO78" s="714"/>
      <c r="AP78" s="11"/>
      <c r="AQ78" s="230"/>
      <c r="AT78" s="11"/>
      <c r="AU78" s="11"/>
      <c r="AV78" s="11"/>
      <c r="AW78" s="11"/>
      <c r="AX78" s="11"/>
      <c r="AY78" s="11"/>
      <c r="AZ78" s="11"/>
      <c r="BA78" s="230"/>
      <c r="BC78" s="197"/>
    </row>
    <row r="79" spans="1:57" x14ac:dyDescent="0.2">
      <c r="A79" s="385"/>
      <c r="B79" s="385"/>
      <c r="C79" s="385"/>
      <c r="D79" s="385"/>
      <c r="E79" s="385"/>
      <c r="F79" s="912"/>
      <c r="G79" s="912"/>
      <c r="H79" s="912"/>
      <c r="I79" s="917"/>
      <c r="J79" s="913"/>
      <c r="K79" s="914"/>
      <c r="L79" s="913"/>
      <c r="M79" s="385"/>
      <c r="N79" s="385"/>
      <c r="O79" s="385"/>
      <c r="P79" s="385"/>
      <c r="Q79" s="913"/>
      <c r="R79" s="385"/>
      <c r="S79" s="385"/>
      <c r="T79" s="385"/>
      <c r="U79" s="385"/>
      <c r="V79" s="913"/>
      <c r="W79" s="385"/>
      <c r="X79" s="916"/>
      <c r="Y79" s="175"/>
      <c r="Z79" s="175"/>
      <c r="AA79" s="175"/>
      <c r="AB79" s="175"/>
      <c r="AC79" s="175"/>
      <c r="AD79" s="175"/>
      <c r="AE79" s="175"/>
      <c r="AG79" s="11"/>
      <c r="AH79" s="714"/>
      <c r="AI79" s="715"/>
      <c r="AJ79" s="714"/>
      <c r="AK79" s="714"/>
      <c r="AL79" s="714"/>
      <c r="AM79" s="714"/>
      <c r="AN79" s="714"/>
      <c r="AO79" s="714"/>
      <c r="AP79" s="11"/>
      <c r="AQ79" s="230"/>
      <c r="AT79" s="11"/>
      <c r="AU79" s="11"/>
      <c r="AV79" s="11"/>
      <c r="AW79" s="11">
        <f>AW73+AX73</f>
        <v>20825.650000000001</v>
      </c>
      <c r="AX79" s="11">
        <f>+AY73</f>
        <v>19084.300000000003</v>
      </c>
      <c r="AY79" s="11"/>
      <c r="AZ79" s="11"/>
      <c r="BA79" s="230"/>
      <c r="BC79" s="197"/>
    </row>
    <row r="80" spans="1:57" x14ac:dyDescent="0.2">
      <c r="A80" s="385"/>
      <c r="B80" s="385"/>
      <c r="C80" s="385"/>
      <c r="D80" s="385"/>
      <c r="E80" s="385"/>
      <c r="F80" s="912"/>
      <c r="G80" s="912"/>
      <c r="H80" s="912"/>
      <c r="I80" s="918"/>
      <c r="J80" s="913"/>
      <c r="K80" s="913"/>
      <c r="L80" s="913"/>
      <c r="M80" s="385"/>
      <c r="N80" s="919"/>
      <c r="O80" s="920"/>
      <c r="P80" s="916"/>
      <c r="Q80" s="385"/>
      <c r="R80" s="916"/>
      <c r="S80" s="919"/>
      <c r="T80" s="920"/>
      <c r="U80" s="916"/>
      <c r="V80" s="385"/>
      <c r="W80" s="916"/>
      <c r="X80" s="385"/>
      <c r="Y80" s="51"/>
      <c r="Z80" s="51"/>
      <c r="AA80" s="51"/>
      <c r="AB80" s="51"/>
      <c r="AC80" s="51"/>
      <c r="AD80" s="51"/>
      <c r="AE80" s="51"/>
      <c r="AH80" s="496"/>
      <c r="AI80" s="715"/>
      <c r="AJ80" s="496"/>
      <c r="AK80" s="496"/>
      <c r="AL80" s="496"/>
      <c r="AM80" s="497"/>
      <c r="AN80" s="498"/>
      <c r="AO80" s="496"/>
      <c r="AP80" t="s">
        <v>564</v>
      </c>
      <c r="AQ80" s="197">
        <f>AQ73</f>
        <v>110326.14</v>
      </c>
      <c r="AU80" s="2"/>
      <c r="AW80" s="1">
        <f>('PLLA DIETAS'!J20+'PLLA DIETAS'!K20)*8</f>
        <v>4284</v>
      </c>
      <c r="AX80">
        <f>+'PLLA DIETAS'!I20*8</f>
        <v>4410</v>
      </c>
      <c r="AZ80" t="s">
        <v>564</v>
      </c>
      <c r="BA80" s="197">
        <f>BA73</f>
        <v>278806.36599999998</v>
      </c>
      <c r="BB80" s="2"/>
      <c r="BC80" s="197"/>
    </row>
    <row r="81" spans="1:55" x14ac:dyDescent="0.2">
      <c r="A81" s="385"/>
      <c r="B81" s="385"/>
      <c r="C81" s="385"/>
      <c r="D81" s="385"/>
      <c r="E81" s="385"/>
      <c r="F81" s="912"/>
      <c r="G81" s="912"/>
      <c r="H81" s="912"/>
      <c r="I81" s="912"/>
      <c r="J81" s="921" t="s">
        <v>699</v>
      </c>
      <c r="K81" s="922"/>
      <c r="L81" s="923">
        <v>5254.29</v>
      </c>
      <c r="M81" s="385"/>
      <c r="N81" s="919"/>
      <c r="O81" s="924"/>
      <c r="P81" s="385"/>
      <c r="Q81" s="385"/>
      <c r="R81" s="165"/>
      <c r="S81" s="919"/>
      <c r="T81" s="924"/>
      <c r="U81" s="385"/>
      <c r="V81" s="925"/>
      <c r="W81" s="165"/>
      <c r="X81" s="916"/>
      <c r="Y81" s="806"/>
      <c r="Z81" s="806"/>
      <c r="AA81" s="806"/>
      <c r="AB81" s="806"/>
      <c r="AC81" s="530"/>
      <c r="AD81" s="530"/>
      <c r="AE81" s="530"/>
      <c r="AH81" s="496"/>
      <c r="AI81" s="715"/>
      <c r="AJ81" s="496"/>
      <c r="AK81" s="496"/>
      <c r="AL81" s="496"/>
      <c r="AM81" s="496"/>
      <c r="AN81" s="496"/>
      <c r="AO81" s="496"/>
      <c r="AP81" t="s">
        <v>562</v>
      </c>
      <c r="AQ81" s="164">
        <f>('PLLA DIETAS'!G20+'PLLA DIETAS'!J20+'PLLA DIETAS'!K20)/2</f>
        <v>42267.75</v>
      </c>
      <c r="AW81" s="498">
        <f>+AW79+AW80</f>
        <v>25109.65</v>
      </c>
      <c r="AX81" s="498">
        <f>+AX79+AX80</f>
        <v>23494.300000000003</v>
      </c>
      <c r="AY81" s="2"/>
      <c r="AZ81" t="s">
        <v>562</v>
      </c>
      <c r="BA81" s="164">
        <f>('PLLA DIETAS'!G20+'PLLA DIETAS'!J20+'PLLA DIETAS'!K20)/2</f>
        <v>42267.75</v>
      </c>
    </row>
    <row r="82" spans="1:55" x14ac:dyDescent="0.2">
      <c r="A82" s="385"/>
      <c r="B82" s="385"/>
      <c r="C82" s="385"/>
      <c r="D82" s="385"/>
      <c r="E82" s="385"/>
      <c r="F82" s="912"/>
      <c r="G82" s="912"/>
      <c r="H82" s="912"/>
      <c r="I82" s="918"/>
      <c r="J82" s="385"/>
      <c r="K82" s="385"/>
      <c r="L82" s="385"/>
      <c r="M82" s="385"/>
      <c r="N82" s="919"/>
      <c r="O82" s="385"/>
      <c r="P82" s="385"/>
      <c r="Q82" s="385"/>
      <c r="R82" s="385"/>
      <c r="S82" s="919"/>
      <c r="T82" s="385"/>
      <c r="U82" s="385"/>
      <c r="V82" s="925"/>
      <c r="W82" s="385"/>
      <c r="X82" s="916"/>
      <c r="Y82" s="51"/>
      <c r="Z82" s="51"/>
      <c r="AA82" s="51"/>
      <c r="AB82" s="51"/>
      <c r="AC82" s="51"/>
      <c r="AD82" s="51"/>
      <c r="AE82" s="51"/>
      <c r="AH82" s="496"/>
      <c r="AI82" s="715"/>
      <c r="AJ82" s="496"/>
      <c r="AK82" s="496"/>
      <c r="AL82" s="496"/>
      <c r="AM82" s="497"/>
      <c r="AN82" s="496"/>
      <c r="AO82" s="496"/>
      <c r="AP82" t="s">
        <v>340</v>
      </c>
      <c r="AQ82" s="164">
        <f>'PLLA MUNICIPAL HONORARIOS'!J26/2</f>
        <v>6000</v>
      </c>
      <c r="AW82" s="220">
        <f>25950.7-AW81</f>
        <v>841.04999999999927</v>
      </c>
      <c r="AX82" s="1">
        <f>23369.24-AX81</f>
        <v>-125.06000000000131</v>
      </c>
      <c r="AY82" s="2"/>
      <c r="AZ82" t="s">
        <v>340</v>
      </c>
      <c r="BA82" s="164">
        <f>'PLLA MUNICIPAL HONORARIOS'!J26/2</f>
        <v>6000</v>
      </c>
    </row>
    <row r="83" spans="1:55" x14ac:dyDescent="0.2">
      <c r="A83" s="385"/>
      <c r="B83" s="385"/>
      <c r="C83" s="385"/>
      <c r="D83" s="385"/>
      <c r="E83" s="385"/>
      <c r="F83" s="912"/>
      <c r="G83" s="912"/>
      <c r="H83" s="912"/>
      <c r="I83" s="918"/>
      <c r="J83" s="385" t="s">
        <v>815</v>
      </c>
      <c r="K83" s="385"/>
      <c r="L83" s="923">
        <v>4804.29</v>
      </c>
      <c r="M83" s="385"/>
      <c r="N83" s="919"/>
      <c r="O83" s="385"/>
      <c r="P83" s="385"/>
      <c r="Q83" s="385"/>
      <c r="R83" s="385"/>
      <c r="S83" s="926"/>
      <c r="T83" s="385"/>
      <c r="U83" s="926"/>
      <c r="V83" s="927"/>
      <c r="W83" s="385"/>
      <c r="X83" s="928"/>
      <c r="Y83" s="806"/>
      <c r="Z83" s="806"/>
      <c r="AA83" s="806"/>
      <c r="AB83" s="806"/>
      <c r="AC83" s="530"/>
      <c r="AD83" s="530"/>
      <c r="AE83" s="530"/>
      <c r="AH83" s="496"/>
      <c r="AI83" s="715"/>
      <c r="AJ83" s="496"/>
      <c r="AK83" s="496"/>
      <c r="AL83" s="496"/>
      <c r="AM83" s="496"/>
      <c r="AN83" s="496"/>
      <c r="AO83" s="496"/>
      <c r="AP83" t="s">
        <v>563</v>
      </c>
      <c r="AQ83" s="220">
        <f>(600*12)/2</f>
        <v>3600</v>
      </c>
      <c r="AZ83" t="s">
        <v>563</v>
      </c>
      <c r="BA83" s="220">
        <f>(600*12)/2</f>
        <v>3600</v>
      </c>
    </row>
    <row r="84" spans="1:55" x14ac:dyDescent="0.2">
      <c r="A84" s="385"/>
      <c r="B84" s="385"/>
      <c r="C84" s="385"/>
      <c r="D84" s="385"/>
      <c r="E84" s="385"/>
      <c r="F84" s="912"/>
      <c r="G84" s="912"/>
      <c r="H84" s="912"/>
      <c r="I84" s="918"/>
      <c r="J84" s="385"/>
      <c r="K84" s="385"/>
      <c r="L84" s="385"/>
      <c r="M84" s="385"/>
      <c r="N84" s="919"/>
      <c r="O84" s="385"/>
      <c r="P84" s="385"/>
      <c r="Q84" s="385"/>
      <c r="R84" s="385"/>
      <c r="S84" s="926"/>
      <c r="T84" s="385"/>
      <c r="U84" s="926"/>
      <c r="V84" s="927"/>
      <c r="W84" s="913"/>
      <c r="X84" s="928"/>
      <c r="Y84" s="530"/>
      <c r="Z84" s="530"/>
      <c r="AA84" s="530"/>
      <c r="AB84" s="530"/>
      <c r="AC84" s="530"/>
      <c r="AD84" s="530"/>
      <c r="AE84" s="530"/>
      <c r="AH84" s="496"/>
      <c r="AI84" s="715"/>
      <c r="AJ84" s="496"/>
      <c r="AK84" s="496"/>
      <c r="AL84" s="496"/>
      <c r="AM84" s="496"/>
      <c r="AN84" s="496"/>
      <c r="AO84" s="496"/>
      <c r="AP84" t="s">
        <v>566</v>
      </c>
      <c r="AQ84" s="220">
        <f>'AG1'!F27</f>
        <v>0</v>
      </c>
      <c r="AZ84" t="s">
        <v>566</v>
      </c>
      <c r="BA84" s="220">
        <v>250</v>
      </c>
    </row>
    <row r="85" spans="1:55" x14ac:dyDescent="0.2">
      <c r="B85" s="7"/>
      <c r="C85" s="7"/>
      <c r="I85" s="204"/>
      <c r="J85" s="174"/>
      <c r="L85" s="174"/>
      <c r="M85" s="174"/>
      <c r="N85" s="176"/>
      <c r="O85" s="174"/>
      <c r="P85" s="174"/>
      <c r="R85" s="174"/>
      <c r="S85" s="176"/>
      <c r="T85" s="174"/>
      <c r="U85" s="174"/>
      <c r="V85" s="713"/>
      <c r="W85" s="174"/>
      <c r="X85" s="530"/>
      <c r="Y85" s="530"/>
      <c r="Z85" s="530"/>
      <c r="AA85" s="530"/>
      <c r="AB85" s="530"/>
      <c r="AC85" s="530"/>
      <c r="AD85" s="530"/>
      <c r="AE85" s="530"/>
      <c r="AH85" s="496"/>
      <c r="AI85" s="715"/>
      <c r="AJ85" s="496"/>
      <c r="AK85" s="496"/>
      <c r="AL85" s="496"/>
      <c r="AM85" s="496"/>
      <c r="AN85" s="496"/>
      <c r="AO85" s="496"/>
      <c r="AP85" t="s">
        <v>586</v>
      </c>
      <c r="AQ85" s="220"/>
      <c r="AW85" s="2"/>
      <c r="AZ85" t="s">
        <v>586</v>
      </c>
      <c r="BA85" s="220">
        <f>600*9</f>
        <v>5400</v>
      </c>
    </row>
    <row r="86" spans="1:55" x14ac:dyDescent="0.2">
      <c r="B86" s="7"/>
      <c r="C86" s="7"/>
      <c r="I86" s="204"/>
      <c r="J86" s="174"/>
      <c r="L86" s="174"/>
      <c r="M86" s="174"/>
      <c r="N86" s="176"/>
      <c r="O86" s="174"/>
      <c r="P86" s="174"/>
      <c r="R86" s="174"/>
      <c r="S86" s="176"/>
      <c r="T86" s="174"/>
      <c r="U86" s="174"/>
      <c r="V86" s="713"/>
      <c r="W86" s="174"/>
      <c r="X86" s="192"/>
      <c r="Y86" s="192"/>
      <c r="Z86" s="192"/>
      <c r="AA86" s="192"/>
      <c r="AB86" s="192"/>
      <c r="AC86" s="192"/>
      <c r="AD86" s="192"/>
      <c r="AE86" s="192"/>
      <c r="AH86" s="496"/>
      <c r="AI86" s="715"/>
      <c r="AJ86" s="496"/>
      <c r="AK86" s="496"/>
      <c r="AL86" s="496"/>
      <c r="AM86" s="496"/>
      <c r="AN86" s="496"/>
      <c r="AO86" s="497">
        <f>AM73+AN73+AW73+AX73</f>
        <v>26812.2</v>
      </c>
      <c r="AP86" t="s">
        <v>567</v>
      </c>
      <c r="AQ86" s="220"/>
      <c r="AX86" s="1">
        <f>+AW82+AX82</f>
        <v>715.98999999999796</v>
      </c>
      <c r="AZ86" t="s">
        <v>567</v>
      </c>
      <c r="BA86" s="220">
        <v>0</v>
      </c>
    </row>
    <row r="87" spans="1:55" ht="13.5" thickBot="1" x14ac:dyDescent="0.25">
      <c r="B87" s="7"/>
      <c r="C87" s="7"/>
      <c r="I87" s="203"/>
      <c r="J87" s="174"/>
      <c r="L87" s="174"/>
      <c r="M87" s="174"/>
      <c r="N87" s="176"/>
      <c r="O87" s="174"/>
      <c r="P87" s="174"/>
      <c r="R87" s="174"/>
      <c r="S87" s="176"/>
      <c r="T87" s="174"/>
      <c r="U87" s="717"/>
      <c r="V87" s="713"/>
      <c r="W87" s="174"/>
      <c r="X87" s="174"/>
      <c r="Y87" s="174"/>
      <c r="Z87" s="174"/>
      <c r="AA87" s="174"/>
      <c r="AB87" s="174"/>
      <c r="AC87" s="174"/>
      <c r="AD87" s="174"/>
      <c r="AE87" s="174"/>
      <c r="AH87" s="496"/>
      <c r="AI87" s="715"/>
      <c r="AJ87" s="496"/>
      <c r="AK87" s="496"/>
      <c r="AL87" s="496"/>
      <c r="AM87" s="496"/>
      <c r="AN87" s="496"/>
      <c r="AO87" s="497">
        <f>U73+V73+T73</f>
        <v>26812.2</v>
      </c>
      <c r="AP87" t="s">
        <v>4</v>
      </c>
      <c r="AQ87" s="250">
        <f>SUM(AQ80:AQ86)</f>
        <v>162193.89000000001</v>
      </c>
      <c r="AZ87" t="s">
        <v>4</v>
      </c>
      <c r="BA87" s="250">
        <f>SUM(BA80:BA86)</f>
        <v>336324.11599999998</v>
      </c>
      <c r="BC87" s="197">
        <f>+AQ87+BA87</f>
        <v>498518.00599999999</v>
      </c>
    </row>
    <row r="88" spans="1:55" ht="13.5" thickTop="1" x14ac:dyDescent="0.2">
      <c r="B88" s="7"/>
      <c r="C88" s="7"/>
      <c r="I88" s="203"/>
      <c r="J88" s="174"/>
      <c r="L88" s="174"/>
      <c r="M88" s="174"/>
      <c r="N88" s="176"/>
      <c r="O88" s="174"/>
      <c r="P88" s="174"/>
      <c r="R88" s="174"/>
      <c r="S88" s="176"/>
      <c r="T88" s="174"/>
      <c r="U88" s="717"/>
      <c r="V88" s="713"/>
      <c r="W88" s="174"/>
      <c r="X88" s="174"/>
      <c r="Y88" s="174"/>
      <c r="Z88" s="174"/>
      <c r="AA88" s="174"/>
      <c r="AB88" s="174"/>
      <c r="AC88" s="174"/>
      <c r="AD88" s="174"/>
      <c r="AE88" s="174"/>
      <c r="AH88" s="496"/>
      <c r="AI88" s="715"/>
      <c r="AJ88" s="496"/>
      <c r="AK88" s="496"/>
      <c r="AL88" s="496"/>
      <c r="AM88" s="496"/>
      <c r="AN88" s="496"/>
      <c r="AO88" s="497">
        <f>+AO86-AO87</f>
        <v>0</v>
      </c>
      <c r="BC88" s="164">
        <f>+'AG1'!K13</f>
        <v>520203.50599999999</v>
      </c>
    </row>
    <row r="89" spans="1:55" ht="13.5" thickBot="1" x14ac:dyDescent="0.25">
      <c r="B89" s="7"/>
      <c r="C89" s="7"/>
      <c r="I89" s="204"/>
      <c r="J89" s="174"/>
      <c r="L89" s="174"/>
      <c r="M89" s="174"/>
      <c r="N89" s="176"/>
      <c r="O89" s="174"/>
      <c r="P89" s="174"/>
      <c r="R89" s="174"/>
      <c r="S89" s="176"/>
      <c r="T89" s="174"/>
      <c r="U89" s="174"/>
      <c r="V89" s="713"/>
      <c r="W89" s="174"/>
      <c r="X89" s="174"/>
      <c r="Y89" s="174"/>
      <c r="Z89" s="174"/>
      <c r="AA89" s="174"/>
      <c r="AB89" s="174"/>
      <c r="AC89" s="174"/>
      <c r="AD89" s="174"/>
      <c r="AE89" s="174"/>
      <c r="AH89" s="496"/>
      <c r="AI89" s="715"/>
      <c r="AJ89" s="496"/>
      <c r="AK89" s="496"/>
      <c r="AL89" s="496"/>
      <c r="AM89" s="496"/>
      <c r="AN89" s="496"/>
      <c r="AO89" s="496"/>
      <c r="AP89" t="s">
        <v>565</v>
      </c>
      <c r="AQ89" s="164">
        <f>'ING. REALES'!C55/2</f>
        <v>0</v>
      </c>
      <c r="BA89" s="197"/>
      <c r="BC89" s="251">
        <f>+BC87-BC88</f>
        <v>-21685.5</v>
      </c>
    </row>
    <row r="90" spans="1:55" ht="16.5" customHeight="1" thickTop="1" x14ac:dyDescent="0.2">
      <c r="B90" s="7"/>
      <c r="C90" s="7"/>
      <c r="I90" s="205"/>
      <c r="J90" s="174"/>
      <c r="L90" s="174"/>
      <c r="M90" s="174"/>
      <c r="N90" s="176"/>
      <c r="O90" s="174"/>
      <c r="P90" s="174"/>
      <c r="R90" s="174"/>
      <c r="S90" s="176"/>
      <c r="T90" s="174"/>
      <c r="U90" s="174"/>
      <c r="V90" s="713"/>
      <c r="W90" s="174"/>
      <c r="X90" s="192"/>
      <c r="Y90" s="192"/>
      <c r="Z90" s="192"/>
      <c r="AA90" s="192"/>
      <c r="AB90" s="192"/>
      <c r="AC90" s="192"/>
      <c r="AD90" s="192"/>
      <c r="AE90" s="192"/>
      <c r="AH90" s="496"/>
      <c r="AI90" s="715"/>
      <c r="AJ90" s="496"/>
      <c r="AK90" s="496"/>
      <c r="AL90" s="496"/>
      <c r="AM90" s="496"/>
      <c r="AN90" s="496"/>
      <c r="AO90" s="496"/>
    </row>
    <row r="91" spans="1:55" x14ac:dyDescent="0.2">
      <c r="B91" s="7"/>
      <c r="C91" s="7"/>
      <c r="I91" s="203"/>
      <c r="J91" s="174"/>
      <c r="L91" s="174"/>
      <c r="M91" s="174"/>
      <c r="N91" s="176"/>
      <c r="O91" s="174"/>
      <c r="P91" s="174"/>
      <c r="R91" s="174"/>
      <c r="S91" s="176"/>
      <c r="T91" s="174"/>
      <c r="U91" s="174"/>
      <c r="V91" s="713"/>
      <c r="W91" s="174"/>
      <c r="X91" s="174"/>
      <c r="Y91" s="174"/>
      <c r="Z91" s="174"/>
      <c r="AA91" s="174"/>
      <c r="AB91" s="174"/>
      <c r="AC91" s="174"/>
      <c r="AD91" s="174"/>
      <c r="AE91" s="174"/>
      <c r="AH91" s="496"/>
      <c r="AI91" s="715"/>
      <c r="AJ91" s="496"/>
      <c r="AK91" s="496"/>
      <c r="AL91" s="496"/>
      <c r="AM91" s="496"/>
      <c r="AN91" s="496"/>
      <c r="AO91" s="496"/>
      <c r="AQ91" s="197">
        <f>AQ87-AQ89</f>
        <v>162193.89000000001</v>
      </c>
    </row>
    <row r="92" spans="1:55" x14ac:dyDescent="0.2">
      <c r="B92" s="7"/>
      <c r="C92" s="7"/>
      <c r="I92" s="204"/>
      <c r="J92" s="174"/>
      <c r="L92" s="174"/>
      <c r="M92" s="174"/>
      <c r="N92" s="176"/>
      <c r="O92" s="174"/>
      <c r="P92" s="174"/>
      <c r="R92" s="174"/>
      <c r="S92" s="176"/>
      <c r="T92" s="174"/>
      <c r="U92" s="174"/>
      <c r="W92" s="174"/>
      <c r="X92" s="177"/>
      <c r="Y92" s="177"/>
      <c r="Z92" s="177"/>
      <c r="AA92" s="177"/>
      <c r="AB92" s="177"/>
      <c r="AC92" s="177"/>
      <c r="AD92" s="177"/>
      <c r="AE92" s="177"/>
      <c r="AH92" s="496"/>
      <c r="AI92" s="715"/>
      <c r="AJ92" s="496"/>
      <c r="AK92" s="496"/>
      <c r="AL92" s="496"/>
      <c r="AM92" s="496"/>
      <c r="AN92" s="496"/>
      <c r="AO92" s="496"/>
    </row>
    <row r="93" spans="1:55" x14ac:dyDescent="0.2">
      <c r="I93" s="206"/>
      <c r="N93" s="2"/>
      <c r="S93" s="2"/>
      <c r="AH93" s="496"/>
      <c r="AI93" s="715"/>
      <c r="AJ93" s="496"/>
      <c r="AK93" s="496"/>
      <c r="AL93" s="496"/>
      <c r="AM93" s="496"/>
      <c r="AN93" s="496"/>
      <c r="AO93" s="496"/>
      <c r="AX93" s="712"/>
    </row>
    <row r="94" spans="1:55" x14ac:dyDescent="0.2">
      <c r="N94" s="2"/>
      <c r="S94" s="2"/>
      <c r="AH94" s="496"/>
      <c r="AI94" s="715"/>
      <c r="AJ94" s="496"/>
      <c r="AK94" s="496"/>
      <c r="AL94" s="496"/>
      <c r="AM94" s="496"/>
      <c r="AN94" s="496"/>
      <c r="AO94" s="496"/>
      <c r="AX94" s="712"/>
      <c r="AZ94" s="157" t="s">
        <v>19</v>
      </c>
      <c r="BA94" s="197">
        <f>T73+U73+V73+'PLLA DIETAS'!N20+'PLLA DIETAS'!O20</f>
        <v>33238.199999999997</v>
      </c>
      <c r="BC94" s="197">
        <f>AM73+AN73+AW73+AX73+'PLLA DIETAS'!N20+'PLLA DIETAS'!O20</f>
        <v>33238.199999999997</v>
      </c>
    </row>
    <row r="95" spans="1:55" x14ac:dyDescent="0.2">
      <c r="N95" s="2"/>
      <c r="O95" s="1414"/>
      <c r="P95" s="1414"/>
      <c r="S95" s="2"/>
      <c r="T95" s="1414"/>
      <c r="U95" s="1414"/>
      <c r="AH95" s="496"/>
      <c r="AI95" s="715"/>
      <c r="AJ95" s="496"/>
      <c r="AK95" s="496"/>
      <c r="AL95" s="496"/>
      <c r="AM95" s="496"/>
      <c r="AN95" s="496"/>
      <c r="AO95" s="496"/>
      <c r="AX95" s="712"/>
      <c r="AZ95" t="s">
        <v>562</v>
      </c>
      <c r="BA95" s="164">
        <f>('PLLA DIETAS'!G45+'PLLA DIETAS'!J45+'PLLA DIETAS'!K45)/2</f>
        <v>0</v>
      </c>
    </row>
    <row r="96" spans="1:55" x14ac:dyDescent="0.2">
      <c r="N96" s="2"/>
      <c r="S96" s="2"/>
      <c r="AH96" s="496"/>
      <c r="AI96" s="715"/>
      <c r="AJ96" s="496"/>
      <c r="AK96" s="496"/>
      <c r="AL96" s="496"/>
      <c r="AM96" s="496"/>
      <c r="AN96" s="496"/>
      <c r="AO96" s="496"/>
    </row>
    <row r="97" spans="14:43" x14ac:dyDescent="0.2">
      <c r="N97" s="2"/>
      <c r="S97" s="2"/>
      <c r="AH97" s="496"/>
      <c r="AI97" s="715"/>
      <c r="AJ97" s="496"/>
      <c r="AK97" s="496"/>
      <c r="AL97" s="496"/>
      <c r="AM97" s="496"/>
      <c r="AN97" s="496"/>
      <c r="AO97" s="496"/>
    </row>
    <row r="98" spans="14:43" x14ac:dyDescent="0.2">
      <c r="N98" s="2"/>
      <c r="S98" s="2"/>
      <c r="AH98" s="496"/>
      <c r="AI98" s="715"/>
      <c r="AJ98" s="496"/>
      <c r="AK98" s="496"/>
      <c r="AL98" s="496"/>
      <c r="AM98" s="496"/>
      <c r="AN98" s="496"/>
      <c r="AO98" s="496"/>
    </row>
    <row r="99" spans="14:43" x14ac:dyDescent="0.2">
      <c r="N99" s="2"/>
      <c r="S99" s="2"/>
      <c r="AH99" s="496"/>
      <c r="AI99" s="715"/>
      <c r="AJ99" s="496"/>
      <c r="AK99" s="496"/>
      <c r="AL99" s="496"/>
      <c r="AM99" s="496"/>
      <c r="AN99" s="496"/>
      <c r="AO99" s="496"/>
    </row>
    <row r="100" spans="14:43" x14ac:dyDescent="0.2">
      <c r="N100" s="2"/>
      <c r="S100" s="2"/>
      <c r="AH100" s="496"/>
      <c r="AI100" s="715"/>
      <c r="AJ100" s="496"/>
      <c r="AK100" s="496"/>
      <c r="AL100" s="496"/>
      <c r="AM100" s="496"/>
      <c r="AN100" s="496"/>
      <c r="AO100" s="496"/>
    </row>
    <row r="101" spans="14:43" x14ac:dyDescent="0.2">
      <c r="N101" s="2"/>
      <c r="S101" s="2"/>
      <c r="AH101" s="496"/>
      <c r="AI101" s="715"/>
      <c r="AJ101" s="496"/>
      <c r="AK101" s="496"/>
      <c r="AL101" s="496"/>
      <c r="AM101" s="496"/>
      <c r="AN101" s="496"/>
      <c r="AO101" s="496"/>
      <c r="AQ101" s="164">
        <v>164314.91999999998</v>
      </c>
    </row>
    <row r="102" spans="14:43" x14ac:dyDescent="0.2">
      <c r="N102" s="2"/>
      <c r="P102" s="11"/>
      <c r="S102" s="2"/>
      <c r="U102" s="11"/>
      <c r="AH102" s="496"/>
      <c r="AI102" s="715"/>
      <c r="AJ102" s="496"/>
      <c r="AK102" s="496"/>
      <c r="AL102" s="496"/>
      <c r="AM102" s="496"/>
      <c r="AN102" s="496"/>
      <c r="AO102" s="496"/>
    </row>
    <row r="103" spans="14:43" x14ac:dyDescent="0.2">
      <c r="N103" s="2"/>
      <c r="S103" s="2"/>
      <c r="AH103" s="496"/>
      <c r="AI103" s="715"/>
      <c r="AJ103" s="496"/>
      <c r="AK103" s="496"/>
      <c r="AL103" s="496"/>
      <c r="AM103" s="496"/>
      <c r="AN103" s="496"/>
      <c r="AO103" s="496"/>
    </row>
  </sheetData>
  <mergeCells count="21">
    <mergeCell ref="T95:U95"/>
    <mergeCell ref="AI6:AQ6"/>
    <mergeCell ref="AI5:AQ5"/>
    <mergeCell ref="AS5:BA5"/>
    <mergeCell ref="AS6:BA6"/>
    <mergeCell ref="X5:X8"/>
    <mergeCell ref="A5:A8"/>
    <mergeCell ref="B5:B8"/>
    <mergeCell ref="D5:D8"/>
    <mergeCell ref="E5:E8"/>
    <mergeCell ref="H5:J6"/>
    <mergeCell ref="O95:P95"/>
    <mergeCell ref="F5:F8"/>
    <mergeCell ref="G5:G8"/>
    <mergeCell ref="L7:L8"/>
    <mergeCell ref="H7:H8"/>
    <mergeCell ref="I7:I8"/>
    <mergeCell ref="J7:J8"/>
    <mergeCell ref="M7:M8"/>
    <mergeCell ref="K5:M6"/>
    <mergeCell ref="K7:K8"/>
  </mergeCells>
  <phoneticPr fontId="0" type="noConversion"/>
  <printOptions horizontalCentered="1" verticalCentered="1"/>
  <pageMargins left="0.35433070866141736" right="0.35433070866141736" top="0.78740157480314965" bottom="0.70866141732283472" header="0" footer="0"/>
  <pageSetup paperSize="10000" scale="66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8" tint="0.39997558519241921"/>
  </sheetPr>
  <dimension ref="A1:U39"/>
  <sheetViews>
    <sheetView showGridLines="0" workbookViewId="0">
      <selection sqref="A1:Q20"/>
    </sheetView>
  </sheetViews>
  <sheetFormatPr baseColWidth="10" defaultColWidth="9.140625" defaultRowHeight="12.75" x14ac:dyDescent="0.2"/>
  <cols>
    <col min="1" max="1" width="5.140625" style="7" customWidth="1"/>
    <col min="2" max="2" width="28.5703125" style="7" customWidth="1"/>
    <col min="3" max="3" width="20.140625" style="7" customWidth="1"/>
    <col min="4" max="4" width="10.85546875" style="7" customWidth="1"/>
    <col min="5" max="5" width="9.42578125" style="7" customWidth="1"/>
    <col min="6" max="6" width="10.5703125" style="7" customWidth="1"/>
    <col min="7" max="7" width="11" style="7" customWidth="1"/>
    <col min="8" max="8" width="12.5703125" style="7" hidden="1" customWidth="1"/>
    <col min="9" max="15" width="9.85546875" style="7" customWidth="1"/>
    <col min="16" max="16" width="11" style="7" customWidth="1"/>
    <col min="17" max="17" width="12" style="7" customWidth="1"/>
    <col min="18" max="20" width="9.140625" style="7" customWidth="1"/>
    <col min="21" max="21" width="12.7109375" style="7" customWidth="1"/>
    <col min="22" max="16384" width="9.140625" style="7"/>
  </cols>
  <sheetData>
    <row r="1" spans="1:19" ht="12.75" customHeight="1" x14ac:dyDescent="0.2">
      <c r="A1" s="1461" t="s">
        <v>776</v>
      </c>
      <c r="B1" s="1461"/>
      <c r="C1" s="1461"/>
      <c r="D1" s="1461"/>
      <c r="E1" s="1461"/>
      <c r="F1" s="1461"/>
      <c r="G1" s="1461"/>
      <c r="H1" s="1461"/>
      <c r="I1" s="1461"/>
      <c r="J1" s="1461"/>
      <c r="K1" s="1461"/>
      <c r="L1" s="1461"/>
      <c r="M1" s="1461"/>
      <c r="N1" s="1461"/>
      <c r="O1" s="1461"/>
      <c r="P1" s="1461"/>
      <c r="Q1" s="1461"/>
    </row>
    <row r="2" spans="1:19" ht="12.75" customHeight="1" x14ac:dyDescent="0.2">
      <c r="A2" s="1461" t="s">
        <v>402</v>
      </c>
      <c r="B2" s="1461"/>
      <c r="C2" s="1461"/>
      <c r="D2" s="1461"/>
      <c r="E2" s="1461"/>
      <c r="F2" s="1461"/>
      <c r="G2" s="1461"/>
      <c r="H2" s="1461"/>
      <c r="I2" s="1461"/>
      <c r="J2" s="1461"/>
      <c r="K2" s="1461"/>
      <c r="L2" s="1461"/>
      <c r="M2" s="1461"/>
      <c r="N2" s="1461"/>
      <c r="O2" s="1461"/>
      <c r="P2" s="1461"/>
      <c r="Q2" s="1461"/>
    </row>
    <row r="3" spans="1:19" ht="12.75" customHeight="1" x14ac:dyDescent="0.2">
      <c r="A3" s="1461" t="s">
        <v>791</v>
      </c>
      <c r="B3" s="1461"/>
      <c r="C3" s="1461"/>
      <c r="D3" s="1461"/>
      <c r="E3" s="1461"/>
      <c r="F3" s="1461"/>
      <c r="G3" s="1461"/>
      <c r="H3" s="1461"/>
      <c r="I3" s="1461"/>
      <c r="J3" s="1461"/>
      <c r="K3" s="1461"/>
      <c r="L3" s="1461"/>
      <c r="M3" s="1461"/>
      <c r="N3" s="1461"/>
      <c r="O3" s="1461"/>
      <c r="P3" s="1461"/>
      <c r="Q3" s="1461"/>
    </row>
    <row r="4" spans="1:19" ht="13.5" thickBot="1" x14ac:dyDescent="0.25"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9" ht="18.75" customHeight="1" thickBot="1" x14ac:dyDescent="0.25">
      <c r="A5" s="1462" t="s">
        <v>373</v>
      </c>
      <c r="B5" s="1462" t="s">
        <v>370</v>
      </c>
      <c r="C5" s="1463" t="s">
        <v>371</v>
      </c>
      <c r="D5" s="1450" t="s">
        <v>128</v>
      </c>
      <c r="E5" s="1451"/>
      <c r="F5" s="1451"/>
      <c r="G5" s="1452"/>
      <c r="H5" s="1456" t="s">
        <v>540</v>
      </c>
      <c r="I5" s="660" t="s">
        <v>510</v>
      </c>
      <c r="J5" s="661"/>
      <c r="K5" s="661"/>
      <c r="L5" s="662"/>
      <c r="M5" s="660"/>
      <c r="N5" s="661"/>
      <c r="O5" s="661"/>
      <c r="P5" s="662"/>
      <c r="Q5" s="1462" t="s">
        <v>25</v>
      </c>
    </row>
    <row r="6" spans="1:19" ht="18.75" customHeight="1" thickBot="1" x14ac:dyDescent="0.25">
      <c r="A6" s="1462"/>
      <c r="B6" s="1462"/>
      <c r="C6" s="1463"/>
      <c r="D6" s="1453"/>
      <c r="E6" s="1454"/>
      <c r="F6" s="1454"/>
      <c r="G6" s="1455"/>
      <c r="H6" s="1464"/>
      <c r="I6" s="660" t="s">
        <v>436</v>
      </c>
      <c r="J6" s="661"/>
      <c r="K6" s="661"/>
      <c r="L6" s="662"/>
      <c r="M6" s="660" t="s">
        <v>437</v>
      </c>
      <c r="N6" s="660"/>
      <c r="O6" s="661"/>
      <c r="P6" s="662"/>
      <c r="Q6" s="1462"/>
    </row>
    <row r="7" spans="1:19" ht="18.75" customHeight="1" thickBot="1" x14ac:dyDescent="0.25">
      <c r="A7" s="1462"/>
      <c r="B7" s="1462"/>
      <c r="C7" s="1463"/>
      <c r="D7" s="1456" t="s">
        <v>686</v>
      </c>
      <c r="E7" s="1456" t="s">
        <v>687</v>
      </c>
      <c r="F7" s="1463" t="s">
        <v>436</v>
      </c>
      <c r="G7" s="1465" t="s">
        <v>437</v>
      </c>
      <c r="H7" s="1464"/>
      <c r="I7" s="665" t="s">
        <v>381</v>
      </c>
      <c r="J7" s="623" t="s">
        <v>19</v>
      </c>
      <c r="K7" s="666" t="s">
        <v>551</v>
      </c>
      <c r="L7" s="667" t="s">
        <v>25</v>
      </c>
      <c r="M7" s="665" t="s">
        <v>381</v>
      </c>
      <c r="N7" s="623" t="s">
        <v>19</v>
      </c>
      <c r="O7" s="666" t="s">
        <v>551</v>
      </c>
      <c r="P7" s="668" t="s">
        <v>25</v>
      </c>
      <c r="Q7" s="1462"/>
    </row>
    <row r="8" spans="1:19" ht="30.75" customHeight="1" thickBot="1" x14ac:dyDescent="0.25">
      <c r="A8" s="1462"/>
      <c r="B8" s="1462"/>
      <c r="C8" s="1463"/>
      <c r="D8" s="1457"/>
      <c r="E8" s="1457"/>
      <c r="F8" s="1463"/>
      <c r="G8" s="1465"/>
      <c r="H8" s="1457"/>
      <c r="I8" s="252">
        <v>8.7499999999999994E-2</v>
      </c>
      <c r="J8" s="253">
        <v>7.4999999999999997E-2</v>
      </c>
      <c r="K8" s="253">
        <v>0.01</v>
      </c>
      <c r="L8" s="664" t="s">
        <v>436</v>
      </c>
      <c r="M8" s="252">
        <v>8.7499999999999994E-2</v>
      </c>
      <c r="N8" s="253">
        <v>7.4999999999999997E-2</v>
      </c>
      <c r="O8" s="253">
        <v>0.01</v>
      </c>
      <c r="P8" s="663" t="s">
        <v>437</v>
      </c>
      <c r="Q8" s="1462"/>
    </row>
    <row r="9" spans="1:19" ht="26.25" customHeight="1" x14ac:dyDescent="0.2">
      <c r="A9" s="254">
        <v>1</v>
      </c>
      <c r="B9" s="255" t="s">
        <v>679</v>
      </c>
      <c r="C9" s="256" t="s">
        <v>574</v>
      </c>
      <c r="D9" s="654">
        <v>350</v>
      </c>
      <c r="E9" s="657">
        <v>2</v>
      </c>
      <c r="F9" s="262">
        <f t="shared" ref="F9:F18" si="0">D9*E9</f>
        <v>700</v>
      </c>
      <c r="G9" s="263">
        <f>+F9*12</f>
        <v>8400</v>
      </c>
      <c r="H9" s="264">
        <v>0</v>
      </c>
      <c r="I9" s="265">
        <v>0</v>
      </c>
      <c r="J9" s="266">
        <v>0</v>
      </c>
      <c r="K9" s="267">
        <v>0</v>
      </c>
      <c r="L9" s="268">
        <f>SUM(I9:K9)</f>
        <v>0</v>
      </c>
      <c r="M9" s="265">
        <v>0</v>
      </c>
      <c r="N9" s="266">
        <v>0</v>
      </c>
      <c r="O9" s="267">
        <v>0</v>
      </c>
      <c r="P9" s="268">
        <f>SUM(M9:O9)</f>
        <v>0</v>
      </c>
      <c r="Q9" s="264">
        <f>+G9+H9+P9</f>
        <v>8400</v>
      </c>
    </row>
    <row r="10" spans="1:19" ht="26.25" customHeight="1" x14ac:dyDescent="0.2">
      <c r="A10" s="257">
        <f>A9+1</f>
        <v>2</v>
      </c>
      <c r="B10" s="258" t="s">
        <v>680</v>
      </c>
      <c r="C10" s="259" t="s">
        <v>576</v>
      </c>
      <c r="D10" s="655">
        <v>350</v>
      </c>
      <c r="E10" s="658">
        <v>2</v>
      </c>
      <c r="F10" s="269">
        <f t="shared" si="0"/>
        <v>700</v>
      </c>
      <c r="G10" s="270">
        <f>+F10*12</f>
        <v>8400</v>
      </c>
      <c r="H10" s="271">
        <v>0</v>
      </c>
      <c r="I10" s="272">
        <f>ROUND((F10*I$8),2)</f>
        <v>61.25</v>
      </c>
      <c r="J10" s="272">
        <f>ROUND((F10*J$8),2)</f>
        <v>52.5</v>
      </c>
      <c r="K10" s="273">
        <f>ROUND((F10*K$8),2)</f>
        <v>7</v>
      </c>
      <c r="L10" s="270">
        <f>SUM(I10:K10)</f>
        <v>120.75</v>
      </c>
      <c r="M10" s="272">
        <f>I10*12</f>
        <v>735</v>
      </c>
      <c r="N10" s="272">
        <f>J10*12</f>
        <v>630</v>
      </c>
      <c r="O10" s="272">
        <f>K10*12</f>
        <v>84</v>
      </c>
      <c r="P10" s="270">
        <f>SUM(M10:O10)</f>
        <v>1449</v>
      </c>
      <c r="Q10" s="264">
        <f t="shared" ref="Q10:Q18" si="1">+G10+H10+P10</f>
        <v>9849</v>
      </c>
      <c r="S10" s="179"/>
    </row>
    <row r="11" spans="1:19" ht="26.25" customHeight="1" x14ac:dyDescent="0.2">
      <c r="A11" s="257">
        <f t="shared" ref="A11:A17" si="2">A10+1</f>
        <v>3</v>
      </c>
      <c r="B11" s="258" t="s">
        <v>681</v>
      </c>
      <c r="C11" s="259" t="s">
        <v>589</v>
      </c>
      <c r="D11" s="655">
        <v>350</v>
      </c>
      <c r="E11" s="658">
        <v>2</v>
      </c>
      <c r="F11" s="269">
        <f t="shared" si="0"/>
        <v>700</v>
      </c>
      <c r="G11" s="270">
        <f t="shared" ref="G11:G18" si="3">+F11*12</f>
        <v>8400</v>
      </c>
      <c r="H11" s="271">
        <v>0</v>
      </c>
      <c r="I11" s="272">
        <f t="shared" ref="I11:I18" si="4">ROUND((F11*I$8),2)</f>
        <v>61.25</v>
      </c>
      <c r="J11" s="272">
        <f t="shared" ref="J11:J18" si="5">ROUND((F11*J$8),2)</f>
        <v>52.5</v>
      </c>
      <c r="K11" s="273">
        <f t="shared" ref="K11:K18" si="6">ROUND((F11*K$8),2)</f>
        <v>7</v>
      </c>
      <c r="L11" s="270">
        <f t="shared" ref="L11:L18" si="7">SUM(I11:K11)</f>
        <v>120.75</v>
      </c>
      <c r="M11" s="272">
        <f t="shared" ref="M11:M18" si="8">I11*12</f>
        <v>735</v>
      </c>
      <c r="N11" s="272">
        <f t="shared" ref="N11:N18" si="9">J11*12</f>
        <v>630</v>
      </c>
      <c r="O11" s="272">
        <f t="shared" ref="O11:O18" si="10">K11*12</f>
        <v>84</v>
      </c>
      <c r="P11" s="270">
        <f t="shared" ref="P11:P18" si="11">SUM(M11:O11)</f>
        <v>1449</v>
      </c>
      <c r="Q11" s="264">
        <f t="shared" si="1"/>
        <v>9849</v>
      </c>
    </row>
    <row r="12" spans="1:19" ht="26.25" customHeight="1" x14ac:dyDescent="0.2">
      <c r="A12" s="257">
        <f t="shared" si="2"/>
        <v>4</v>
      </c>
      <c r="B12" s="258" t="s">
        <v>682</v>
      </c>
      <c r="C12" s="259" t="s">
        <v>579</v>
      </c>
      <c r="D12" s="655">
        <v>350</v>
      </c>
      <c r="E12" s="658">
        <v>2</v>
      </c>
      <c r="F12" s="269">
        <f t="shared" si="0"/>
        <v>700</v>
      </c>
      <c r="G12" s="270">
        <f t="shared" si="3"/>
        <v>8400</v>
      </c>
      <c r="H12" s="271">
        <v>0</v>
      </c>
      <c r="I12" s="272">
        <f t="shared" si="4"/>
        <v>61.25</v>
      </c>
      <c r="J12" s="272">
        <f t="shared" si="5"/>
        <v>52.5</v>
      </c>
      <c r="K12" s="273">
        <f t="shared" si="6"/>
        <v>7</v>
      </c>
      <c r="L12" s="270">
        <f t="shared" si="7"/>
        <v>120.75</v>
      </c>
      <c r="M12" s="272">
        <f t="shared" si="8"/>
        <v>735</v>
      </c>
      <c r="N12" s="272">
        <f t="shared" si="9"/>
        <v>630</v>
      </c>
      <c r="O12" s="272">
        <f t="shared" si="10"/>
        <v>84</v>
      </c>
      <c r="P12" s="270">
        <f t="shared" si="11"/>
        <v>1449</v>
      </c>
      <c r="Q12" s="264">
        <f t="shared" si="1"/>
        <v>9849</v>
      </c>
      <c r="S12" s="179"/>
    </row>
    <row r="13" spans="1:19" ht="26.25" customHeight="1" x14ac:dyDescent="0.2">
      <c r="A13" s="257">
        <f t="shared" si="2"/>
        <v>5</v>
      </c>
      <c r="B13" s="258" t="s">
        <v>435</v>
      </c>
      <c r="C13" s="259" t="s">
        <v>580</v>
      </c>
      <c r="D13" s="655">
        <v>350</v>
      </c>
      <c r="E13" s="658">
        <v>2</v>
      </c>
      <c r="F13" s="269">
        <f t="shared" si="0"/>
        <v>700</v>
      </c>
      <c r="G13" s="270">
        <f t="shared" si="3"/>
        <v>8400</v>
      </c>
      <c r="H13" s="271">
        <v>0</v>
      </c>
      <c r="I13" s="272">
        <f t="shared" si="4"/>
        <v>61.25</v>
      </c>
      <c r="J13" s="272">
        <f t="shared" si="5"/>
        <v>52.5</v>
      </c>
      <c r="K13" s="273">
        <f t="shared" si="6"/>
        <v>7</v>
      </c>
      <c r="L13" s="270">
        <f t="shared" si="7"/>
        <v>120.75</v>
      </c>
      <c r="M13" s="272">
        <f>I13*12</f>
        <v>735</v>
      </c>
      <c r="N13" s="272">
        <f t="shared" si="9"/>
        <v>630</v>
      </c>
      <c r="O13" s="272">
        <f t="shared" si="10"/>
        <v>84</v>
      </c>
      <c r="P13" s="270">
        <f t="shared" si="11"/>
        <v>1449</v>
      </c>
      <c r="Q13" s="264">
        <f t="shared" si="1"/>
        <v>9849</v>
      </c>
    </row>
    <row r="14" spans="1:19" ht="26.25" customHeight="1" x14ac:dyDescent="0.2">
      <c r="A14" s="257">
        <f t="shared" si="2"/>
        <v>6</v>
      </c>
      <c r="B14" s="258" t="s">
        <v>683</v>
      </c>
      <c r="C14" s="259" t="s">
        <v>581</v>
      </c>
      <c r="D14" s="655">
        <v>350</v>
      </c>
      <c r="E14" s="658">
        <v>2</v>
      </c>
      <c r="F14" s="269">
        <f t="shared" si="0"/>
        <v>700</v>
      </c>
      <c r="G14" s="270">
        <f t="shared" si="3"/>
        <v>8400</v>
      </c>
      <c r="H14" s="271">
        <v>0</v>
      </c>
      <c r="I14" s="272">
        <f t="shared" si="4"/>
        <v>61.25</v>
      </c>
      <c r="J14" s="272">
        <f t="shared" si="5"/>
        <v>52.5</v>
      </c>
      <c r="K14" s="273">
        <f t="shared" si="6"/>
        <v>7</v>
      </c>
      <c r="L14" s="270">
        <f t="shared" si="7"/>
        <v>120.75</v>
      </c>
      <c r="M14" s="272">
        <f t="shared" si="8"/>
        <v>735</v>
      </c>
      <c r="N14" s="272">
        <f t="shared" si="9"/>
        <v>630</v>
      </c>
      <c r="O14" s="272">
        <f t="shared" si="10"/>
        <v>84</v>
      </c>
      <c r="P14" s="270">
        <f t="shared" si="11"/>
        <v>1449</v>
      </c>
      <c r="Q14" s="264">
        <f t="shared" si="1"/>
        <v>9849</v>
      </c>
    </row>
    <row r="15" spans="1:19" ht="26.25" customHeight="1" x14ac:dyDescent="0.2">
      <c r="A15" s="257">
        <f t="shared" si="2"/>
        <v>7</v>
      </c>
      <c r="B15" s="258" t="s">
        <v>684</v>
      </c>
      <c r="C15" s="259" t="s">
        <v>582</v>
      </c>
      <c r="D15" s="655">
        <v>350</v>
      </c>
      <c r="E15" s="658">
        <v>2</v>
      </c>
      <c r="F15" s="269">
        <f t="shared" si="0"/>
        <v>700</v>
      </c>
      <c r="G15" s="270">
        <f t="shared" si="3"/>
        <v>8400</v>
      </c>
      <c r="H15" s="271">
        <v>0</v>
      </c>
      <c r="I15" s="272">
        <f t="shared" si="4"/>
        <v>61.25</v>
      </c>
      <c r="J15" s="272">
        <f t="shared" si="5"/>
        <v>52.5</v>
      </c>
      <c r="K15" s="273">
        <f t="shared" si="6"/>
        <v>7</v>
      </c>
      <c r="L15" s="270">
        <f t="shared" si="7"/>
        <v>120.75</v>
      </c>
      <c r="M15" s="272">
        <f t="shared" si="8"/>
        <v>735</v>
      </c>
      <c r="N15" s="272">
        <f t="shared" si="9"/>
        <v>630</v>
      </c>
      <c r="O15" s="272">
        <f t="shared" si="10"/>
        <v>84</v>
      </c>
      <c r="P15" s="270">
        <f t="shared" si="11"/>
        <v>1449</v>
      </c>
      <c r="Q15" s="264">
        <f t="shared" si="1"/>
        <v>9849</v>
      </c>
    </row>
    <row r="16" spans="1:19" ht="26.25" customHeight="1" x14ac:dyDescent="0.2">
      <c r="A16" s="257">
        <f t="shared" si="2"/>
        <v>8</v>
      </c>
      <c r="B16" s="258" t="s">
        <v>685</v>
      </c>
      <c r="C16" s="259" t="s">
        <v>678</v>
      </c>
      <c r="D16" s="655">
        <v>350</v>
      </c>
      <c r="E16" s="658">
        <v>2</v>
      </c>
      <c r="F16" s="269">
        <f t="shared" si="0"/>
        <v>700</v>
      </c>
      <c r="G16" s="270">
        <f t="shared" si="3"/>
        <v>8400</v>
      </c>
      <c r="H16" s="271">
        <v>0</v>
      </c>
      <c r="I16" s="272">
        <f t="shared" si="4"/>
        <v>61.25</v>
      </c>
      <c r="J16" s="272">
        <f t="shared" si="5"/>
        <v>52.5</v>
      </c>
      <c r="K16" s="273">
        <f t="shared" si="6"/>
        <v>7</v>
      </c>
      <c r="L16" s="270">
        <f t="shared" si="7"/>
        <v>120.75</v>
      </c>
      <c r="M16" s="272">
        <f t="shared" si="8"/>
        <v>735</v>
      </c>
      <c r="N16" s="272">
        <f t="shared" si="9"/>
        <v>630</v>
      </c>
      <c r="O16" s="272">
        <f t="shared" si="10"/>
        <v>84</v>
      </c>
      <c r="P16" s="270">
        <f t="shared" si="11"/>
        <v>1449</v>
      </c>
      <c r="Q16" s="264">
        <f t="shared" si="1"/>
        <v>9849</v>
      </c>
      <c r="R16" s="193"/>
    </row>
    <row r="17" spans="1:21" ht="26.25" customHeight="1" x14ac:dyDescent="0.2">
      <c r="A17" s="257">
        <f t="shared" si="2"/>
        <v>9</v>
      </c>
      <c r="B17" s="258" t="s">
        <v>577</v>
      </c>
      <c r="C17" s="259" t="s">
        <v>578</v>
      </c>
      <c r="D17" s="655">
        <v>350</v>
      </c>
      <c r="E17" s="658">
        <v>2</v>
      </c>
      <c r="F17" s="269">
        <f t="shared" si="0"/>
        <v>700</v>
      </c>
      <c r="G17" s="270">
        <f t="shared" ref="G17" si="12">+F17*12</f>
        <v>8400</v>
      </c>
      <c r="H17" s="271">
        <v>0</v>
      </c>
      <c r="I17" s="272">
        <f t="shared" si="4"/>
        <v>61.25</v>
      </c>
      <c r="J17" s="272">
        <f t="shared" si="5"/>
        <v>52.5</v>
      </c>
      <c r="K17" s="273">
        <f t="shared" si="6"/>
        <v>7</v>
      </c>
      <c r="L17" s="270">
        <f t="shared" ref="L17" si="13">SUM(I17:K17)</f>
        <v>120.75</v>
      </c>
      <c r="M17" s="272">
        <f t="shared" si="8"/>
        <v>735</v>
      </c>
      <c r="N17" s="272">
        <f t="shared" si="9"/>
        <v>630</v>
      </c>
      <c r="O17" s="272">
        <f t="shared" si="10"/>
        <v>84</v>
      </c>
      <c r="P17" s="270">
        <f t="shared" si="11"/>
        <v>1449</v>
      </c>
      <c r="Q17" s="264">
        <f t="shared" si="1"/>
        <v>9849</v>
      </c>
      <c r="R17" s="193"/>
    </row>
    <row r="18" spans="1:21" ht="26.25" customHeight="1" thickBot="1" x14ac:dyDescent="0.25">
      <c r="A18" s="260">
        <f>A17+1</f>
        <v>10</v>
      </c>
      <c r="B18" s="258" t="s">
        <v>575</v>
      </c>
      <c r="C18" s="259" t="s">
        <v>583</v>
      </c>
      <c r="D18" s="656">
        <v>350</v>
      </c>
      <c r="E18" s="659">
        <v>2</v>
      </c>
      <c r="F18" s="274">
        <f t="shared" si="0"/>
        <v>700</v>
      </c>
      <c r="G18" s="275">
        <f t="shared" si="3"/>
        <v>8400</v>
      </c>
      <c r="H18" s="276">
        <v>0</v>
      </c>
      <c r="I18" s="272">
        <f t="shared" si="4"/>
        <v>61.25</v>
      </c>
      <c r="J18" s="272">
        <f t="shared" si="5"/>
        <v>52.5</v>
      </c>
      <c r="K18" s="273">
        <f t="shared" si="6"/>
        <v>7</v>
      </c>
      <c r="L18" s="277">
        <f t="shared" si="7"/>
        <v>120.75</v>
      </c>
      <c r="M18" s="272">
        <f t="shared" si="8"/>
        <v>735</v>
      </c>
      <c r="N18" s="272">
        <f t="shared" si="9"/>
        <v>630</v>
      </c>
      <c r="O18" s="272">
        <f t="shared" si="10"/>
        <v>84</v>
      </c>
      <c r="P18" s="277">
        <f t="shared" si="11"/>
        <v>1449</v>
      </c>
      <c r="Q18" s="264">
        <f t="shared" si="1"/>
        <v>9849</v>
      </c>
    </row>
    <row r="19" spans="1:21" ht="26.25" customHeight="1" thickBot="1" x14ac:dyDescent="0.25">
      <c r="A19" s="1458" t="s">
        <v>372</v>
      </c>
      <c r="B19" s="1459"/>
      <c r="C19" s="1460"/>
      <c r="D19" s="621"/>
      <c r="E19" s="622"/>
      <c r="F19" s="278">
        <f t="shared" ref="F19:Q19" si="14">SUM(F9:F18)</f>
        <v>7000</v>
      </c>
      <c r="G19" s="279">
        <f t="shared" si="14"/>
        <v>84000</v>
      </c>
      <c r="H19" s="280">
        <f t="shared" si="14"/>
        <v>0</v>
      </c>
      <c r="I19" s="278">
        <f t="shared" si="14"/>
        <v>551.25</v>
      </c>
      <c r="J19" s="281">
        <f t="shared" si="14"/>
        <v>472.5</v>
      </c>
      <c r="K19" s="282">
        <f t="shared" si="14"/>
        <v>63</v>
      </c>
      <c r="L19" s="279">
        <f>SUM(L9:L18)</f>
        <v>1086.75</v>
      </c>
      <c r="M19" s="278">
        <f t="shared" ref="M19:O19" si="15">SUM(M9:M18)</f>
        <v>6615</v>
      </c>
      <c r="N19" s="281">
        <f>SUM(N9:N18)</f>
        <v>5670</v>
      </c>
      <c r="O19" s="282">
        <f t="shared" si="15"/>
        <v>756</v>
      </c>
      <c r="P19" s="279">
        <f>SUM(P9:P18)</f>
        <v>13041</v>
      </c>
      <c r="Q19" s="280">
        <f t="shared" si="14"/>
        <v>97041</v>
      </c>
    </row>
    <row r="20" spans="1:21" ht="26.25" customHeight="1" thickBot="1" x14ac:dyDescent="0.25">
      <c r="A20" s="1458" t="s">
        <v>572</v>
      </c>
      <c r="B20" s="1459"/>
      <c r="C20" s="1460"/>
      <c r="D20" s="621"/>
      <c r="E20" s="622"/>
      <c r="F20" s="278">
        <f t="shared" ref="F20:J20" si="16">SUM(F19:F19)</f>
        <v>7000</v>
      </c>
      <c r="G20" s="279">
        <f>SUM(G19:G19)</f>
        <v>84000</v>
      </c>
      <c r="H20" s="280">
        <f t="shared" si="16"/>
        <v>0</v>
      </c>
      <c r="I20" s="278">
        <f t="shared" si="16"/>
        <v>551.25</v>
      </c>
      <c r="J20" s="281">
        <f t="shared" si="16"/>
        <v>472.5</v>
      </c>
      <c r="K20" s="282">
        <f t="shared" ref="K20" si="17">SUM(K19:K19)</f>
        <v>63</v>
      </c>
      <c r="L20" s="279">
        <f>SUM(L19:L19)</f>
        <v>1086.75</v>
      </c>
      <c r="M20" s="278">
        <f t="shared" ref="M20:O20" si="18">SUM(M19:M19)</f>
        <v>6615</v>
      </c>
      <c r="N20" s="281">
        <f t="shared" si="18"/>
        <v>5670</v>
      </c>
      <c r="O20" s="282">
        <f t="shared" si="18"/>
        <v>756</v>
      </c>
      <c r="P20" s="279">
        <f>SUM(P19:P19)</f>
        <v>13041</v>
      </c>
      <c r="Q20" s="280">
        <f>SUM(Q19:Q19)</f>
        <v>97041</v>
      </c>
      <c r="U20" s="216">
        <v>26287.8</v>
      </c>
    </row>
    <row r="21" spans="1:21" x14ac:dyDescent="0.2">
      <c r="Q21" s="868"/>
      <c r="U21" s="179">
        <f>+U20+N20+O20</f>
        <v>32713.8</v>
      </c>
    </row>
    <row r="22" spans="1:21" x14ac:dyDescent="0.2">
      <c r="Q22" s="868"/>
      <c r="U22" s="179"/>
    </row>
    <row r="23" spans="1:21" x14ac:dyDescent="0.2">
      <c r="Q23" s="868"/>
      <c r="U23" s="179"/>
    </row>
    <row r="24" spans="1:21" x14ac:dyDescent="0.2">
      <c r="Q24" s="868"/>
      <c r="U24" s="179"/>
    </row>
    <row r="25" spans="1:21" x14ac:dyDescent="0.2">
      <c r="Q25" s="868"/>
      <c r="U25" s="179"/>
    </row>
    <row r="26" spans="1:21" x14ac:dyDescent="0.2">
      <c r="Q26" s="868"/>
      <c r="U26" s="179"/>
    </row>
    <row r="27" spans="1:21" x14ac:dyDescent="0.2">
      <c r="Q27" s="868"/>
      <c r="U27" s="179"/>
    </row>
    <row r="28" spans="1:21" x14ac:dyDescent="0.2">
      <c r="Q28" s="868"/>
      <c r="U28" s="179"/>
    </row>
    <row r="29" spans="1:21" x14ac:dyDescent="0.2">
      <c r="Q29" s="868"/>
      <c r="U29" s="179"/>
    </row>
    <row r="30" spans="1:21" x14ac:dyDescent="0.2">
      <c r="Q30" s="868"/>
      <c r="U30" s="179"/>
    </row>
    <row r="31" spans="1:21" x14ac:dyDescent="0.2">
      <c r="Q31" s="868"/>
      <c r="U31" s="179"/>
    </row>
    <row r="32" spans="1:21" x14ac:dyDescent="0.2">
      <c r="Q32" s="868"/>
      <c r="U32" s="179"/>
    </row>
    <row r="33" spans="6:17" x14ac:dyDescent="0.2">
      <c r="F33" s="869"/>
      <c r="G33" s="869"/>
      <c r="H33" s="869"/>
      <c r="I33" s="869"/>
      <c r="J33" s="869"/>
      <c r="K33" s="869"/>
      <c r="L33" s="869"/>
      <c r="M33" s="869"/>
      <c r="N33" s="869"/>
      <c r="O33" s="869"/>
      <c r="P33" s="869"/>
      <c r="Q33" s="869">
        <f>Q20/12</f>
        <v>8086.75</v>
      </c>
    </row>
    <row r="34" spans="6:17" x14ac:dyDescent="0.2">
      <c r="F34" s="870"/>
      <c r="G34" s="870"/>
      <c r="H34" s="870"/>
      <c r="I34" s="870"/>
      <c r="J34" s="870"/>
      <c r="K34" s="870"/>
      <c r="L34" s="870"/>
      <c r="M34" s="870"/>
      <c r="N34" s="870"/>
      <c r="O34" s="870"/>
      <c r="P34" s="870"/>
      <c r="Q34" s="870"/>
    </row>
    <row r="35" spans="6:17" x14ac:dyDescent="0.2">
      <c r="F35" s="871"/>
      <c r="G35" s="871"/>
      <c r="H35" s="871"/>
      <c r="I35" s="871"/>
      <c r="J35" s="871"/>
      <c r="K35" s="871"/>
      <c r="L35" s="871"/>
      <c r="M35" s="871"/>
      <c r="N35" s="871"/>
      <c r="O35" s="871"/>
      <c r="P35" s="871"/>
      <c r="Q35" s="871">
        <f>+Q20-Q33</f>
        <v>88954.25</v>
      </c>
    </row>
    <row r="36" spans="6:17" x14ac:dyDescent="0.2">
      <c r="Q36" s="157"/>
    </row>
    <row r="37" spans="6:17" x14ac:dyDescent="0.2">
      <c r="H37" s="108"/>
      <c r="I37" s="108"/>
      <c r="J37" s="108"/>
      <c r="K37" s="108"/>
      <c r="L37" s="108"/>
      <c r="M37" s="108"/>
      <c r="N37" s="108"/>
      <c r="O37" s="108"/>
      <c r="P37" s="108"/>
      <c r="Q37" s="157"/>
    </row>
    <row r="38" spans="6:17" x14ac:dyDescent="0.2">
      <c r="Q38" s="157"/>
    </row>
    <row r="39" spans="6:17" x14ac:dyDescent="0.2">
      <c r="H39" s="108"/>
      <c r="I39" s="108"/>
      <c r="J39" s="108"/>
      <c r="K39" s="108"/>
      <c r="L39" s="108"/>
      <c r="M39" s="108"/>
      <c r="N39" s="108"/>
      <c r="O39" s="108"/>
      <c r="P39" s="108"/>
    </row>
  </sheetData>
  <mergeCells count="15">
    <mergeCell ref="D5:G6"/>
    <mergeCell ref="D7:D8"/>
    <mergeCell ref="E7:E8"/>
    <mergeCell ref="A20:C20"/>
    <mergeCell ref="A1:Q1"/>
    <mergeCell ref="A2:Q2"/>
    <mergeCell ref="Q5:Q8"/>
    <mergeCell ref="A5:A8"/>
    <mergeCell ref="C5:C8"/>
    <mergeCell ref="H5:H8"/>
    <mergeCell ref="F7:F8"/>
    <mergeCell ref="G7:G8"/>
    <mergeCell ref="A19:C19"/>
    <mergeCell ref="A3:Q3"/>
    <mergeCell ref="B5:B8"/>
  </mergeCells>
  <phoneticPr fontId="0" type="noConversion"/>
  <printOptions horizontalCentered="1"/>
  <pageMargins left="0.23622047244094491" right="0.15748031496062992" top="1.0629921259842521" bottom="0.98425196850393704" header="1.6929133858267718" footer="0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8" tint="0.39997558519241921"/>
  </sheetPr>
  <dimension ref="A1:K561"/>
  <sheetViews>
    <sheetView showGridLines="0" topLeftCell="A514" zoomScaleNormal="100" workbookViewId="0">
      <selection activeCell="A437" sqref="A437:G544"/>
    </sheetView>
  </sheetViews>
  <sheetFormatPr baseColWidth="10" defaultRowHeight="12.75" x14ac:dyDescent="0.2"/>
  <cols>
    <col min="1" max="1" width="6.140625" customWidth="1"/>
    <col min="2" max="2" width="48.85546875" customWidth="1"/>
    <col min="3" max="3" width="15.5703125" style="320" customWidth="1"/>
    <col min="4" max="4" width="15.42578125" style="320" customWidth="1"/>
    <col min="5" max="5" width="13.7109375" style="320" customWidth="1"/>
    <col min="6" max="6" width="14.42578125" style="320" customWidth="1"/>
    <col min="7" max="7" width="14" style="320" bestFit="1" customWidth="1"/>
    <col min="8" max="8" width="15.140625" style="75" customWidth="1"/>
    <col min="9" max="9" width="12.28515625" bestFit="1" customWidth="1"/>
  </cols>
  <sheetData>
    <row r="1" spans="1:8" hidden="1" x14ac:dyDescent="0.2"/>
    <row r="2" spans="1:8" hidden="1" x14ac:dyDescent="0.2">
      <c r="A2" s="1466" t="s">
        <v>778</v>
      </c>
      <c r="B2" s="1466"/>
      <c r="C2" s="1466"/>
      <c r="D2" s="1466"/>
      <c r="E2" s="1466"/>
      <c r="F2" s="1466"/>
      <c r="G2" s="1466"/>
    </row>
    <row r="3" spans="1:8" hidden="1" x14ac:dyDescent="0.2">
      <c r="A3" s="1466" t="s">
        <v>101</v>
      </c>
      <c r="B3" s="1466"/>
      <c r="C3" s="1466"/>
      <c r="D3" s="1466"/>
      <c r="E3" s="1466"/>
      <c r="F3" s="1466"/>
      <c r="G3" s="1466"/>
    </row>
    <row r="4" spans="1:8" hidden="1" x14ac:dyDescent="0.2">
      <c r="A4" s="1466" t="s">
        <v>102</v>
      </c>
      <c r="B4" s="1466"/>
      <c r="C4" s="1466"/>
      <c r="D4" s="1466"/>
      <c r="E4" s="1466"/>
      <c r="F4" s="1466"/>
      <c r="G4" s="1466"/>
    </row>
    <row r="5" spans="1:8" hidden="1" x14ac:dyDescent="0.2">
      <c r="A5" s="1466" t="s">
        <v>413</v>
      </c>
      <c r="B5" s="1466"/>
      <c r="C5" s="1466"/>
      <c r="D5" s="1466"/>
      <c r="E5" s="1466"/>
      <c r="F5" s="1466"/>
      <c r="G5" s="1466"/>
    </row>
    <row r="6" spans="1:8" hidden="1" x14ac:dyDescent="0.2">
      <c r="A6" s="1466" t="s">
        <v>847</v>
      </c>
      <c r="B6" s="1466"/>
      <c r="C6" s="1466"/>
      <c r="D6" s="1466"/>
      <c r="E6" s="1466"/>
      <c r="F6" s="1466"/>
      <c r="G6" s="1466"/>
    </row>
    <row r="7" spans="1:8" ht="13.5" hidden="1" thickBot="1" x14ac:dyDescent="0.25">
      <c r="B7" s="319"/>
      <c r="H7" s="74"/>
    </row>
    <row r="8" spans="1:8" ht="13.5" hidden="1" thickBot="1" x14ac:dyDescent="0.25">
      <c r="A8" s="1469" t="s">
        <v>511</v>
      </c>
      <c r="B8" s="1469" t="s">
        <v>14</v>
      </c>
      <c r="C8" s="1472" t="s">
        <v>104</v>
      </c>
      <c r="D8" s="1473"/>
      <c r="E8" s="1473"/>
      <c r="F8" s="1473"/>
      <c r="G8" s="1474"/>
    </row>
    <row r="9" spans="1:8" ht="12.75" hidden="1" customHeight="1" x14ac:dyDescent="0.2">
      <c r="A9" s="1470"/>
      <c r="B9" s="1470"/>
      <c r="C9" s="1467" t="s">
        <v>779</v>
      </c>
      <c r="D9" s="1467" t="s">
        <v>453</v>
      </c>
      <c r="E9" s="1467" t="s">
        <v>105</v>
      </c>
      <c r="F9" s="1467" t="s">
        <v>184</v>
      </c>
      <c r="G9" s="1467" t="s">
        <v>4</v>
      </c>
    </row>
    <row r="10" spans="1:8" ht="39.75" hidden="1" customHeight="1" thickBot="1" x14ac:dyDescent="0.25">
      <c r="A10" s="1471"/>
      <c r="B10" s="1471"/>
      <c r="C10" s="1468"/>
      <c r="D10" s="1468"/>
      <c r="E10" s="1468"/>
      <c r="F10" s="1468"/>
      <c r="G10" s="1468"/>
    </row>
    <row r="11" spans="1:8" hidden="1" x14ac:dyDescent="0.2">
      <c r="A11" s="321">
        <v>54</v>
      </c>
      <c r="B11" s="322" t="s">
        <v>27</v>
      </c>
      <c r="C11" s="323">
        <f>C12+C32+C38+C54+C59</f>
        <v>0</v>
      </c>
      <c r="D11" s="324">
        <f>D12+D32+D38+D54</f>
        <v>0</v>
      </c>
      <c r="E11" s="324">
        <f>E12+E32+E38+E54</f>
        <v>0</v>
      </c>
      <c r="F11" s="325">
        <f>F12+F32+F38+F54</f>
        <v>0</v>
      </c>
      <c r="G11" s="324">
        <f>G12+G32+G38+G54+G59</f>
        <v>0</v>
      </c>
      <c r="H11" s="74"/>
    </row>
    <row r="12" spans="1:8" hidden="1" x14ac:dyDescent="0.2">
      <c r="A12" s="326">
        <v>541</v>
      </c>
      <c r="B12" s="327" t="s">
        <v>28</v>
      </c>
      <c r="C12" s="328">
        <f>SUM(C13:C31)</f>
        <v>0</v>
      </c>
      <c r="D12" s="329">
        <f>SUM(D13:D31)</f>
        <v>0</v>
      </c>
      <c r="E12" s="329">
        <f>SUM(E13:E31)</f>
        <v>0</v>
      </c>
      <c r="F12" s="330">
        <f>SUM(F13:F31)</f>
        <v>0</v>
      </c>
      <c r="G12" s="329">
        <f>SUM(C12:F12)</f>
        <v>0</v>
      </c>
      <c r="H12" s="74"/>
    </row>
    <row r="13" spans="1:8" hidden="1" x14ac:dyDescent="0.2">
      <c r="A13" s="331">
        <v>54101</v>
      </c>
      <c r="B13" s="332" t="s">
        <v>29</v>
      </c>
      <c r="C13" s="465">
        <v>0</v>
      </c>
      <c r="D13" s="466">
        <v>0</v>
      </c>
      <c r="E13" s="466">
        <v>0</v>
      </c>
      <c r="F13" s="467">
        <v>0</v>
      </c>
      <c r="G13" s="336">
        <f>SUM(C13:F13)</f>
        <v>0</v>
      </c>
      <c r="H13" s="74"/>
    </row>
    <row r="14" spans="1:8" hidden="1" x14ac:dyDescent="0.2">
      <c r="A14" s="331">
        <v>54103</v>
      </c>
      <c r="B14" s="332" t="s">
        <v>30</v>
      </c>
      <c r="C14" s="465">
        <v>0</v>
      </c>
      <c r="D14" s="466">
        <v>0</v>
      </c>
      <c r="E14" s="466">
        <v>0</v>
      </c>
      <c r="F14" s="467">
        <v>0</v>
      </c>
      <c r="G14" s="336">
        <f>+C14+F14</f>
        <v>0</v>
      </c>
      <c r="H14" s="74"/>
    </row>
    <row r="15" spans="1:8" hidden="1" x14ac:dyDescent="0.2">
      <c r="A15" s="331">
        <v>54104</v>
      </c>
      <c r="B15" s="332" t="s">
        <v>31</v>
      </c>
      <c r="C15" s="465">
        <v>0</v>
      </c>
      <c r="D15" s="466">
        <v>0</v>
      </c>
      <c r="E15" s="466">
        <v>0</v>
      </c>
      <c r="F15" s="467">
        <v>0</v>
      </c>
      <c r="G15" s="336">
        <f t="shared" ref="G15:G31" si="0">SUM(C15:F15)</f>
        <v>0</v>
      </c>
      <c r="H15" s="74"/>
    </row>
    <row r="16" spans="1:8" hidden="1" x14ac:dyDescent="0.2">
      <c r="A16" s="331">
        <v>54105</v>
      </c>
      <c r="B16" s="332" t="s">
        <v>32</v>
      </c>
      <c r="C16" s="465">
        <v>0</v>
      </c>
      <c r="D16" s="466">
        <v>0</v>
      </c>
      <c r="E16" s="466">
        <v>0</v>
      </c>
      <c r="F16" s="467">
        <v>0</v>
      </c>
      <c r="G16" s="336">
        <f t="shared" si="0"/>
        <v>0</v>
      </c>
      <c r="H16" s="74"/>
    </row>
    <row r="17" spans="1:8" hidden="1" x14ac:dyDescent="0.2">
      <c r="A17" s="331">
        <v>54106</v>
      </c>
      <c r="B17" s="332" t="s">
        <v>33</v>
      </c>
      <c r="C17" s="465">
        <v>0</v>
      </c>
      <c r="D17" s="466">
        <v>0</v>
      </c>
      <c r="E17" s="466">
        <v>0</v>
      </c>
      <c r="F17" s="467">
        <v>0</v>
      </c>
      <c r="G17" s="336">
        <f t="shared" si="0"/>
        <v>0</v>
      </c>
      <c r="H17" s="74"/>
    </row>
    <row r="18" spans="1:8" hidden="1" x14ac:dyDescent="0.2">
      <c r="A18" s="331">
        <v>54107</v>
      </c>
      <c r="B18" s="332" t="s">
        <v>34</v>
      </c>
      <c r="C18" s="465">
        <v>0</v>
      </c>
      <c r="D18" s="466">
        <v>0</v>
      </c>
      <c r="E18" s="466">
        <v>0</v>
      </c>
      <c r="F18" s="467">
        <v>0</v>
      </c>
      <c r="G18" s="336">
        <f t="shared" si="0"/>
        <v>0</v>
      </c>
      <c r="H18" s="74"/>
    </row>
    <row r="19" spans="1:8" hidden="1" x14ac:dyDescent="0.2">
      <c r="A19" s="331">
        <v>54108</v>
      </c>
      <c r="B19" s="332" t="s">
        <v>35</v>
      </c>
      <c r="C19" s="465">
        <v>0</v>
      </c>
      <c r="D19" s="466">
        <v>0</v>
      </c>
      <c r="E19" s="466">
        <v>0</v>
      </c>
      <c r="F19" s="467">
        <v>0</v>
      </c>
      <c r="G19" s="336">
        <f t="shared" si="0"/>
        <v>0</v>
      </c>
      <c r="H19" s="74"/>
    </row>
    <row r="20" spans="1:8" hidden="1" x14ac:dyDescent="0.2">
      <c r="A20" s="331">
        <v>54109</v>
      </c>
      <c r="B20" s="332" t="s">
        <v>36</v>
      </c>
      <c r="C20" s="465">
        <v>0</v>
      </c>
      <c r="D20" s="466">
        <v>0</v>
      </c>
      <c r="E20" s="466">
        <v>0</v>
      </c>
      <c r="F20" s="467">
        <v>0</v>
      </c>
      <c r="G20" s="336">
        <f t="shared" si="0"/>
        <v>0</v>
      </c>
      <c r="H20" s="74"/>
    </row>
    <row r="21" spans="1:8" hidden="1" x14ac:dyDescent="0.2">
      <c r="A21" s="331">
        <v>54110</v>
      </c>
      <c r="B21" s="332" t="s">
        <v>37</v>
      </c>
      <c r="C21" s="465">
        <v>0</v>
      </c>
      <c r="D21" s="466">
        <v>0</v>
      </c>
      <c r="E21" s="466">
        <v>0</v>
      </c>
      <c r="F21" s="467">
        <v>0</v>
      </c>
      <c r="G21" s="336">
        <f t="shared" si="0"/>
        <v>0</v>
      </c>
      <c r="H21" s="74"/>
    </row>
    <row r="22" spans="1:8" hidden="1" x14ac:dyDescent="0.2">
      <c r="A22" s="331">
        <v>54111</v>
      </c>
      <c r="B22" s="332" t="s">
        <v>38</v>
      </c>
      <c r="C22" s="465">
        <v>0</v>
      </c>
      <c r="D22" s="466">
        <v>0</v>
      </c>
      <c r="E22" s="466">
        <v>0</v>
      </c>
      <c r="F22" s="467">
        <v>0</v>
      </c>
      <c r="G22" s="336">
        <f t="shared" si="0"/>
        <v>0</v>
      </c>
      <c r="H22" s="74"/>
    </row>
    <row r="23" spans="1:8" hidden="1" x14ac:dyDescent="0.2">
      <c r="A23" s="331">
        <v>54112</v>
      </c>
      <c r="B23" s="332" t="s">
        <v>39</v>
      </c>
      <c r="C23" s="465">
        <v>0</v>
      </c>
      <c r="D23" s="466">
        <v>0</v>
      </c>
      <c r="E23" s="466">
        <v>0</v>
      </c>
      <c r="F23" s="467">
        <v>0</v>
      </c>
      <c r="G23" s="336">
        <f t="shared" si="0"/>
        <v>0</v>
      </c>
      <c r="H23" s="74"/>
    </row>
    <row r="24" spans="1:8" hidden="1" x14ac:dyDescent="0.2">
      <c r="A24" s="331">
        <v>54114</v>
      </c>
      <c r="B24" s="332" t="s">
        <v>40</v>
      </c>
      <c r="C24" s="465">
        <v>0</v>
      </c>
      <c r="D24" s="466">
        <v>0</v>
      </c>
      <c r="E24" s="466">
        <v>0</v>
      </c>
      <c r="F24" s="467">
        <v>0</v>
      </c>
      <c r="G24" s="336">
        <f t="shared" si="0"/>
        <v>0</v>
      </c>
      <c r="H24" s="74"/>
    </row>
    <row r="25" spans="1:8" hidden="1" x14ac:dyDescent="0.2">
      <c r="A25" s="331">
        <v>54115</v>
      </c>
      <c r="B25" s="332" t="s">
        <v>41</v>
      </c>
      <c r="C25" s="465">
        <v>0</v>
      </c>
      <c r="D25" s="466">
        <v>0</v>
      </c>
      <c r="E25" s="466">
        <v>0</v>
      </c>
      <c r="F25" s="467">
        <v>0</v>
      </c>
      <c r="G25" s="336">
        <f t="shared" si="0"/>
        <v>0</v>
      </c>
      <c r="H25" s="74"/>
    </row>
    <row r="26" spans="1:8" hidden="1" x14ac:dyDescent="0.2">
      <c r="A26" s="331">
        <v>54116</v>
      </c>
      <c r="B26" s="332" t="s">
        <v>42</v>
      </c>
      <c r="C26" s="465">
        <v>0</v>
      </c>
      <c r="D26" s="466">
        <v>0</v>
      </c>
      <c r="E26" s="466">
        <v>0</v>
      </c>
      <c r="F26" s="467">
        <v>0</v>
      </c>
      <c r="G26" s="336">
        <f t="shared" si="0"/>
        <v>0</v>
      </c>
      <c r="H26" s="74"/>
    </row>
    <row r="27" spans="1:8" hidden="1" x14ac:dyDescent="0.2">
      <c r="A27" s="331">
        <v>54117</v>
      </c>
      <c r="B27" s="332" t="s">
        <v>43</v>
      </c>
      <c r="C27" s="465">
        <v>0</v>
      </c>
      <c r="D27" s="466">
        <v>0</v>
      </c>
      <c r="E27" s="466">
        <v>0</v>
      </c>
      <c r="F27" s="467">
        <v>0</v>
      </c>
      <c r="G27" s="336">
        <f t="shared" si="0"/>
        <v>0</v>
      </c>
      <c r="H27" s="74"/>
    </row>
    <row r="28" spans="1:8" hidden="1" x14ac:dyDescent="0.2">
      <c r="A28" s="331">
        <v>54118</v>
      </c>
      <c r="B28" s="332" t="s">
        <v>44</v>
      </c>
      <c r="C28" s="465">
        <v>0</v>
      </c>
      <c r="D28" s="466">
        <v>0</v>
      </c>
      <c r="E28" s="466">
        <v>0</v>
      </c>
      <c r="F28" s="467">
        <v>0</v>
      </c>
      <c r="G28" s="336">
        <f t="shared" si="0"/>
        <v>0</v>
      </c>
      <c r="H28" s="74"/>
    </row>
    <row r="29" spans="1:8" hidden="1" x14ac:dyDescent="0.2">
      <c r="A29" s="331">
        <v>54119</v>
      </c>
      <c r="B29" s="332" t="s">
        <v>45</v>
      </c>
      <c r="C29" s="465">
        <v>0</v>
      </c>
      <c r="D29" s="466">
        <v>0</v>
      </c>
      <c r="E29" s="466">
        <v>0</v>
      </c>
      <c r="F29" s="467">
        <v>0</v>
      </c>
      <c r="G29" s="336">
        <f t="shared" si="0"/>
        <v>0</v>
      </c>
      <c r="H29" s="74"/>
    </row>
    <row r="30" spans="1:8" hidden="1" x14ac:dyDescent="0.2">
      <c r="A30" s="331">
        <v>54121</v>
      </c>
      <c r="B30" s="332" t="s">
        <v>46</v>
      </c>
      <c r="C30" s="465">
        <v>0</v>
      </c>
      <c r="D30" s="466">
        <v>0</v>
      </c>
      <c r="E30" s="466">
        <v>0</v>
      </c>
      <c r="F30" s="467">
        <v>0</v>
      </c>
      <c r="G30" s="336">
        <f t="shared" si="0"/>
        <v>0</v>
      </c>
      <c r="H30" s="74"/>
    </row>
    <row r="31" spans="1:8" hidden="1" x14ac:dyDescent="0.2">
      <c r="A31" s="331">
        <v>54199</v>
      </c>
      <c r="B31" s="332" t="s">
        <v>47</v>
      </c>
      <c r="C31" s="465">
        <v>0</v>
      </c>
      <c r="D31" s="466">
        <v>0</v>
      </c>
      <c r="E31" s="466">
        <v>0</v>
      </c>
      <c r="F31" s="467">
        <v>0</v>
      </c>
      <c r="G31" s="336">
        <f t="shared" si="0"/>
        <v>0</v>
      </c>
      <c r="H31" s="74"/>
    </row>
    <row r="32" spans="1:8" hidden="1" x14ac:dyDescent="0.2">
      <c r="A32" s="326">
        <v>542</v>
      </c>
      <c r="B32" s="327" t="s">
        <v>48</v>
      </c>
      <c r="C32" s="468">
        <f>SUM(C33:C37)</f>
        <v>0</v>
      </c>
      <c r="D32" s="469">
        <f>SUM(D33:D37)</f>
        <v>0</v>
      </c>
      <c r="E32" s="469">
        <f>SUM(E33:E37)</f>
        <v>0</v>
      </c>
      <c r="F32" s="470">
        <f>SUM(F33:F37)</f>
        <v>0</v>
      </c>
      <c r="G32" s="329">
        <f t="shared" ref="G32:G37" si="1">SUM(C32:F32)</f>
        <v>0</v>
      </c>
      <c r="H32" s="74"/>
    </row>
    <row r="33" spans="1:8" hidden="1" x14ac:dyDescent="0.2">
      <c r="A33" s="331">
        <v>54201</v>
      </c>
      <c r="B33" s="332" t="s">
        <v>49</v>
      </c>
      <c r="C33" s="465">
        <v>0</v>
      </c>
      <c r="D33" s="466">
        <v>0</v>
      </c>
      <c r="E33" s="466">
        <v>0</v>
      </c>
      <c r="F33" s="467">
        <v>0</v>
      </c>
      <c r="G33" s="336">
        <f t="shared" si="1"/>
        <v>0</v>
      </c>
      <c r="H33" s="320"/>
    </row>
    <row r="34" spans="1:8" hidden="1" x14ac:dyDescent="0.2">
      <c r="A34" s="331">
        <v>54202</v>
      </c>
      <c r="B34" s="332" t="s">
        <v>50</v>
      </c>
      <c r="C34" s="465">
        <v>0</v>
      </c>
      <c r="D34" s="466">
        <v>0</v>
      </c>
      <c r="E34" s="466">
        <v>0</v>
      </c>
      <c r="F34" s="467">
        <v>0</v>
      </c>
      <c r="G34" s="336">
        <f t="shared" si="1"/>
        <v>0</v>
      </c>
      <c r="H34" s="74"/>
    </row>
    <row r="35" spans="1:8" hidden="1" x14ac:dyDescent="0.2">
      <c r="A35" s="331">
        <v>54203</v>
      </c>
      <c r="B35" s="332" t="s">
        <v>51</v>
      </c>
      <c r="C35" s="465">
        <v>0</v>
      </c>
      <c r="D35" s="466">
        <v>0</v>
      </c>
      <c r="E35" s="466">
        <v>0</v>
      </c>
      <c r="F35" s="467">
        <v>0</v>
      </c>
      <c r="G35" s="336">
        <f t="shared" si="1"/>
        <v>0</v>
      </c>
      <c r="H35" s="74"/>
    </row>
    <row r="36" spans="1:8" ht="12.75" hidden="1" customHeight="1" x14ac:dyDescent="0.2">
      <c r="A36" s="331">
        <v>54204</v>
      </c>
      <c r="B36" s="332" t="s">
        <v>52</v>
      </c>
      <c r="C36" s="465">
        <v>0</v>
      </c>
      <c r="D36" s="466">
        <v>0</v>
      </c>
      <c r="E36" s="466">
        <v>0</v>
      </c>
      <c r="F36" s="467">
        <v>0</v>
      </c>
      <c r="G36" s="336">
        <f t="shared" si="1"/>
        <v>0</v>
      </c>
    </row>
    <row r="37" spans="1:8" hidden="1" x14ac:dyDescent="0.2">
      <c r="A37" s="331">
        <v>54205</v>
      </c>
      <c r="B37" s="332" t="s">
        <v>53</v>
      </c>
      <c r="C37" s="465">
        <v>0</v>
      </c>
      <c r="D37" s="466">
        <v>0</v>
      </c>
      <c r="E37" s="466">
        <v>0</v>
      </c>
      <c r="F37" s="467">
        <v>0</v>
      </c>
      <c r="G37" s="336">
        <f t="shared" si="1"/>
        <v>0</v>
      </c>
      <c r="H37" s="74"/>
    </row>
    <row r="38" spans="1:8" hidden="1" x14ac:dyDescent="0.2">
      <c r="A38" s="326">
        <v>543</v>
      </c>
      <c r="B38" s="327" t="s">
        <v>54</v>
      </c>
      <c r="C38" s="468">
        <f>SUM(C39:C53)</f>
        <v>0</v>
      </c>
      <c r="D38" s="469">
        <f>SUM(D39:D53)</f>
        <v>0</v>
      </c>
      <c r="E38" s="469">
        <f>SUM(E39:E53)</f>
        <v>0</v>
      </c>
      <c r="F38" s="470">
        <f>SUM(F39:F53)</f>
        <v>0</v>
      </c>
      <c r="G38" s="329">
        <f>SUM(G39:G53)</f>
        <v>0</v>
      </c>
      <c r="H38" s="74"/>
    </row>
    <row r="39" spans="1:8" hidden="1" x14ac:dyDescent="0.2">
      <c r="A39" s="331">
        <v>54301</v>
      </c>
      <c r="B39" s="332" t="s">
        <v>55</v>
      </c>
      <c r="C39" s="465">
        <v>0</v>
      </c>
      <c r="D39" s="466">
        <v>0</v>
      </c>
      <c r="E39" s="466">
        <v>0</v>
      </c>
      <c r="F39" s="467">
        <v>0</v>
      </c>
      <c r="G39" s="336">
        <f>SUM(C39:F39)</f>
        <v>0</v>
      </c>
      <c r="H39" s="74"/>
    </row>
    <row r="40" spans="1:8" hidden="1" x14ac:dyDescent="0.2">
      <c r="A40" s="331">
        <v>54302</v>
      </c>
      <c r="B40" s="332" t="s">
        <v>56</v>
      </c>
      <c r="C40" s="465">
        <v>0</v>
      </c>
      <c r="D40" s="466">
        <v>0</v>
      </c>
      <c r="E40" s="466">
        <v>0</v>
      </c>
      <c r="F40" s="467">
        <v>0</v>
      </c>
      <c r="G40" s="336">
        <f t="shared" ref="G40:G53" si="2">SUM(C40:F40)</f>
        <v>0</v>
      </c>
      <c r="H40" s="74"/>
    </row>
    <row r="41" spans="1:8" hidden="1" x14ac:dyDescent="0.2">
      <c r="A41" s="331">
        <v>54303</v>
      </c>
      <c r="B41" s="332" t="s">
        <v>57</v>
      </c>
      <c r="C41" s="465">
        <v>0</v>
      </c>
      <c r="D41" s="466">
        <v>0</v>
      </c>
      <c r="E41" s="466">
        <v>0</v>
      </c>
      <c r="F41" s="467">
        <v>0</v>
      </c>
      <c r="G41" s="336">
        <f t="shared" si="2"/>
        <v>0</v>
      </c>
      <c r="H41" s="74"/>
    </row>
    <row r="42" spans="1:8" hidden="1" x14ac:dyDescent="0.2">
      <c r="A42" s="331">
        <v>54304</v>
      </c>
      <c r="B42" s="332" t="s">
        <v>58</v>
      </c>
      <c r="C42" s="465">
        <v>0</v>
      </c>
      <c r="D42" s="466">
        <v>0</v>
      </c>
      <c r="E42" s="466">
        <v>0</v>
      </c>
      <c r="F42" s="467">
        <v>0</v>
      </c>
      <c r="G42" s="336">
        <f>SUM(C42:F42)</f>
        <v>0</v>
      </c>
      <c r="H42" s="74"/>
    </row>
    <row r="43" spans="1:8" hidden="1" x14ac:dyDescent="0.2">
      <c r="A43" s="331">
        <v>54305</v>
      </c>
      <c r="B43" s="332" t="s">
        <v>59</v>
      </c>
      <c r="C43" s="465">
        <v>0</v>
      </c>
      <c r="D43" s="466">
        <v>0</v>
      </c>
      <c r="E43" s="466">
        <v>0</v>
      </c>
      <c r="F43" s="467">
        <v>0</v>
      </c>
      <c r="G43" s="336">
        <f t="shared" si="2"/>
        <v>0</v>
      </c>
      <c r="H43" s="74"/>
    </row>
    <row r="44" spans="1:8" hidden="1" x14ac:dyDescent="0.2">
      <c r="A44" s="331">
        <v>54306</v>
      </c>
      <c r="B44" s="332" t="s">
        <v>60</v>
      </c>
      <c r="C44" s="465">
        <v>0</v>
      </c>
      <c r="D44" s="466">
        <v>0</v>
      </c>
      <c r="E44" s="466">
        <v>0</v>
      </c>
      <c r="F44" s="467">
        <v>0</v>
      </c>
      <c r="G44" s="336">
        <f t="shared" si="2"/>
        <v>0</v>
      </c>
      <c r="H44" s="74"/>
    </row>
    <row r="45" spans="1:8" hidden="1" x14ac:dyDescent="0.2">
      <c r="A45" s="331">
        <v>54307</v>
      </c>
      <c r="B45" s="332" t="s">
        <v>61</v>
      </c>
      <c r="C45" s="465">
        <v>0</v>
      </c>
      <c r="D45" s="466">
        <v>0</v>
      </c>
      <c r="E45" s="466">
        <v>0</v>
      </c>
      <c r="F45" s="467">
        <v>0</v>
      </c>
      <c r="G45" s="336">
        <f t="shared" si="2"/>
        <v>0</v>
      </c>
      <c r="H45" s="74"/>
    </row>
    <row r="46" spans="1:8" hidden="1" x14ac:dyDescent="0.2">
      <c r="A46" s="331">
        <v>54309</v>
      </c>
      <c r="B46" s="332" t="s">
        <v>62</v>
      </c>
      <c r="C46" s="465">
        <v>0</v>
      </c>
      <c r="D46" s="466">
        <v>0</v>
      </c>
      <c r="E46" s="466">
        <v>0</v>
      </c>
      <c r="F46" s="467">
        <v>0</v>
      </c>
      <c r="G46" s="336">
        <f t="shared" si="2"/>
        <v>0</v>
      </c>
      <c r="H46" s="74"/>
    </row>
    <row r="47" spans="1:8" hidden="1" x14ac:dyDescent="0.2">
      <c r="A47" s="331">
        <v>54310</v>
      </c>
      <c r="B47" s="332" t="s">
        <v>63</v>
      </c>
      <c r="C47" s="465">
        <v>0</v>
      </c>
      <c r="D47" s="466">
        <v>0</v>
      </c>
      <c r="E47" s="466">
        <v>0</v>
      </c>
      <c r="F47" s="467">
        <v>0</v>
      </c>
      <c r="G47" s="336">
        <f t="shared" si="2"/>
        <v>0</v>
      </c>
      <c r="H47" s="74"/>
    </row>
    <row r="48" spans="1:8" hidden="1" x14ac:dyDescent="0.2">
      <c r="A48" s="331">
        <v>54311</v>
      </c>
      <c r="B48" s="332" t="s">
        <v>64</v>
      </c>
      <c r="C48" s="465">
        <v>0</v>
      </c>
      <c r="D48" s="466">
        <v>0</v>
      </c>
      <c r="E48" s="466">
        <v>0</v>
      </c>
      <c r="F48" s="467">
        <v>0</v>
      </c>
      <c r="G48" s="336">
        <f t="shared" si="2"/>
        <v>0</v>
      </c>
      <c r="H48" s="74"/>
    </row>
    <row r="49" spans="1:8" hidden="1" x14ac:dyDescent="0.2">
      <c r="A49" s="331">
        <v>54313</v>
      </c>
      <c r="B49" s="332" t="s">
        <v>65</v>
      </c>
      <c r="C49" s="465">
        <v>0</v>
      </c>
      <c r="D49" s="466">
        <v>0</v>
      </c>
      <c r="E49" s="466">
        <v>0</v>
      </c>
      <c r="F49" s="467">
        <v>0</v>
      </c>
      <c r="G49" s="336">
        <f t="shared" si="2"/>
        <v>0</v>
      </c>
      <c r="H49" s="74"/>
    </row>
    <row r="50" spans="1:8" hidden="1" x14ac:dyDescent="0.2">
      <c r="A50" s="331">
        <v>54314</v>
      </c>
      <c r="B50" s="332" t="s">
        <v>66</v>
      </c>
      <c r="C50" s="465">
        <v>0</v>
      </c>
      <c r="D50" s="466">
        <v>0</v>
      </c>
      <c r="E50" s="466">
        <v>0</v>
      </c>
      <c r="F50" s="467">
        <v>0</v>
      </c>
      <c r="G50" s="336">
        <f t="shared" si="2"/>
        <v>0</v>
      </c>
      <c r="H50" s="74"/>
    </row>
    <row r="51" spans="1:8" hidden="1" x14ac:dyDescent="0.2">
      <c r="A51" s="331">
        <v>54316</v>
      </c>
      <c r="B51" s="332" t="s">
        <v>67</v>
      </c>
      <c r="C51" s="465">
        <v>0</v>
      </c>
      <c r="D51" s="466">
        <v>0</v>
      </c>
      <c r="E51" s="466">
        <v>0</v>
      </c>
      <c r="F51" s="467">
        <v>0</v>
      </c>
      <c r="G51" s="336">
        <f t="shared" si="2"/>
        <v>0</v>
      </c>
      <c r="H51" s="74"/>
    </row>
    <row r="52" spans="1:8" hidden="1" x14ac:dyDescent="0.2">
      <c r="A52" s="331">
        <v>54317</v>
      </c>
      <c r="B52" s="332" t="s">
        <v>68</v>
      </c>
      <c r="C52" s="465">
        <v>0</v>
      </c>
      <c r="D52" s="466">
        <v>0</v>
      </c>
      <c r="E52" s="466">
        <v>0</v>
      </c>
      <c r="F52" s="467">
        <v>0</v>
      </c>
      <c r="G52" s="336">
        <f t="shared" si="2"/>
        <v>0</v>
      </c>
      <c r="H52" s="74"/>
    </row>
    <row r="53" spans="1:8" hidden="1" x14ac:dyDescent="0.2">
      <c r="A53" s="331">
        <v>54399</v>
      </c>
      <c r="B53" s="332" t="s">
        <v>69</v>
      </c>
      <c r="C53" s="465">
        <v>0</v>
      </c>
      <c r="D53" s="466">
        <v>0</v>
      </c>
      <c r="E53" s="466">
        <v>0</v>
      </c>
      <c r="F53" s="467">
        <v>0</v>
      </c>
      <c r="G53" s="336">
        <f t="shared" si="2"/>
        <v>0</v>
      </c>
      <c r="H53" s="74"/>
    </row>
    <row r="54" spans="1:8" hidden="1" x14ac:dyDescent="0.2">
      <c r="A54" s="326">
        <v>544</v>
      </c>
      <c r="B54" s="327" t="s">
        <v>70</v>
      </c>
      <c r="C54" s="468">
        <f>SUM(C55:C58)</f>
        <v>0</v>
      </c>
      <c r="D54" s="469">
        <f>SUM(D55:D58)</f>
        <v>0</v>
      </c>
      <c r="E54" s="469">
        <f>SUM(E55:E58)</f>
        <v>0</v>
      </c>
      <c r="F54" s="470">
        <f>SUM(F55:F58)</f>
        <v>0</v>
      </c>
      <c r="G54" s="329">
        <f>SUM(G55:G58)</f>
        <v>0</v>
      </c>
      <c r="H54" s="74"/>
    </row>
    <row r="55" spans="1:8" hidden="1" x14ac:dyDescent="0.2">
      <c r="A55" s="331">
        <v>54401</v>
      </c>
      <c r="B55" s="332" t="s">
        <v>71</v>
      </c>
      <c r="C55" s="465">
        <v>0</v>
      </c>
      <c r="D55" s="466">
        <v>0</v>
      </c>
      <c r="E55" s="466">
        <v>0</v>
      </c>
      <c r="F55" s="467">
        <v>0</v>
      </c>
      <c r="G55" s="336">
        <f>SUM(C55:F55)</f>
        <v>0</v>
      </c>
      <c r="H55" s="74"/>
    </row>
    <row r="56" spans="1:8" hidden="1" x14ac:dyDescent="0.2">
      <c r="A56" s="331">
        <v>54402</v>
      </c>
      <c r="B56" s="332" t="s">
        <v>72</v>
      </c>
      <c r="C56" s="465">
        <v>0</v>
      </c>
      <c r="D56" s="466">
        <v>0</v>
      </c>
      <c r="E56" s="466">
        <v>0</v>
      </c>
      <c r="F56" s="467">
        <v>0</v>
      </c>
      <c r="G56" s="336">
        <f t="shared" ref="G56:G66" si="3">+C56+F56</f>
        <v>0</v>
      </c>
      <c r="H56" s="74"/>
    </row>
    <row r="57" spans="1:8" hidden="1" x14ac:dyDescent="0.2">
      <c r="A57" s="331">
        <v>54403</v>
      </c>
      <c r="B57" s="332" t="s">
        <v>73</v>
      </c>
      <c r="C57" s="465">
        <v>0</v>
      </c>
      <c r="D57" s="466">
        <v>0</v>
      </c>
      <c r="E57" s="466">
        <v>0</v>
      </c>
      <c r="F57" s="467">
        <v>0</v>
      </c>
      <c r="G57" s="336">
        <f>SUM(C57:F57)</f>
        <v>0</v>
      </c>
      <c r="H57" s="74"/>
    </row>
    <row r="58" spans="1:8" hidden="1" x14ac:dyDescent="0.2">
      <c r="A58" s="331">
        <v>54404</v>
      </c>
      <c r="B58" s="332" t="s">
        <v>74</v>
      </c>
      <c r="C58" s="532">
        <v>0</v>
      </c>
      <c r="D58" s="533">
        <v>0</v>
      </c>
      <c r="E58" s="533">
        <v>0</v>
      </c>
      <c r="F58" s="534">
        <v>0</v>
      </c>
      <c r="G58" s="533">
        <v>0</v>
      </c>
      <c r="H58" s="74"/>
    </row>
    <row r="59" spans="1:8" hidden="1" x14ac:dyDescent="0.2">
      <c r="A59" s="326">
        <v>545</v>
      </c>
      <c r="B59" s="327" t="s">
        <v>75</v>
      </c>
      <c r="C59" s="328">
        <f>+C61</f>
        <v>0</v>
      </c>
      <c r="D59" s="329">
        <v>0</v>
      </c>
      <c r="E59" s="329">
        <v>0</v>
      </c>
      <c r="F59" s="330">
        <v>0</v>
      </c>
      <c r="G59" s="329">
        <f>+G61</f>
        <v>0</v>
      </c>
      <c r="H59" s="74"/>
    </row>
    <row r="60" spans="1:8" hidden="1" x14ac:dyDescent="0.2">
      <c r="A60" s="331">
        <v>54501</v>
      </c>
      <c r="B60" s="332" t="s">
        <v>76</v>
      </c>
      <c r="C60" s="333"/>
      <c r="D60" s="334">
        <v>0</v>
      </c>
      <c r="E60" s="334">
        <v>0</v>
      </c>
      <c r="F60" s="335">
        <v>0</v>
      </c>
      <c r="G60" s="336">
        <f t="shared" si="3"/>
        <v>0</v>
      </c>
      <c r="H60" s="74"/>
    </row>
    <row r="61" spans="1:8" hidden="1" x14ac:dyDescent="0.2">
      <c r="A61" s="331">
        <v>54503</v>
      </c>
      <c r="B61" s="332" t="s">
        <v>77</v>
      </c>
      <c r="C61" s="333">
        <v>0</v>
      </c>
      <c r="D61" s="334">
        <v>0</v>
      </c>
      <c r="E61" s="334">
        <v>0</v>
      </c>
      <c r="F61" s="335">
        <v>0</v>
      </c>
      <c r="G61" s="336">
        <f t="shared" si="3"/>
        <v>0</v>
      </c>
      <c r="H61" s="74"/>
    </row>
    <row r="62" spans="1:8" hidden="1" x14ac:dyDescent="0.2">
      <c r="A62" s="331">
        <v>54504</v>
      </c>
      <c r="B62" s="332" t="s">
        <v>78</v>
      </c>
      <c r="C62" s="333"/>
      <c r="D62" s="334"/>
      <c r="E62" s="334"/>
      <c r="F62" s="335"/>
      <c r="G62" s="336">
        <f t="shared" si="3"/>
        <v>0</v>
      </c>
      <c r="H62" s="74"/>
    </row>
    <row r="63" spans="1:8" hidden="1" x14ac:dyDescent="0.2">
      <c r="A63" s="331">
        <v>54505</v>
      </c>
      <c r="B63" s="332" t="s">
        <v>79</v>
      </c>
      <c r="C63" s="333"/>
      <c r="D63" s="334"/>
      <c r="E63" s="334"/>
      <c r="F63" s="335"/>
      <c r="G63" s="336">
        <f t="shared" si="3"/>
        <v>0</v>
      </c>
      <c r="H63" s="74"/>
    </row>
    <row r="64" spans="1:8" hidden="1" x14ac:dyDescent="0.2">
      <c r="A64" s="331">
        <v>54507</v>
      </c>
      <c r="B64" s="332" t="s">
        <v>80</v>
      </c>
      <c r="C64" s="333"/>
      <c r="D64" s="334"/>
      <c r="E64" s="334"/>
      <c r="F64" s="335"/>
      <c r="G64" s="336">
        <f t="shared" si="3"/>
        <v>0</v>
      </c>
      <c r="H64" s="74"/>
    </row>
    <row r="65" spans="1:8" hidden="1" x14ac:dyDescent="0.2">
      <c r="A65" s="331">
        <v>54508</v>
      </c>
      <c r="B65" s="332" t="s">
        <v>81</v>
      </c>
      <c r="C65" s="333"/>
      <c r="D65" s="334"/>
      <c r="E65" s="334"/>
      <c r="F65" s="335"/>
      <c r="G65" s="336">
        <f t="shared" si="3"/>
        <v>0</v>
      </c>
      <c r="H65" s="74"/>
    </row>
    <row r="66" spans="1:8" hidden="1" x14ac:dyDescent="0.2">
      <c r="A66" s="331">
        <v>54599</v>
      </c>
      <c r="B66" s="332" t="s">
        <v>82</v>
      </c>
      <c r="C66" s="333"/>
      <c r="D66" s="334"/>
      <c r="E66" s="334"/>
      <c r="F66" s="335"/>
      <c r="G66" s="336">
        <f t="shared" si="3"/>
        <v>0</v>
      </c>
      <c r="H66" s="74"/>
    </row>
    <row r="67" spans="1:8" hidden="1" x14ac:dyDescent="0.2">
      <c r="A67" s="331"/>
      <c r="B67" s="332"/>
      <c r="C67" s="333"/>
      <c r="D67" s="334"/>
      <c r="E67" s="334"/>
      <c r="F67" s="335"/>
      <c r="G67" s="336"/>
      <c r="H67" s="74"/>
    </row>
    <row r="68" spans="1:8" hidden="1" x14ac:dyDescent="0.2">
      <c r="A68" s="326">
        <v>55</v>
      </c>
      <c r="B68" s="327" t="s">
        <v>83</v>
      </c>
      <c r="C68" s="328">
        <f>C73+C75</f>
        <v>0</v>
      </c>
      <c r="D68" s="329">
        <f t="shared" ref="D68:F68" si="4">D73+D75</f>
        <v>0</v>
      </c>
      <c r="E68" s="329">
        <f t="shared" si="4"/>
        <v>0</v>
      </c>
      <c r="F68" s="330">
        <f t="shared" si="4"/>
        <v>0</v>
      </c>
      <c r="G68" s="329">
        <f>F68+D68+C68</f>
        <v>0</v>
      </c>
      <c r="H68" s="128"/>
    </row>
    <row r="69" spans="1:8" hidden="1" x14ac:dyDescent="0.2">
      <c r="A69" s="326">
        <v>553</v>
      </c>
      <c r="B69" s="327" t="s">
        <v>84</v>
      </c>
      <c r="C69" s="333"/>
      <c r="D69" s="334"/>
      <c r="E69" s="334"/>
      <c r="F69" s="335"/>
      <c r="G69" s="329">
        <f>+C69+F69</f>
        <v>0</v>
      </c>
      <c r="H69" s="128"/>
    </row>
    <row r="70" spans="1:8" hidden="1" x14ac:dyDescent="0.2">
      <c r="A70" s="331">
        <v>55303</v>
      </c>
      <c r="B70" s="332" t="s">
        <v>85</v>
      </c>
      <c r="C70" s="333"/>
      <c r="D70" s="334"/>
      <c r="E70" s="334"/>
      <c r="F70" s="335"/>
      <c r="G70" s="336">
        <f>+C70+F70</f>
        <v>0</v>
      </c>
      <c r="H70" s="128"/>
    </row>
    <row r="71" spans="1:8" hidden="1" x14ac:dyDescent="0.2">
      <c r="A71" s="331">
        <v>55304</v>
      </c>
      <c r="B71" s="332" t="s">
        <v>86</v>
      </c>
      <c r="C71" s="333"/>
      <c r="D71" s="334"/>
      <c r="E71" s="334"/>
      <c r="F71" s="335"/>
      <c r="G71" s="336">
        <f>+C71+F71</f>
        <v>0</v>
      </c>
      <c r="H71" s="128"/>
    </row>
    <row r="72" spans="1:8" hidden="1" x14ac:dyDescent="0.2">
      <c r="A72" s="331">
        <v>55308</v>
      </c>
      <c r="B72" s="332" t="s">
        <v>87</v>
      </c>
      <c r="C72" s="333"/>
      <c r="D72" s="334"/>
      <c r="E72" s="334"/>
      <c r="F72" s="335"/>
      <c r="G72" s="336">
        <f>+C72+F72</f>
        <v>0</v>
      </c>
      <c r="H72" s="128"/>
    </row>
    <row r="73" spans="1:8" s="46" customFormat="1" hidden="1" x14ac:dyDescent="0.2">
      <c r="A73" s="326">
        <v>555</v>
      </c>
      <c r="B73" s="327" t="s">
        <v>438</v>
      </c>
      <c r="C73" s="328">
        <f>C74</f>
        <v>0</v>
      </c>
      <c r="D73" s="329">
        <f t="shared" ref="D73:F73" si="5">D74</f>
        <v>0</v>
      </c>
      <c r="E73" s="329">
        <f t="shared" si="5"/>
        <v>0</v>
      </c>
      <c r="F73" s="330">
        <f t="shared" si="5"/>
        <v>0</v>
      </c>
      <c r="G73" s="329">
        <f>G74</f>
        <v>0</v>
      </c>
      <c r="H73" s="139"/>
    </row>
    <row r="74" spans="1:8" hidden="1" x14ac:dyDescent="0.2">
      <c r="A74" s="331">
        <v>55508</v>
      </c>
      <c r="B74" s="337" t="s">
        <v>329</v>
      </c>
      <c r="C74" s="465">
        <v>0</v>
      </c>
      <c r="D74" s="466">
        <v>0</v>
      </c>
      <c r="E74" s="466">
        <v>0</v>
      </c>
      <c r="F74" s="467">
        <v>0</v>
      </c>
      <c r="G74" s="336">
        <f t="shared" ref="G74" si="6">+C74+F74</f>
        <v>0</v>
      </c>
      <c r="H74" s="128"/>
    </row>
    <row r="75" spans="1:8" hidden="1" x14ac:dyDescent="0.2">
      <c r="A75" s="326">
        <v>556</v>
      </c>
      <c r="B75" s="327" t="s">
        <v>88</v>
      </c>
      <c r="C75" s="468">
        <f>SUM(C76:C78)</f>
        <v>0</v>
      </c>
      <c r="D75" s="469">
        <f>SUM(D76:D78)</f>
        <v>0</v>
      </c>
      <c r="E75" s="469">
        <f t="shared" ref="E75:F75" si="7">SUM(E76:E78)</f>
        <v>0</v>
      </c>
      <c r="F75" s="471">
        <f t="shared" si="7"/>
        <v>0</v>
      </c>
      <c r="G75" s="329">
        <f>C75+D75+F75</f>
        <v>0</v>
      </c>
      <c r="H75" s="128"/>
    </row>
    <row r="76" spans="1:8" hidden="1" x14ac:dyDescent="0.2">
      <c r="A76" s="331">
        <v>55601</v>
      </c>
      <c r="B76" s="332" t="s">
        <v>89</v>
      </c>
      <c r="C76" s="465">
        <v>0</v>
      </c>
      <c r="D76" s="472">
        <v>0</v>
      </c>
      <c r="E76" s="466">
        <v>0</v>
      </c>
      <c r="F76" s="467">
        <v>0</v>
      </c>
      <c r="G76" s="336">
        <f t="shared" ref="G76:G77" si="8">SUM(C76:F76)</f>
        <v>0</v>
      </c>
      <c r="H76" s="128"/>
    </row>
    <row r="77" spans="1:8" hidden="1" x14ac:dyDescent="0.2">
      <c r="A77" s="331">
        <v>55602</v>
      </c>
      <c r="B77" s="332" t="s">
        <v>90</v>
      </c>
      <c r="C77" s="473">
        <v>0</v>
      </c>
      <c r="D77" s="466">
        <v>0</v>
      </c>
      <c r="E77" s="466">
        <v>0</v>
      </c>
      <c r="F77" s="467">
        <v>0</v>
      </c>
      <c r="G77" s="336">
        <f t="shared" si="8"/>
        <v>0</v>
      </c>
      <c r="H77" s="128"/>
    </row>
    <row r="78" spans="1:8" hidden="1" x14ac:dyDescent="0.2">
      <c r="A78" s="331">
        <v>55603</v>
      </c>
      <c r="B78" s="332" t="s">
        <v>91</v>
      </c>
      <c r="C78" s="465">
        <v>0</v>
      </c>
      <c r="D78" s="466">
        <v>0</v>
      </c>
      <c r="E78" s="466">
        <v>0</v>
      </c>
      <c r="F78" s="467">
        <v>0</v>
      </c>
      <c r="G78" s="336">
        <f>SUM(C78:F78)</f>
        <v>0</v>
      </c>
      <c r="H78" s="128"/>
    </row>
    <row r="79" spans="1:8" hidden="1" x14ac:dyDescent="0.2">
      <c r="A79" s="326">
        <v>557</v>
      </c>
      <c r="B79" s="327" t="s">
        <v>92</v>
      </c>
      <c r="C79" s="468"/>
      <c r="D79" s="469">
        <f>SUM(D80:D82)</f>
        <v>0</v>
      </c>
      <c r="E79" s="469"/>
      <c r="F79" s="470"/>
      <c r="G79" s="329">
        <f>+C79+D79+F79</f>
        <v>0</v>
      </c>
      <c r="H79" s="128"/>
    </row>
    <row r="80" spans="1:8" ht="13.5" hidden="1" thickBot="1" x14ac:dyDescent="0.25">
      <c r="A80" s="338">
        <v>55701</v>
      </c>
      <c r="B80" s="339" t="s">
        <v>93</v>
      </c>
      <c r="C80" s="474"/>
      <c r="D80" s="475"/>
      <c r="E80" s="475"/>
      <c r="F80" s="476"/>
      <c r="G80" s="340"/>
      <c r="H80" s="128"/>
    </row>
    <row r="81" spans="1:8" ht="12.75" hidden="1" customHeight="1" x14ac:dyDescent="0.2">
      <c r="A81" s="341">
        <v>55702</v>
      </c>
      <c r="B81" s="342" t="s">
        <v>94</v>
      </c>
      <c r="C81" s="477"/>
      <c r="D81" s="478"/>
      <c r="E81" s="478"/>
      <c r="F81" s="479"/>
      <c r="G81" s="343"/>
      <c r="H81" s="128"/>
    </row>
    <row r="82" spans="1:8" ht="12.75" hidden="1" customHeight="1" x14ac:dyDescent="0.2">
      <c r="A82" s="341">
        <v>55799</v>
      </c>
      <c r="B82" s="342" t="s">
        <v>95</v>
      </c>
      <c r="C82" s="477"/>
      <c r="D82" s="478"/>
      <c r="E82" s="478"/>
      <c r="F82" s="479"/>
      <c r="G82" s="343"/>
      <c r="H82" s="128"/>
    </row>
    <row r="83" spans="1:8" ht="12.75" hidden="1" customHeight="1" x14ac:dyDescent="0.2">
      <c r="A83" s="344"/>
      <c r="B83" s="345"/>
      <c r="C83" s="480"/>
      <c r="D83" s="481"/>
      <c r="E83" s="481"/>
      <c r="F83" s="482"/>
      <c r="G83" s="346"/>
      <c r="H83" s="128"/>
    </row>
    <row r="84" spans="1:8" ht="12.75" hidden="1" customHeight="1" x14ac:dyDescent="0.2">
      <c r="A84" s="331"/>
      <c r="B84" s="332"/>
      <c r="C84" s="465"/>
      <c r="D84" s="466"/>
      <c r="E84" s="466"/>
      <c r="F84" s="467"/>
      <c r="G84" s="336"/>
      <c r="H84" s="128"/>
    </row>
    <row r="85" spans="1:8" hidden="1" x14ac:dyDescent="0.2">
      <c r="A85" s="347">
        <v>56</v>
      </c>
      <c r="B85" s="348" t="s">
        <v>96</v>
      </c>
      <c r="C85" s="483">
        <f>C86+C89</f>
        <v>0</v>
      </c>
      <c r="D85" s="484">
        <f>D86+D89</f>
        <v>0</v>
      </c>
      <c r="E85" s="484"/>
      <c r="F85" s="485">
        <f>F86+F89</f>
        <v>0</v>
      </c>
      <c r="G85" s="349">
        <f>+C85+F85</f>
        <v>0</v>
      </c>
      <c r="H85" s="128"/>
    </row>
    <row r="86" spans="1:8" hidden="1" x14ac:dyDescent="0.2">
      <c r="A86" s="326">
        <v>562</v>
      </c>
      <c r="B86" s="327" t="s">
        <v>97</v>
      </c>
      <c r="C86" s="468">
        <f>C88</f>
        <v>0</v>
      </c>
      <c r="D86" s="469">
        <f>SUM(D87:D88)</f>
        <v>0</v>
      </c>
      <c r="E86" s="469"/>
      <c r="F86" s="470"/>
      <c r="G86" s="329">
        <f t="shared" ref="G86:G91" si="9">+C86+F86</f>
        <v>0</v>
      </c>
      <c r="H86" s="128"/>
    </row>
    <row r="87" spans="1:8" hidden="1" x14ac:dyDescent="0.2">
      <c r="A87" s="331">
        <v>56201</v>
      </c>
      <c r="B87" s="337" t="s">
        <v>440</v>
      </c>
      <c r="C87" s="465"/>
      <c r="D87" s="466"/>
      <c r="E87" s="466"/>
      <c r="F87" s="467"/>
      <c r="G87" s="336">
        <f t="shared" si="9"/>
        <v>0</v>
      </c>
      <c r="H87" s="128"/>
    </row>
    <row r="88" spans="1:8" hidden="1" x14ac:dyDescent="0.2">
      <c r="A88" s="331">
        <v>56201</v>
      </c>
      <c r="B88" s="337" t="s">
        <v>587</v>
      </c>
      <c r="C88" s="465">
        <v>0</v>
      </c>
      <c r="D88" s="466">
        <v>0</v>
      </c>
      <c r="E88" s="466">
        <v>0</v>
      </c>
      <c r="F88" s="467">
        <v>0</v>
      </c>
      <c r="G88" s="336">
        <f t="shared" si="9"/>
        <v>0</v>
      </c>
      <c r="H88" s="128"/>
    </row>
    <row r="89" spans="1:8" hidden="1" x14ac:dyDescent="0.2">
      <c r="A89" s="326">
        <v>563</v>
      </c>
      <c r="B89" s="327" t="s">
        <v>99</v>
      </c>
      <c r="C89" s="468">
        <f>SUM(C90:C91)</f>
        <v>0</v>
      </c>
      <c r="D89" s="469">
        <f>SUM(D90:D91)</f>
        <v>0</v>
      </c>
      <c r="E89" s="469">
        <f t="shared" ref="E89:F89" si="10">SUM(E90:E91)</f>
        <v>0</v>
      </c>
      <c r="F89" s="471">
        <f t="shared" si="10"/>
        <v>0</v>
      </c>
      <c r="G89" s="329">
        <f t="shared" si="9"/>
        <v>0</v>
      </c>
      <c r="H89" s="128"/>
    </row>
    <row r="90" spans="1:8" hidden="1" x14ac:dyDescent="0.2">
      <c r="A90" s="331">
        <v>56303</v>
      </c>
      <c r="B90" s="332" t="s">
        <v>98</v>
      </c>
      <c r="C90" s="465"/>
      <c r="D90" s="466"/>
      <c r="E90" s="466"/>
      <c r="F90" s="467"/>
      <c r="G90" s="336">
        <f t="shared" si="9"/>
        <v>0</v>
      </c>
      <c r="H90" s="128"/>
    </row>
    <row r="91" spans="1:8" hidden="1" x14ac:dyDescent="0.2">
      <c r="A91" s="331">
        <v>56304</v>
      </c>
      <c r="B91" s="332" t="s">
        <v>100</v>
      </c>
      <c r="C91" s="465">
        <v>0</v>
      </c>
      <c r="D91" s="466">
        <v>0</v>
      </c>
      <c r="E91" s="466">
        <v>0</v>
      </c>
      <c r="F91" s="467">
        <v>0</v>
      </c>
      <c r="G91" s="336">
        <f t="shared" si="9"/>
        <v>0</v>
      </c>
      <c r="H91" s="128"/>
    </row>
    <row r="92" spans="1:8" hidden="1" x14ac:dyDescent="0.2">
      <c r="A92" s="331"/>
      <c r="B92" s="332"/>
      <c r="C92" s="465"/>
      <c r="D92" s="466"/>
      <c r="E92" s="466"/>
      <c r="F92" s="467"/>
      <c r="G92" s="336"/>
      <c r="H92" s="128"/>
    </row>
    <row r="93" spans="1:8" s="46" customFormat="1" hidden="1" x14ac:dyDescent="0.2">
      <c r="A93" s="326">
        <v>72</v>
      </c>
      <c r="B93" s="327" t="s">
        <v>13</v>
      </c>
      <c r="C93" s="468">
        <f>C94</f>
        <v>0</v>
      </c>
      <c r="D93" s="469">
        <f t="shared" ref="D93:D94" si="11">D94</f>
        <v>0</v>
      </c>
      <c r="E93" s="469">
        <f t="shared" ref="E93:E94" si="12">E94</f>
        <v>0</v>
      </c>
      <c r="F93" s="486">
        <f t="shared" ref="F93:F94" si="13">F94</f>
        <v>0</v>
      </c>
      <c r="G93" s="329">
        <f t="shared" ref="G93:G94" si="14">G94</f>
        <v>0</v>
      </c>
      <c r="H93" s="129"/>
    </row>
    <row r="94" spans="1:8" s="46" customFormat="1" hidden="1" x14ac:dyDescent="0.2">
      <c r="A94" s="326">
        <v>721</v>
      </c>
      <c r="B94" s="327" t="s">
        <v>180</v>
      </c>
      <c r="C94" s="468">
        <f>C95</f>
        <v>0</v>
      </c>
      <c r="D94" s="469">
        <f t="shared" si="11"/>
        <v>0</v>
      </c>
      <c r="E94" s="469">
        <f t="shared" si="12"/>
        <v>0</v>
      </c>
      <c r="F94" s="486">
        <f t="shared" si="13"/>
        <v>0</v>
      </c>
      <c r="G94" s="329">
        <f t="shared" si="14"/>
        <v>0</v>
      </c>
      <c r="H94" s="129"/>
    </row>
    <row r="95" spans="1:8" ht="13.5" hidden="1" thickBot="1" x14ac:dyDescent="0.25">
      <c r="A95" s="331">
        <v>72101</v>
      </c>
      <c r="B95" s="332" t="s">
        <v>180</v>
      </c>
      <c r="C95" s="522">
        <v>0</v>
      </c>
      <c r="D95" s="466"/>
      <c r="E95" s="466"/>
      <c r="F95" s="487"/>
      <c r="G95" s="352">
        <f>C95+D95+E95+F95</f>
        <v>0</v>
      </c>
      <c r="H95" s="74"/>
    </row>
    <row r="96" spans="1:8" ht="13.5" hidden="1" thickBot="1" x14ac:dyDescent="0.25">
      <c r="A96" s="353" t="s">
        <v>160</v>
      </c>
      <c r="B96" s="354" t="s">
        <v>161</v>
      </c>
      <c r="C96" s="488">
        <f t="shared" ref="C96:G97" si="15">C97</f>
        <v>0</v>
      </c>
      <c r="D96" s="489">
        <f t="shared" si="15"/>
        <v>0</v>
      </c>
      <c r="E96" s="489">
        <f t="shared" si="15"/>
        <v>0</v>
      </c>
      <c r="F96" s="489">
        <f t="shared" si="15"/>
        <v>0</v>
      </c>
      <c r="G96" s="357">
        <f t="shared" si="15"/>
        <v>0</v>
      </c>
      <c r="H96" s="74"/>
    </row>
    <row r="97" spans="1:8" ht="13.5" hidden="1" thickBot="1" x14ac:dyDescent="0.25">
      <c r="A97" s="353" t="s">
        <v>245</v>
      </c>
      <c r="B97" s="354" t="s">
        <v>197</v>
      </c>
      <c r="C97" s="488">
        <f t="shared" si="15"/>
        <v>0</v>
      </c>
      <c r="D97" s="489">
        <f t="shared" si="15"/>
        <v>0</v>
      </c>
      <c r="E97" s="489">
        <f t="shared" si="15"/>
        <v>0</v>
      </c>
      <c r="F97" s="489">
        <f t="shared" si="15"/>
        <v>0</v>
      </c>
      <c r="G97" s="357">
        <f t="shared" si="15"/>
        <v>0</v>
      </c>
      <c r="H97" s="74"/>
    </row>
    <row r="98" spans="1:8" ht="13.5" hidden="1" thickBot="1" x14ac:dyDescent="0.25">
      <c r="A98" s="358" t="s">
        <v>246</v>
      </c>
      <c r="B98" s="807" t="s">
        <v>780</v>
      </c>
      <c r="C98" s="490"/>
      <c r="D98" s="491"/>
      <c r="E98" s="491"/>
      <c r="F98" s="491"/>
      <c r="G98" s="361">
        <f>+C98+F98</f>
        <v>0</v>
      </c>
      <c r="H98" s="74"/>
    </row>
    <row r="99" spans="1:8" ht="13.5" hidden="1" thickBot="1" x14ac:dyDescent="0.25">
      <c r="A99" s="362"/>
      <c r="B99" s="363" t="s">
        <v>25</v>
      </c>
      <c r="C99" s="492">
        <f>C11+C68+C85+C93</f>
        <v>0</v>
      </c>
      <c r="D99" s="492">
        <f>D11+D68+D85+D93</f>
        <v>0</v>
      </c>
      <c r="E99" s="492">
        <f t="shared" ref="E99:F99" si="16">E11+E68+E85+E93</f>
        <v>0</v>
      </c>
      <c r="F99" s="492">
        <f t="shared" si="16"/>
        <v>0</v>
      </c>
      <c r="G99" s="492">
        <f>G11+G68+G85+G93</f>
        <v>0</v>
      </c>
      <c r="H99" s="76"/>
    </row>
    <row r="100" spans="1:8" hidden="1" x14ac:dyDescent="0.2">
      <c r="G100" s="460"/>
    </row>
    <row r="101" spans="1:8" hidden="1" x14ac:dyDescent="0.2">
      <c r="G101" s="365">
        <f>+G99-G100</f>
        <v>0</v>
      </c>
    </row>
    <row r="102" spans="1:8" hidden="1" x14ac:dyDescent="0.2"/>
    <row r="103" spans="1:8" hidden="1" x14ac:dyDescent="0.2"/>
    <row r="104" spans="1:8" hidden="1" x14ac:dyDescent="0.2"/>
    <row r="105" spans="1:8" hidden="1" x14ac:dyDescent="0.2"/>
    <row r="106" spans="1:8" hidden="1" x14ac:dyDescent="0.2"/>
    <row r="107" spans="1:8" hidden="1" x14ac:dyDescent="0.2"/>
    <row r="108" spans="1:8" hidden="1" x14ac:dyDescent="0.2"/>
    <row r="109" spans="1:8" hidden="1" x14ac:dyDescent="0.2"/>
    <row r="110" spans="1:8" hidden="1" x14ac:dyDescent="0.2">
      <c r="A110" s="1466" t="s">
        <v>778</v>
      </c>
      <c r="B110" s="1466"/>
      <c r="C110" s="1466"/>
      <c r="D110" s="1466"/>
      <c r="E110" s="1466"/>
      <c r="F110" s="1466"/>
      <c r="G110" s="1466"/>
    </row>
    <row r="111" spans="1:8" hidden="1" x14ac:dyDescent="0.2">
      <c r="A111" s="1466" t="s">
        <v>101</v>
      </c>
      <c r="B111" s="1466"/>
      <c r="C111" s="1466"/>
      <c r="D111" s="1466"/>
      <c r="E111" s="1466"/>
      <c r="F111" s="1466"/>
      <c r="G111" s="1466"/>
    </row>
    <row r="112" spans="1:8" hidden="1" x14ac:dyDescent="0.2">
      <c r="A112" s="1466" t="s">
        <v>102</v>
      </c>
      <c r="B112" s="1466"/>
      <c r="C112" s="1466"/>
      <c r="D112" s="1466"/>
      <c r="E112" s="1466"/>
      <c r="F112" s="1466"/>
      <c r="G112" s="1466"/>
    </row>
    <row r="113" spans="1:8" hidden="1" x14ac:dyDescent="0.2">
      <c r="A113" s="1466" t="s">
        <v>413</v>
      </c>
      <c r="B113" s="1466"/>
      <c r="C113" s="1466"/>
      <c r="D113" s="1466"/>
      <c r="E113" s="1466"/>
      <c r="F113" s="1466"/>
      <c r="G113" s="1466"/>
    </row>
    <row r="114" spans="1:8" hidden="1" x14ac:dyDescent="0.2">
      <c r="A114" s="1466" t="s">
        <v>847</v>
      </c>
      <c r="B114" s="1466"/>
      <c r="C114" s="1466"/>
      <c r="D114" s="1466"/>
      <c r="E114" s="1466"/>
      <c r="F114" s="1466"/>
      <c r="G114" s="1466"/>
    </row>
    <row r="115" spans="1:8" ht="13.5" hidden="1" thickBot="1" x14ac:dyDescent="0.25">
      <c r="B115" s="319"/>
      <c r="H115" s="74"/>
    </row>
    <row r="116" spans="1:8" ht="13.5" hidden="1" thickBot="1" x14ac:dyDescent="0.25">
      <c r="A116" s="1475" t="s">
        <v>511</v>
      </c>
      <c r="B116" s="1475" t="s">
        <v>14</v>
      </c>
      <c r="C116" s="1478" t="s">
        <v>704</v>
      </c>
      <c r="D116" s="1479"/>
      <c r="E116" s="1479"/>
      <c r="F116" s="1479"/>
      <c r="G116" s="1480"/>
    </row>
    <row r="117" spans="1:8" ht="12.75" hidden="1" customHeight="1" x14ac:dyDescent="0.2">
      <c r="A117" s="1476"/>
      <c r="B117" s="1476"/>
      <c r="C117" s="1481" t="s">
        <v>779</v>
      </c>
      <c r="D117" s="1481" t="s">
        <v>453</v>
      </c>
      <c r="E117" s="1481" t="s">
        <v>105</v>
      </c>
      <c r="F117" s="1481" t="s">
        <v>184</v>
      </c>
      <c r="G117" s="1481" t="s">
        <v>4</v>
      </c>
    </row>
    <row r="118" spans="1:8" ht="39.75" hidden="1" customHeight="1" thickBot="1" x14ac:dyDescent="0.25">
      <c r="A118" s="1477"/>
      <c r="B118" s="1477"/>
      <c r="C118" s="1482"/>
      <c r="D118" s="1482"/>
      <c r="E118" s="1482"/>
      <c r="F118" s="1482"/>
      <c r="G118" s="1482"/>
    </row>
    <row r="119" spans="1:8" hidden="1" x14ac:dyDescent="0.2">
      <c r="A119" s="321">
        <v>54</v>
      </c>
      <c r="B119" s="322" t="s">
        <v>27</v>
      </c>
      <c r="C119" s="323">
        <f>C120+C140+C146+C162+C167</f>
        <v>0</v>
      </c>
      <c r="D119" s="324">
        <f>D120+D140+D146+D162</f>
        <v>0</v>
      </c>
      <c r="E119" s="324">
        <f>E120+E140+E146+E162</f>
        <v>0</v>
      </c>
      <c r="F119" s="325">
        <f>F120+F140+F146+F162</f>
        <v>0</v>
      </c>
      <c r="G119" s="324">
        <f>G120+G140+G146+G162+G167</f>
        <v>0</v>
      </c>
      <c r="H119" s="74"/>
    </row>
    <row r="120" spans="1:8" hidden="1" x14ac:dyDescent="0.2">
      <c r="A120" s="326">
        <v>541</v>
      </c>
      <c r="B120" s="327" t="s">
        <v>28</v>
      </c>
      <c r="C120" s="328">
        <f>SUM(C121:C139)</f>
        <v>0</v>
      </c>
      <c r="D120" s="329">
        <f>SUM(D121:D139)</f>
        <v>0</v>
      </c>
      <c r="E120" s="329">
        <f>SUM(E121:E139)</f>
        <v>0</v>
      </c>
      <c r="F120" s="330">
        <f>SUM(F121:F139)</f>
        <v>0</v>
      </c>
      <c r="G120" s="329">
        <f>SUM(C120:F120)</f>
        <v>0</v>
      </c>
      <c r="H120" s="74"/>
    </row>
    <row r="121" spans="1:8" hidden="1" x14ac:dyDescent="0.2">
      <c r="A121" s="331">
        <v>54101</v>
      </c>
      <c r="B121" s="332" t="s">
        <v>29</v>
      </c>
      <c r="C121" s="465">
        <v>0</v>
      </c>
      <c r="D121" s="466">
        <v>0</v>
      </c>
      <c r="E121" s="466">
        <v>0</v>
      </c>
      <c r="F121" s="467">
        <v>0</v>
      </c>
      <c r="G121" s="336">
        <f>SUM(C121:F121)</f>
        <v>0</v>
      </c>
      <c r="H121" s="74"/>
    </row>
    <row r="122" spans="1:8" hidden="1" x14ac:dyDescent="0.2">
      <c r="A122" s="331">
        <v>54103</v>
      </c>
      <c r="B122" s="332" t="s">
        <v>30</v>
      </c>
      <c r="C122" s="333">
        <v>0</v>
      </c>
      <c r="D122" s="334">
        <v>0</v>
      </c>
      <c r="E122" s="334">
        <v>0</v>
      </c>
      <c r="F122" s="335">
        <v>0</v>
      </c>
      <c r="G122" s="336">
        <f>+C122+F122</f>
        <v>0</v>
      </c>
      <c r="H122" s="74"/>
    </row>
    <row r="123" spans="1:8" hidden="1" x14ac:dyDescent="0.2">
      <c r="A123" s="331">
        <v>54104</v>
      </c>
      <c r="B123" s="332" t="s">
        <v>31</v>
      </c>
      <c r="C123" s="333">
        <v>0</v>
      </c>
      <c r="D123" s="334">
        <v>0</v>
      </c>
      <c r="E123" s="334">
        <v>0</v>
      </c>
      <c r="F123" s="335">
        <v>0</v>
      </c>
      <c r="G123" s="336">
        <f t="shared" ref="G123:G145" si="17">SUM(C123:F123)</f>
        <v>0</v>
      </c>
      <c r="H123" s="74"/>
    </row>
    <row r="124" spans="1:8" hidden="1" x14ac:dyDescent="0.2">
      <c r="A124" s="331">
        <v>54105</v>
      </c>
      <c r="B124" s="332" t="s">
        <v>32</v>
      </c>
      <c r="C124" s="333">
        <v>0</v>
      </c>
      <c r="D124" s="334">
        <v>0</v>
      </c>
      <c r="E124" s="334">
        <v>0</v>
      </c>
      <c r="F124" s="335">
        <v>0</v>
      </c>
      <c r="G124" s="336">
        <f>SUM(C124:F124)</f>
        <v>0</v>
      </c>
      <c r="H124" s="74"/>
    </row>
    <row r="125" spans="1:8" hidden="1" x14ac:dyDescent="0.2">
      <c r="A125" s="331">
        <v>54106</v>
      </c>
      <c r="B125" s="332" t="s">
        <v>33</v>
      </c>
      <c r="C125" s="333">
        <v>0</v>
      </c>
      <c r="D125" s="334">
        <v>0</v>
      </c>
      <c r="E125" s="334">
        <v>0</v>
      </c>
      <c r="F125" s="335">
        <v>0</v>
      </c>
      <c r="G125" s="336">
        <f t="shared" si="17"/>
        <v>0</v>
      </c>
      <c r="H125" s="74"/>
    </row>
    <row r="126" spans="1:8" hidden="1" x14ac:dyDescent="0.2">
      <c r="A126" s="331">
        <v>54107</v>
      </c>
      <c r="B126" s="332" t="s">
        <v>34</v>
      </c>
      <c r="C126" s="333">
        <v>0</v>
      </c>
      <c r="D126" s="334">
        <v>0</v>
      </c>
      <c r="E126" s="334">
        <v>0</v>
      </c>
      <c r="F126" s="335">
        <v>0</v>
      </c>
      <c r="G126" s="336">
        <f t="shared" si="17"/>
        <v>0</v>
      </c>
      <c r="H126" s="74"/>
    </row>
    <row r="127" spans="1:8" hidden="1" x14ac:dyDescent="0.2">
      <c r="A127" s="331">
        <v>54108</v>
      </c>
      <c r="B127" s="332" t="s">
        <v>35</v>
      </c>
      <c r="C127" s="333">
        <v>0</v>
      </c>
      <c r="D127" s="334">
        <v>0</v>
      </c>
      <c r="E127" s="334">
        <v>0</v>
      </c>
      <c r="F127" s="335">
        <v>0</v>
      </c>
      <c r="G127" s="336">
        <f t="shared" si="17"/>
        <v>0</v>
      </c>
      <c r="H127" s="74"/>
    </row>
    <row r="128" spans="1:8" hidden="1" x14ac:dyDescent="0.2">
      <c r="A128" s="331">
        <v>54109</v>
      </c>
      <c r="B128" s="332" t="s">
        <v>36</v>
      </c>
      <c r="C128" s="333">
        <v>0</v>
      </c>
      <c r="D128" s="334">
        <v>0</v>
      </c>
      <c r="E128" s="334">
        <v>0</v>
      </c>
      <c r="F128" s="335">
        <v>0</v>
      </c>
      <c r="G128" s="336">
        <f t="shared" si="17"/>
        <v>0</v>
      </c>
      <c r="H128" s="74"/>
    </row>
    <row r="129" spans="1:8" hidden="1" x14ac:dyDescent="0.2">
      <c r="A129" s="331">
        <v>54110</v>
      </c>
      <c r="B129" s="332" t="s">
        <v>37</v>
      </c>
      <c r="C129" s="333">
        <v>0</v>
      </c>
      <c r="D129" s="334">
        <v>0</v>
      </c>
      <c r="E129" s="334">
        <v>0</v>
      </c>
      <c r="F129" s="335">
        <v>0</v>
      </c>
      <c r="G129" s="336">
        <f t="shared" si="17"/>
        <v>0</v>
      </c>
      <c r="H129" s="74"/>
    </row>
    <row r="130" spans="1:8" hidden="1" x14ac:dyDescent="0.2">
      <c r="A130" s="331">
        <v>54111</v>
      </c>
      <c r="B130" s="332" t="s">
        <v>38</v>
      </c>
      <c r="C130" s="333">
        <v>0</v>
      </c>
      <c r="D130" s="334">
        <v>0</v>
      </c>
      <c r="E130" s="334">
        <v>0</v>
      </c>
      <c r="F130" s="335">
        <v>0</v>
      </c>
      <c r="G130" s="336">
        <f t="shared" si="17"/>
        <v>0</v>
      </c>
      <c r="H130" s="74"/>
    </row>
    <row r="131" spans="1:8" hidden="1" x14ac:dyDescent="0.2">
      <c r="A131" s="331">
        <v>54112</v>
      </c>
      <c r="B131" s="332" t="s">
        <v>39</v>
      </c>
      <c r="C131" s="333">
        <v>0</v>
      </c>
      <c r="D131" s="334">
        <v>0</v>
      </c>
      <c r="E131" s="334">
        <v>0</v>
      </c>
      <c r="F131" s="335">
        <v>0</v>
      </c>
      <c r="G131" s="336">
        <f t="shared" si="17"/>
        <v>0</v>
      </c>
      <c r="H131" s="74"/>
    </row>
    <row r="132" spans="1:8" hidden="1" x14ac:dyDescent="0.2">
      <c r="A132" s="331">
        <v>54114</v>
      </c>
      <c r="B132" s="332" t="s">
        <v>40</v>
      </c>
      <c r="C132" s="333">
        <v>0</v>
      </c>
      <c r="D132" s="334">
        <v>0</v>
      </c>
      <c r="E132" s="334">
        <v>0</v>
      </c>
      <c r="F132" s="335">
        <v>0</v>
      </c>
      <c r="G132" s="336">
        <f t="shared" si="17"/>
        <v>0</v>
      </c>
      <c r="H132" s="74"/>
    </row>
    <row r="133" spans="1:8" hidden="1" x14ac:dyDescent="0.2">
      <c r="A133" s="331">
        <v>54115</v>
      </c>
      <c r="B133" s="332" t="s">
        <v>41</v>
      </c>
      <c r="C133" s="333">
        <v>0</v>
      </c>
      <c r="D133" s="334">
        <v>0</v>
      </c>
      <c r="E133" s="334">
        <v>0</v>
      </c>
      <c r="F133" s="335">
        <v>0</v>
      </c>
      <c r="G133" s="336">
        <f t="shared" si="17"/>
        <v>0</v>
      </c>
      <c r="H133" s="74"/>
    </row>
    <row r="134" spans="1:8" hidden="1" x14ac:dyDescent="0.2">
      <c r="A134" s="331">
        <v>54116</v>
      </c>
      <c r="B134" s="332" t="s">
        <v>42</v>
      </c>
      <c r="C134" s="333">
        <v>0</v>
      </c>
      <c r="D134" s="334">
        <v>0</v>
      </c>
      <c r="E134" s="334">
        <v>0</v>
      </c>
      <c r="F134" s="335">
        <v>0</v>
      </c>
      <c r="G134" s="336">
        <f t="shared" si="17"/>
        <v>0</v>
      </c>
      <c r="H134" s="74"/>
    </row>
    <row r="135" spans="1:8" hidden="1" x14ac:dyDescent="0.2">
      <c r="A135" s="331">
        <v>54117</v>
      </c>
      <c r="B135" s="332" t="s">
        <v>43</v>
      </c>
      <c r="C135" s="333">
        <v>0</v>
      </c>
      <c r="D135" s="334">
        <v>0</v>
      </c>
      <c r="E135" s="334">
        <v>0</v>
      </c>
      <c r="F135" s="335">
        <v>0</v>
      </c>
      <c r="G135" s="336">
        <f t="shared" si="17"/>
        <v>0</v>
      </c>
      <c r="H135" s="74"/>
    </row>
    <row r="136" spans="1:8" hidden="1" x14ac:dyDescent="0.2">
      <c r="A136" s="331">
        <v>54118</v>
      </c>
      <c r="B136" s="332" t="s">
        <v>44</v>
      </c>
      <c r="C136" s="333">
        <v>0</v>
      </c>
      <c r="D136" s="334">
        <v>0</v>
      </c>
      <c r="E136" s="334">
        <v>0</v>
      </c>
      <c r="F136" s="335">
        <v>0</v>
      </c>
      <c r="G136" s="336">
        <f t="shared" si="17"/>
        <v>0</v>
      </c>
      <c r="H136" s="74"/>
    </row>
    <row r="137" spans="1:8" hidden="1" x14ac:dyDescent="0.2">
      <c r="A137" s="331">
        <v>54119</v>
      </c>
      <c r="B137" s="332" t="s">
        <v>45</v>
      </c>
      <c r="C137" s="333">
        <v>0</v>
      </c>
      <c r="D137" s="334">
        <v>0</v>
      </c>
      <c r="E137" s="334">
        <v>0</v>
      </c>
      <c r="F137" s="335">
        <v>0</v>
      </c>
      <c r="G137" s="336">
        <f t="shared" si="17"/>
        <v>0</v>
      </c>
      <c r="H137" s="74"/>
    </row>
    <row r="138" spans="1:8" hidden="1" x14ac:dyDescent="0.2">
      <c r="A138" s="331">
        <v>54121</v>
      </c>
      <c r="B138" s="332" t="s">
        <v>46</v>
      </c>
      <c r="C138" s="333">
        <v>0</v>
      </c>
      <c r="D138" s="334">
        <v>0</v>
      </c>
      <c r="E138" s="334">
        <v>0</v>
      </c>
      <c r="F138" s="335">
        <v>0</v>
      </c>
      <c r="G138" s="336">
        <f t="shared" si="17"/>
        <v>0</v>
      </c>
      <c r="H138" s="74"/>
    </row>
    <row r="139" spans="1:8" hidden="1" x14ac:dyDescent="0.2">
      <c r="A139" s="331">
        <v>54199</v>
      </c>
      <c r="B139" s="332" t="s">
        <v>47</v>
      </c>
      <c r="C139" s="333">
        <v>0</v>
      </c>
      <c r="D139" s="334">
        <v>0</v>
      </c>
      <c r="E139" s="334">
        <v>0</v>
      </c>
      <c r="F139" s="335">
        <v>0</v>
      </c>
      <c r="G139" s="336">
        <f t="shared" si="17"/>
        <v>0</v>
      </c>
      <c r="H139" s="74"/>
    </row>
    <row r="140" spans="1:8" hidden="1" x14ac:dyDescent="0.2">
      <c r="A140" s="326">
        <v>542</v>
      </c>
      <c r="B140" s="327" t="s">
        <v>48</v>
      </c>
      <c r="C140" s="328">
        <f>SUM(C141:C145)</f>
        <v>0</v>
      </c>
      <c r="D140" s="329">
        <f>SUM(D141:D145)</f>
        <v>0</v>
      </c>
      <c r="E140" s="329">
        <f>SUM(E141:E145)</f>
        <v>0</v>
      </c>
      <c r="F140" s="330">
        <f>SUM(F141:F145)</f>
        <v>0</v>
      </c>
      <c r="G140" s="329">
        <f t="shared" si="17"/>
        <v>0</v>
      </c>
      <c r="H140" s="74"/>
    </row>
    <row r="141" spans="1:8" hidden="1" x14ac:dyDescent="0.2">
      <c r="A141" s="331">
        <v>54201</v>
      </c>
      <c r="B141" s="332" t="s">
        <v>49</v>
      </c>
      <c r="C141" s="333">
        <v>0</v>
      </c>
      <c r="D141" s="334">
        <v>0</v>
      </c>
      <c r="E141" s="334">
        <v>0</v>
      </c>
      <c r="F141" s="335">
        <v>0</v>
      </c>
      <c r="G141" s="336">
        <f t="shared" si="17"/>
        <v>0</v>
      </c>
      <c r="H141" s="320"/>
    </row>
    <row r="142" spans="1:8" hidden="1" x14ac:dyDescent="0.2">
      <c r="A142" s="331">
        <v>54202</v>
      </c>
      <c r="B142" s="332" t="s">
        <v>50</v>
      </c>
      <c r="C142" s="333">
        <v>0</v>
      </c>
      <c r="D142" s="334">
        <v>0</v>
      </c>
      <c r="E142" s="334">
        <v>0</v>
      </c>
      <c r="F142" s="335">
        <v>0</v>
      </c>
      <c r="G142" s="336">
        <f t="shared" si="17"/>
        <v>0</v>
      </c>
      <c r="H142" s="74"/>
    </row>
    <row r="143" spans="1:8" hidden="1" x14ac:dyDescent="0.2">
      <c r="A143" s="331">
        <v>54203</v>
      </c>
      <c r="B143" s="332" t="s">
        <v>51</v>
      </c>
      <c r="C143" s="333">
        <v>0</v>
      </c>
      <c r="D143" s="334">
        <v>0</v>
      </c>
      <c r="E143" s="334">
        <v>0</v>
      </c>
      <c r="F143" s="335">
        <v>0</v>
      </c>
      <c r="G143" s="336">
        <f t="shared" si="17"/>
        <v>0</v>
      </c>
      <c r="H143" s="74"/>
    </row>
    <row r="144" spans="1:8" ht="12.75" hidden="1" customHeight="1" x14ac:dyDescent="0.2">
      <c r="A144" s="331">
        <v>54204</v>
      </c>
      <c r="B144" s="332" t="s">
        <v>52</v>
      </c>
      <c r="C144" s="333">
        <v>0</v>
      </c>
      <c r="D144" s="334">
        <v>0</v>
      </c>
      <c r="E144" s="334">
        <v>0</v>
      </c>
      <c r="F144" s="335">
        <v>0</v>
      </c>
      <c r="G144" s="336">
        <f t="shared" si="17"/>
        <v>0</v>
      </c>
    </row>
    <row r="145" spans="1:8" hidden="1" x14ac:dyDescent="0.2">
      <c r="A145" s="331">
        <v>54205</v>
      </c>
      <c r="B145" s="332" t="s">
        <v>53</v>
      </c>
      <c r="C145" s="333">
        <v>0</v>
      </c>
      <c r="D145" s="334">
        <v>0</v>
      </c>
      <c r="E145" s="334">
        <v>0</v>
      </c>
      <c r="F145" s="335">
        <v>0</v>
      </c>
      <c r="G145" s="336">
        <f t="shared" si="17"/>
        <v>0</v>
      </c>
      <c r="H145" s="74"/>
    </row>
    <row r="146" spans="1:8" hidden="1" x14ac:dyDescent="0.2">
      <c r="A146" s="326">
        <v>543</v>
      </c>
      <c r="B146" s="327" t="s">
        <v>54</v>
      </c>
      <c r="C146" s="328">
        <f>SUM(C147:C161)</f>
        <v>0</v>
      </c>
      <c r="D146" s="329">
        <f>SUM(D147:D161)</f>
        <v>0</v>
      </c>
      <c r="E146" s="329">
        <f>SUM(E147:E161)</f>
        <v>0</v>
      </c>
      <c r="F146" s="330">
        <f>SUM(F147:F161)</f>
        <v>0</v>
      </c>
      <c r="G146" s="329">
        <f>SUM(G147:G161)</f>
        <v>0</v>
      </c>
      <c r="H146" s="74"/>
    </row>
    <row r="147" spans="1:8" hidden="1" x14ac:dyDescent="0.2">
      <c r="A147" s="331">
        <v>54301</v>
      </c>
      <c r="B147" s="332" t="s">
        <v>55</v>
      </c>
      <c r="C147" s="333">
        <v>0</v>
      </c>
      <c r="D147" s="334">
        <v>0</v>
      </c>
      <c r="E147" s="334">
        <v>0</v>
      </c>
      <c r="F147" s="335">
        <v>0</v>
      </c>
      <c r="G147" s="336">
        <f>SUM(C147:F147)</f>
        <v>0</v>
      </c>
      <c r="H147" s="74"/>
    </row>
    <row r="148" spans="1:8" hidden="1" x14ac:dyDescent="0.2">
      <c r="A148" s="331">
        <v>54302</v>
      </c>
      <c r="B148" s="332" t="s">
        <v>56</v>
      </c>
      <c r="C148" s="333">
        <v>0</v>
      </c>
      <c r="D148" s="334">
        <v>0</v>
      </c>
      <c r="E148" s="334">
        <v>0</v>
      </c>
      <c r="F148" s="335">
        <v>0</v>
      </c>
      <c r="G148" s="336">
        <f t="shared" ref="G148:G149" si="18">SUM(C148:F148)</f>
        <v>0</v>
      </c>
      <c r="H148" s="74"/>
    </row>
    <row r="149" spans="1:8" hidden="1" x14ac:dyDescent="0.2">
      <c r="A149" s="331">
        <v>54303</v>
      </c>
      <c r="B149" s="332" t="s">
        <v>57</v>
      </c>
      <c r="C149" s="333">
        <v>0</v>
      </c>
      <c r="D149" s="334">
        <v>0</v>
      </c>
      <c r="E149" s="334">
        <v>0</v>
      </c>
      <c r="F149" s="335">
        <v>0</v>
      </c>
      <c r="G149" s="336">
        <f t="shared" si="18"/>
        <v>0</v>
      </c>
      <c r="H149" s="74"/>
    </row>
    <row r="150" spans="1:8" hidden="1" x14ac:dyDescent="0.2">
      <c r="A150" s="331">
        <v>54304</v>
      </c>
      <c r="B150" s="332" t="s">
        <v>58</v>
      </c>
      <c r="C150" s="333">
        <v>0</v>
      </c>
      <c r="D150" s="334">
        <v>0</v>
      </c>
      <c r="E150" s="334">
        <v>0</v>
      </c>
      <c r="F150" s="335">
        <v>0</v>
      </c>
      <c r="G150" s="336">
        <f>SUM(C150:F150)</f>
        <v>0</v>
      </c>
      <c r="H150" s="74"/>
    </row>
    <row r="151" spans="1:8" hidden="1" x14ac:dyDescent="0.2">
      <c r="A151" s="331">
        <v>54305</v>
      </c>
      <c r="B151" s="332" t="s">
        <v>59</v>
      </c>
      <c r="C151" s="465">
        <v>0</v>
      </c>
      <c r="D151" s="466">
        <v>0</v>
      </c>
      <c r="E151" s="466">
        <v>0</v>
      </c>
      <c r="F151" s="467">
        <v>0</v>
      </c>
      <c r="G151" s="336">
        <f t="shared" ref="G151:G161" si="19">SUM(C151:F151)</f>
        <v>0</v>
      </c>
      <c r="H151" s="74"/>
    </row>
    <row r="152" spans="1:8" hidden="1" x14ac:dyDescent="0.2">
      <c r="A152" s="331">
        <v>54306</v>
      </c>
      <c r="B152" s="332" t="s">
        <v>60</v>
      </c>
      <c r="C152" s="465">
        <v>0</v>
      </c>
      <c r="D152" s="466">
        <v>0</v>
      </c>
      <c r="E152" s="466">
        <v>0</v>
      </c>
      <c r="F152" s="467">
        <v>0</v>
      </c>
      <c r="G152" s="336">
        <f t="shared" si="19"/>
        <v>0</v>
      </c>
      <c r="H152" s="74"/>
    </row>
    <row r="153" spans="1:8" hidden="1" x14ac:dyDescent="0.2">
      <c r="A153" s="331">
        <v>54307</v>
      </c>
      <c r="B153" s="332" t="s">
        <v>61</v>
      </c>
      <c r="C153" s="465">
        <v>0</v>
      </c>
      <c r="D153" s="466">
        <v>0</v>
      </c>
      <c r="E153" s="466">
        <v>0</v>
      </c>
      <c r="F153" s="467">
        <v>0</v>
      </c>
      <c r="G153" s="336">
        <f t="shared" si="19"/>
        <v>0</v>
      </c>
      <c r="H153" s="74"/>
    </row>
    <row r="154" spans="1:8" hidden="1" x14ac:dyDescent="0.2">
      <c r="A154" s="331">
        <v>54309</v>
      </c>
      <c r="B154" s="332" t="s">
        <v>62</v>
      </c>
      <c r="C154" s="465">
        <v>0</v>
      </c>
      <c r="D154" s="466">
        <v>0</v>
      </c>
      <c r="E154" s="466">
        <v>0</v>
      </c>
      <c r="F154" s="467">
        <v>0</v>
      </c>
      <c r="G154" s="336">
        <f t="shared" si="19"/>
        <v>0</v>
      </c>
      <c r="H154" s="74"/>
    </row>
    <row r="155" spans="1:8" hidden="1" x14ac:dyDescent="0.2">
      <c r="A155" s="331">
        <v>54310</v>
      </c>
      <c r="B155" s="332" t="s">
        <v>63</v>
      </c>
      <c r="C155" s="465">
        <v>0</v>
      </c>
      <c r="D155" s="466">
        <v>0</v>
      </c>
      <c r="E155" s="466">
        <v>0</v>
      </c>
      <c r="F155" s="467">
        <v>0</v>
      </c>
      <c r="G155" s="336">
        <f t="shared" si="19"/>
        <v>0</v>
      </c>
      <c r="H155" s="74"/>
    </row>
    <row r="156" spans="1:8" hidden="1" x14ac:dyDescent="0.2">
      <c r="A156" s="331">
        <v>54311</v>
      </c>
      <c r="B156" s="332" t="s">
        <v>64</v>
      </c>
      <c r="C156" s="465">
        <v>0</v>
      </c>
      <c r="D156" s="466">
        <v>0</v>
      </c>
      <c r="E156" s="466">
        <v>0</v>
      </c>
      <c r="F156" s="467">
        <v>0</v>
      </c>
      <c r="G156" s="336">
        <f t="shared" si="19"/>
        <v>0</v>
      </c>
      <c r="H156" s="74"/>
    </row>
    <row r="157" spans="1:8" hidden="1" x14ac:dyDescent="0.2">
      <c r="A157" s="331">
        <v>54313</v>
      </c>
      <c r="B157" s="332" t="s">
        <v>65</v>
      </c>
      <c r="C157" s="465">
        <v>0</v>
      </c>
      <c r="D157" s="466">
        <v>0</v>
      </c>
      <c r="E157" s="466">
        <v>0</v>
      </c>
      <c r="F157" s="467">
        <v>0</v>
      </c>
      <c r="G157" s="336">
        <f t="shared" si="19"/>
        <v>0</v>
      </c>
      <c r="H157" s="74"/>
    </row>
    <row r="158" spans="1:8" hidden="1" x14ac:dyDescent="0.2">
      <c r="A158" s="331">
        <v>54314</v>
      </c>
      <c r="B158" s="332" t="s">
        <v>66</v>
      </c>
      <c r="C158" s="465">
        <v>0</v>
      </c>
      <c r="D158" s="466">
        <v>0</v>
      </c>
      <c r="E158" s="466">
        <v>0</v>
      </c>
      <c r="F158" s="467">
        <v>0</v>
      </c>
      <c r="G158" s="336">
        <f t="shared" si="19"/>
        <v>0</v>
      </c>
      <c r="H158" s="74"/>
    </row>
    <row r="159" spans="1:8" hidden="1" x14ac:dyDescent="0.2">
      <c r="A159" s="331">
        <v>54316</v>
      </c>
      <c r="B159" s="332" t="s">
        <v>67</v>
      </c>
      <c r="C159" s="465">
        <v>0</v>
      </c>
      <c r="D159" s="466">
        <v>0</v>
      </c>
      <c r="E159" s="466">
        <v>0</v>
      </c>
      <c r="F159" s="467">
        <v>0</v>
      </c>
      <c r="G159" s="336">
        <f t="shared" si="19"/>
        <v>0</v>
      </c>
      <c r="H159" s="74"/>
    </row>
    <row r="160" spans="1:8" hidden="1" x14ac:dyDescent="0.2">
      <c r="A160" s="331">
        <v>54317</v>
      </c>
      <c r="B160" s="332" t="s">
        <v>68</v>
      </c>
      <c r="C160" s="465">
        <v>0</v>
      </c>
      <c r="D160" s="466">
        <v>0</v>
      </c>
      <c r="E160" s="466">
        <v>0</v>
      </c>
      <c r="F160" s="467">
        <v>0</v>
      </c>
      <c r="G160" s="336">
        <f t="shared" si="19"/>
        <v>0</v>
      </c>
      <c r="H160" s="74"/>
    </row>
    <row r="161" spans="1:8" hidden="1" x14ac:dyDescent="0.2">
      <c r="A161" s="331">
        <v>54399</v>
      </c>
      <c r="B161" s="332" t="s">
        <v>69</v>
      </c>
      <c r="C161" s="465">
        <v>0</v>
      </c>
      <c r="D161" s="466">
        <v>0</v>
      </c>
      <c r="E161" s="466">
        <v>0</v>
      </c>
      <c r="F161" s="467">
        <v>0</v>
      </c>
      <c r="G161" s="336">
        <f t="shared" si="19"/>
        <v>0</v>
      </c>
      <c r="H161" s="74"/>
    </row>
    <row r="162" spans="1:8" hidden="1" x14ac:dyDescent="0.2">
      <c r="A162" s="326">
        <v>544</v>
      </c>
      <c r="B162" s="327" t="s">
        <v>70</v>
      </c>
      <c r="C162" s="468">
        <f>SUM(C163:C166)</f>
        <v>0</v>
      </c>
      <c r="D162" s="469">
        <f>SUM(D163:D166)</f>
        <v>0</v>
      </c>
      <c r="E162" s="469">
        <f>SUM(E163:E166)</f>
        <v>0</v>
      </c>
      <c r="F162" s="470">
        <f>SUM(F163:F166)</f>
        <v>0</v>
      </c>
      <c r="G162" s="329">
        <f>SUM(G163:G166)</f>
        <v>0</v>
      </c>
      <c r="H162" s="74"/>
    </row>
    <row r="163" spans="1:8" hidden="1" x14ac:dyDescent="0.2">
      <c r="A163" s="331">
        <v>54401</v>
      </c>
      <c r="B163" s="332" t="s">
        <v>71</v>
      </c>
      <c r="C163" s="465">
        <v>0</v>
      </c>
      <c r="D163" s="466">
        <v>0</v>
      </c>
      <c r="E163" s="466">
        <v>0</v>
      </c>
      <c r="F163" s="467">
        <v>0</v>
      </c>
      <c r="G163" s="336">
        <f>SUM(C163:F163)</f>
        <v>0</v>
      </c>
      <c r="H163" s="74"/>
    </row>
    <row r="164" spans="1:8" hidden="1" x14ac:dyDescent="0.2">
      <c r="A164" s="331">
        <v>54402</v>
      </c>
      <c r="B164" s="332" t="s">
        <v>72</v>
      </c>
      <c r="C164" s="465">
        <v>0</v>
      </c>
      <c r="D164" s="466">
        <v>0</v>
      </c>
      <c r="E164" s="466">
        <v>0</v>
      </c>
      <c r="F164" s="467">
        <v>0</v>
      </c>
      <c r="G164" s="336">
        <f t="shared" ref="G164" si="20">+C164+F164</f>
        <v>0</v>
      </c>
      <c r="H164" s="74"/>
    </row>
    <row r="165" spans="1:8" hidden="1" x14ac:dyDescent="0.2">
      <c r="A165" s="331">
        <v>54403</v>
      </c>
      <c r="B165" s="332" t="s">
        <v>73</v>
      </c>
      <c r="C165" s="465">
        <v>0</v>
      </c>
      <c r="D165" s="466">
        <v>0</v>
      </c>
      <c r="E165" s="466">
        <v>0</v>
      </c>
      <c r="F165" s="467">
        <v>0</v>
      </c>
      <c r="G165" s="336">
        <f>SUM(C165:F165)</f>
        <v>0</v>
      </c>
      <c r="H165" s="74"/>
    </row>
    <row r="166" spans="1:8" hidden="1" x14ac:dyDescent="0.2">
      <c r="A166" s="331">
        <v>54404</v>
      </c>
      <c r="B166" s="332" t="s">
        <v>74</v>
      </c>
      <c r="C166" s="532">
        <v>0</v>
      </c>
      <c r="D166" s="533">
        <v>0</v>
      </c>
      <c r="E166" s="533">
        <v>0</v>
      </c>
      <c r="F166" s="534">
        <v>0</v>
      </c>
      <c r="G166" s="533">
        <v>0</v>
      </c>
      <c r="H166" s="74"/>
    </row>
    <row r="167" spans="1:8" hidden="1" x14ac:dyDescent="0.2">
      <c r="A167" s="326">
        <v>545</v>
      </c>
      <c r="B167" s="327" t="s">
        <v>75</v>
      </c>
      <c r="C167" s="328">
        <f>+C169</f>
        <v>0</v>
      </c>
      <c r="D167" s="329">
        <v>0</v>
      </c>
      <c r="E167" s="329">
        <v>0</v>
      </c>
      <c r="F167" s="330">
        <v>0</v>
      </c>
      <c r="G167" s="329">
        <f>+G169</f>
        <v>0</v>
      </c>
      <c r="H167" s="74"/>
    </row>
    <row r="168" spans="1:8" hidden="1" x14ac:dyDescent="0.2">
      <c r="A168" s="331">
        <v>54501</v>
      </c>
      <c r="B168" s="332" t="s">
        <v>76</v>
      </c>
      <c r="C168" s="333"/>
      <c r="D168" s="334">
        <v>0</v>
      </c>
      <c r="E168" s="334">
        <v>0</v>
      </c>
      <c r="F168" s="335">
        <v>0</v>
      </c>
      <c r="G168" s="336">
        <f t="shared" ref="G168:G174" si="21">+C168+F168</f>
        <v>0</v>
      </c>
      <c r="H168" s="74"/>
    </row>
    <row r="169" spans="1:8" hidden="1" x14ac:dyDescent="0.2">
      <c r="A169" s="331">
        <v>54503</v>
      </c>
      <c r="B169" s="332" t="s">
        <v>77</v>
      </c>
      <c r="C169" s="333">
        <v>0</v>
      </c>
      <c r="D169" s="334">
        <v>0</v>
      </c>
      <c r="E169" s="334">
        <v>0</v>
      </c>
      <c r="F169" s="335">
        <v>0</v>
      </c>
      <c r="G169" s="336">
        <f t="shared" si="21"/>
        <v>0</v>
      </c>
      <c r="H169" s="74"/>
    </row>
    <row r="170" spans="1:8" hidden="1" x14ac:dyDescent="0.2">
      <c r="A170" s="331">
        <v>54504</v>
      </c>
      <c r="B170" s="332" t="s">
        <v>78</v>
      </c>
      <c r="C170" s="333"/>
      <c r="D170" s="334"/>
      <c r="E170" s="334"/>
      <c r="F170" s="335"/>
      <c r="G170" s="336">
        <f t="shared" si="21"/>
        <v>0</v>
      </c>
      <c r="H170" s="74"/>
    </row>
    <row r="171" spans="1:8" hidden="1" x14ac:dyDescent="0.2">
      <c r="A171" s="331">
        <v>54505</v>
      </c>
      <c r="B171" s="332" t="s">
        <v>79</v>
      </c>
      <c r="C171" s="333"/>
      <c r="D171" s="334"/>
      <c r="E171" s="334"/>
      <c r="F171" s="335"/>
      <c r="G171" s="336">
        <f t="shared" si="21"/>
        <v>0</v>
      </c>
      <c r="H171" s="74"/>
    </row>
    <row r="172" spans="1:8" hidden="1" x14ac:dyDescent="0.2">
      <c r="A172" s="331">
        <v>54507</v>
      </c>
      <c r="B172" s="332" t="s">
        <v>80</v>
      </c>
      <c r="C172" s="333"/>
      <c r="D172" s="334"/>
      <c r="E172" s="334"/>
      <c r="F172" s="335"/>
      <c r="G172" s="336">
        <f t="shared" si="21"/>
        <v>0</v>
      </c>
      <c r="H172" s="74"/>
    </row>
    <row r="173" spans="1:8" hidden="1" x14ac:dyDescent="0.2">
      <c r="A173" s="331">
        <v>54508</v>
      </c>
      <c r="B173" s="332" t="s">
        <v>81</v>
      </c>
      <c r="C173" s="333"/>
      <c r="D173" s="334"/>
      <c r="E173" s="334"/>
      <c r="F173" s="335"/>
      <c r="G173" s="336">
        <f t="shared" si="21"/>
        <v>0</v>
      </c>
      <c r="H173" s="74"/>
    </row>
    <row r="174" spans="1:8" hidden="1" x14ac:dyDescent="0.2">
      <c r="A174" s="331">
        <v>54599</v>
      </c>
      <c r="B174" s="332" t="s">
        <v>82</v>
      </c>
      <c r="C174" s="333"/>
      <c r="D174" s="334"/>
      <c r="E174" s="334"/>
      <c r="F174" s="335"/>
      <c r="G174" s="336">
        <f t="shared" si="21"/>
        <v>0</v>
      </c>
      <c r="H174" s="74"/>
    </row>
    <row r="175" spans="1:8" hidden="1" x14ac:dyDescent="0.2">
      <c r="A175" s="331"/>
      <c r="B175" s="332"/>
      <c r="C175" s="333"/>
      <c r="D175" s="334"/>
      <c r="E175" s="334"/>
      <c r="F175" s="335"/>
      <c r="G175" s="336"/>
      <c r="H175" s="74"/>
    </row>
    <row r="176" spans="1:8" hidden="1" x14ac:dyDescent="0.2">
      <c r="A176" s="326">
        <v>55</v>
      </c>
      <c r="B176" s="327" t="s">
        <v>83</v>
      </c>
      <c r="C176" s="328">
        <f>C181+C183</f>
        <v>0</v>
      </c>
      <c r="D176" s="329">
        <f t="shared" ref="D176:F176" si="22">D181+D183</f>
        <v>0</v>
      </c>
      <c r="E176" s="329">
        <f t="shared" si="22"/>
        <v>0</v>
      </c>
      <c r="F176" s="330">
        <f t="shared" si="22"/>
        <v>0</v>
      </c>
      <c r="G176" s="329">
        <f>F176+D176+C176</f>
        <v>0</v>
      </c>
      <c r="H176" s="128"/>
    </row>
    <row r="177" spans="1:8" hidden="1" x14ac:dyDescent="0.2">
      <c r="A177" s="326">
        <v>553</v>
      </c>
      <c r="B177" s="327" t="s">
        <v>84</v>
      </c>
      <c r="C177" s="333"/>
      <c r="D177" s="334"/>
      <c r="E177" s="334"/>
      <c r="F177" s="335"/>
      <c r="G177" s="329">
        <f>+C177+F177</f>
        <v>0</v>
      </c>
      <c r="H177" s="128"/>
    </row>
    <row r="178" spans="1:8" hidden="1" x14ac:dyDescent="0.2">
      <c r="A178" s="331">
        <v>55303</v>
      </c>
      <c r="B178" s="332" t="s">
        <v>85</v>
      </c>
      <c r="C178" s="333"/>
      <c r="D178" s="334"/>
      <c r="E178" s="334"/>
      <c r="F178" s="335"/>
      <c r="G178" s="336">
        <f>+C178+F178</f>
        <v>0</v>
      </c>
      <c r="H178" s="128"/>
    </row>
    <row r="179" spans="1:8" hidden="1" x14ac:dyDescent="0.2">
      <c r="A179" s="331">
        <v>55304</v>
      </c>
      <c r="B179" s="332" t="s">
        <v>86</v>
      </c>
      <c r="C179" s="333"/>
      <c r="D179" s="334"/>
      <c r="E179" s="334"/>
      <c r="F179" s="335"/>
      <c r="G179" s="336">
        <f>+C179+F179</f>
        <v>0</v>
      </c>
      <c r="H179" s="128"/>
    </row>
    <row r="180" spans="1:8" hidden="1" x14ac:dyDescent="0.2">
      <c r="A180" s="331">
        <v>55308</v>
      </c>
      <c r="B180" s="332" t="s">
        <v>87</v>
      </c>
      <c r="C180" s="333"/>
      <c r="D180" s="334"/>
      <c r="E180" s="334"/>
      <c r="F180" s="335"/>
      <c r="G180" s="336">
        <f>+C180+F180</f>
        <v>0</v>
      </c>
      <c r="H180" s="128"/>
    </row>
    <row r="181" spans="1:8" s="46" customFormat="1" hidden="1" x14ac:dyDescent="0.2">
      <c r="A181" s="326">
        <v>555</v>
      </c>
      <c r="B181" s="327" t="s">
        <v>438</v>
      </c>
      <c r="C181" s="328">
        <f>C182</f>
        <v>0</v>
      </c>
      <c r="D181" s="329">
        <f t="shared" ref="D181:F181" si="23">D182</f>
        <v>0</v>
      </c>
      <c r="E181" s="329">
        <f t="shared" si="23"/>
        <v>0</v>
      </c>
      <c r="F181" s="330">
        <f t="shared" si="23"/>
        <v>0</v>
      </c>
      <c r="G181" s="329">
        <f>G182</f>
        <v>0</v>
      </c>
      <c r="H181" s="139"/>
    </row>
    <row r="182" spans="1:8" hidden="1" x14ac:dyDescent="0.2">
      <c r="A182" s="331">
        <v>55508</v>
      </c>
      <c r="B182" s="337" t="s">
        <v>329</v>
      </c>
      <c r="C182" s="465">
        <v>0</v>
      </c>
      <c r="D182" s="466">
        <v>0</v>
      </c>
      <c r="E182" s="466">
        <v>0</v>
      </c>
      <c r="F182" s="467">
        <v>0</v>
      </c>
      <c r="G182" s="336">
        <f t="shared" ref="G182" si="24">+C182+F182</f>
        <v>0</v>
      </c>
      <c r="H182" s="128"/>
    </row>
    <row r="183" spans="1:8" hidden="1" x14ac:dyDescent="0.2">
      <c r="A183" s="326">
        <v>556</v>
      </c>
      <c r="B183" s="327" t="s">
        <v>88</v>
      </c>
      <c r="C183" s="468">
        <f>SUM(C184:C186)</f>
        <v>0</v>
      </c>
      <c r="D183" s="469">
        <f>SUM(D184:D186)</f>
        <v>0</v>
      </c>
      <c r="E183" s="469">
        <f t="shared" ref="E183:F183" si="25">SUM(E184:E186)</f>
        <v>0</v>
      </c>
      <c r="F183" s="471">
        <f t="shared" si="25"/>
        <v>0</v>
      </c>
      <c r="G183" s="329">
        <f>C183+D183+F183</f>
        <v>0</v>
      </c>
      <c r="H183" s="128"/>
    </row>
    <row r="184" spans="1:8" hidden="1" x14ac:dyDescent="0.2">
      <c r="A184" s="331">
        <v>55601</v>
      </c>
      <c r="B184" s="332" t="s">
        <v>89</v>
      </c>
      <c r="C184" s="465">
        <v>0</v>
      </c>
      <c r="D184" s="472">
        <v>0</v>
      </c>
      <c r="E184" s="466">
        <v>0</v>
      </c>
      <c r="F184" s="467">
        <v>0</v>
      </c>
      <c r="G184" s="336">
        <f t="shared" ref="G184:G185" si="26">SUM(C184:F184)</f>
        <v>0</v>
      </c>
      <c r="H184" s="128"/>
    </row>
    <row r="185" spans="1:8" hidden="1" x14ac:dyDescent="0.2">
      <c r="A185" s="331">
        <v>55602</v>
      </c>
      <c r="B185" s="332" t="s">
        <v>90</v>
      </c>
      <c r="C185" s="473">
        <v>0</v>
      </c>
      <c r="D185" s="466">
        <v>0</v>
      </c>
      <c r="E185" s="466">
        <v>0</v>
      </c>
      <c r="F185" s="467">
        <v>0</v>
      </c>
      <c r="G185" s="336">
        <f t="shared" si="26"/>
        <v>0</v>
      </c>
      <c r="H185" s="128"/>
    </row>
    <row r="186" spans="1:8" hidden="1" x14ac:dyDescent="0.2">
      <c r="A186" s="331">
        <v>55603</v>
      </c>
      <c r="B186" s="332" t="s">
        <v>91</v>
      </c>
      <c r="C186" s="465">
        <v>0</v>
      </c>
      <c r="D186" s="466">
        <v>0</v>
      </c>
      <c r="E186" s="466">
        <v>0</v>
      </c>
      <c r="F186" s="467">
        <v>0</v>
      </c>
      <c r="G186" s="336">
        <f>SUM(C186:F186)</f>
        <v>0</v>
      </c>
      <c r="H186" s="128"/>
    </row>
    <row r="187" spans="1:8" hidden="1" x14ac:dyDescent="0.2">
      <c r="A187" s="326">
        <v>557</v>
      </c>
      <c r="B187" s="327" t="s">
        <v>92</v>
      </c>
      <c r="C187" s="468"/>
      <c r="D187" s="469">
        <f>SUM(D188:D190)</f>
        <v>0</v>
      </c>
      <c r="E187" s="469"/>
      <c r="F187" s="470"/>
      <c r="G187" s="329">
        <f>+C187+D187+F187</f>
        <v>0</v>
      </c>
      <c r="H187" s="128"/>
    </row>
    <row r="188" spans="1:8" ht="13.5" hidden="1" thickBot="1" x14ac:dyDescent="0.25">
      <c r="A188" s="338">
        <v>55701</v>
      </c>
      <c r="B188" s="339" t="s">
        <v>93</v>
      </c>
      <c r="C188" s="474"/>
      <c r="D188" s="475"/>
      <c r="E188" s="475"/>
      <c r="F188" s="476"/>
      <c r="G188" s="340"/>
      <c r="H188" s="128"/>
    </row>
    <row r="189" spans="1:8" ht="12.75" hidden="1" customHeight="1" x14ac:dyDescent="0.2">
      <c r="A189" s="341">
        <v>55702</v>
      </c>
      <c r="B189" s="342" t="s">
        <v>94</v>
      </c>
      <c r="C189" s="477"/>
      <c r="D189" s="478"/>
      <c r="E189" s="478"/>
      <c r="F189" s="479"/>
      <c r="G189" s="343"/>
      <c r="H189" s="128"/>
    </row>
    <row r="190" spans="1:8" ht="12.75" hidden="1" customHeight="1" x14ac:dyDescent="0.2">
      <c r="A190" s="341">
        <v>55799</v>
      </c>
      <c r="B190" s="342" t="s">
        <v>95</v>
      </c>
      <c r="C190" s="477"/>
      <c r="D190" s="478"/>
      <c r="E190" s="478"/>
      <c r="F190" s="479"/>
      <c r="G190" s="343"/>
      <c r="H190" s="128"/>
    </row>
    <row r="191" spans="1:8" ht="12.75" hidden="1" customHeight="1" x14ac:dyDescent="0.2">
      <c r="A191" s="344"/>
      <c r="B191" s="345"/>
      <c r="C191" s="480"/>
      <c r="D191" s="481"/>
      <c r="E191" s="481"/>
      <c r="F191" s="482"/>
      <c r="G191" s="346"/>
      <c r="H191" s="128"/>
    </row>
    <row r="192" spans="1:8" ht="12.75" hidden="1" customHeight="1" x14ac:dyDescent="0.2">
      <c r="A192" s="331"/>
      <c r="B192" s="332"/>
      <c r="C192" s="465"/>
      <c r="D192" s="466"/>
      <c r="E192" s="466"/>
      <c r="F192" s="467"/>
      <c r="G192" s="336"/>
      <c r="H192" s="128"/>
    </row>
    <row r="193" spans="1:8" hidden="1" x14ac:dyDescent="0.2">
      <c r="A193" s="347">
        <v>56</v>
      </c>
      <c r="B193" s="348" t="s">
        <v>96</v>
      </c>
      <c r="C193" s="483">
        <f>C194+C197</f>
        <v>0</v>
      </c>
      <c r="D193" s="484">
        <f>D194+D197</f>
        <v>0</v>
      </c>
      <c r="E193" s="484"/>
      <c r="F193" s="485">
        <f>F194+F197</f>
        <v>0</v>
      </c>
      <c r="G193" s="349">
        <f>+C193+F193</f>
        <v>0</v>
      </c>
      <c r="H193" s="128"/>
    </row>
    <row r="194" spans="1:8" hidden="1" x14ac:dyDescent="0.2">
      <c r="A194" s="326">
        <v>562</v>
      </c>
      <c r="B194" s="327" t="s">
        <v>97</v>
      </c>
      <c r="C194" s="468">
        <f>C196</f>
        <v>0</v>
      </c>
      <c r="D194" s="469">
        <f>SUM(D195:D196)</f>
        <v>0</v>
      </c>
      <c r="E194" s="469"/>
      <c r="F194" s="470"/>
      <c r="G194" s="329">
        <f t="shared" ref="G194:G199" si="27">+C194+F194</f>
        <v>0</v>
      </c>
      <c r="H194" s="128"/>
    </row>
    <row r="195" spans="1:8" hidden="1" x14ac:dyDescent="0.2">
      <c r="A195" s="331">
        <v>56201</v>
      </c>
      <c r="B195" s="337" t="s">
        <v>440</v>
      </c>
      <c r="C195" s="465"/>
      <c r="D195" s="466"/>
      <c r="E195" s="466"/>
      <c r="F195" s="467"/>
      <c r="G195" s="336">
        <f t="shared" si="27"/>
        <v>0</v>
      </c>
      <c r="H195" s="128"/>
    </row>
    <row r="196" spans="1:8" hidden="1" x14ac:dyDescent="0.2">
      <c r="A196" s="331">
        <v>56201</v>
      </c>
      <c r="B196" s="337" t="s">
        <v>587</v>
      </c>
      <c r="C196" s="465">
        <v>0</v>
      </c>
      <c r="D196" s="466">
        <v>0</v>
      </c>
      <c r="E196" s="466">
        <v>0</v>
      </c>
      <c r="F196" s="467">
        <v>0</v>
      </c>
      <c r="G196" s="336">
        <f t="shared" si="27"/>
        <v>0</v>
      </c>
      <c r="H196" s="128"/>
    </row>
    <row r="197" spans="1:8" hidden="1" x14ac:dyDescent="0.2">
      <c r="A197" s="326">
        <v>563</v>
      </c>
      <c r="B197" s="327" t="s">
        <v>99</v>
      </c>
      <c r="C197" s="468">
        <f>SUM(C198:C199)</f>
        <v>0</v>
      </c>
      <c r="D197" s="469">
        <f>SUM(D198:D199)</f>
        <v>0</v>
      </c>
      <c r="E197" s="469">
        <f t="shared" ref="E197:F197" si="28">SUM(E198:E199)</f>
        <v>0</v>
      </c>
      <c r="F197" s="471">
        <f t="shared" si="28"/>
        <v>0</v>
      </c>
      <c r="G197" s="329">
        <f t="shared" si="27"/>
        <v>0</v>
      </c>
      <c r="H197" s="128"/>
    </row>
    <row r="198" spans="1:8" hidden="1" x14ac:dyDescent="0.2">
      <c r="A198" s="331">
        <v>56303</v>
      </c>
      <c r="B198" s="332" t="s">
        <v>98</v>
      </c>
      <c r="C198" s="465"/>
      <c r="D198" s="466"/>
      <c r="E198" s="466"/>
      <c r="F198" s="467"/>
      <c r="G198" s="336">
        <f t="shared" si="27"/>
        <v>0</v>
      </c>
      <c r="H198" s="128"/>
    </row>
    <row r="199" spans="1:8" hidden="1" x14ac:dyDescent="0.2">
      <c r="A199" s="331">
        <v>56304</v>
      </c>
      <c r="B199" s="332" t="s">
        <v>100</v>
      </c>
      <c r="C199" s="465">
        <v>0</v>
      </c>
      <c r="D199" s="466">
        <v>0</v>
      </c>
      <c r="E199" s="466">
        <v>0</v>
      </c>
      <c r="F199" s="467">
        <v>0</v>
      </c>
      <c r="G199" s="336">
        <f t="shared" si="27"/>
        <v>0</v>
      </c>
      <c r="H199" s="128"/>
    </row>
    <row r="200" spans="1:8" hidden="1" x14ac:dyDescent="0.2">
      <c r="A200" s="331"/>
      <c r="B200" s="332"/>
      <c r="C200" s="465"/>
      <c r="D200" s="466"/>
      <c r="E200" s="466"/>
      <c r="F200" s="467"/>
      <c r="G200" s="336"/>
      <c r="H200" s="128"/>
    </row>
    <row r="201" spans="1:8" s="46" customFormat="1" hidden="1" x14ac:dyDescent="0.2">
      <c r="A201" s="326">
        <v>72</v>
      </c>
      <c r="B201" s="327" t="s">
        <v>13</v>
      </c>
      <c r="C201" s="468">
        <f>C202</f>
        <v>0</v>
      </c>
      <c r="D201" s="469">
        <f t="shared" ref="D201:G202" si="29">D202</f>
        <v>0</v>
      </c>
      <c r="E201" s="469">
        <f t="shared" si="29"/>
        <v>0</v>
      </c>
      <c r="F201" s="486">
        <f t="shared" si="29"/>
        <v>0</v>
      </c>
      <c r="G201" s="329">
        <f t="shared" si="29"/>
        <v>0</v>
      </c>
      <c r="H201" s="129"/>
    </row>
    <row r="202" spans="1:8" s="46" customFormat="1" hidden="1" x14ac:dyDescent="0.2">
      <c r="A202" s="326">
        <v>721</v>
      </c>
      <c r="B202" s="327" t="s">
        <v>180</v>
      </c>
      <c r="C202" s="468">
        <f>C203</f>
        <v>0</v>
      </c>
      <c r="D202" s="469">
        <f t="shared" si="29"/>
        <v>0</v>
      </c>
      <c r="E202" s="469">
        <f t="shared" si="29"/>
        <v>0</v>
      </c>
      <c r="F202" s="486">
        <f t="shared" si="29"/>
        <v>0</v>
      </c>
      <c r="G202" s="329">
        <f t="shared" si="29"/>
        <v>0</v>
      </c>
      <c r="H202" s="129"/>
    </row>
    <row r="203" spans="1:8" hidden="1" x14ac:dyDescent="0.2">
      <c r="A203" s="331">
        <v>72101</v>
      </c>
      <c r="B203" s="332" t="s">
        <v>180</v>
      </c>
      <c r="C203" s="522">
        <v>0</v>
      </c>
      <c r="D203" s="466">
        <v>0</v>
      </c>
      <c r="E203" s="466">
        <v>0</v>
      </c>
      <c r="F203" s="487">
        <v>0</v>
      </c>
      <c r="G203" s="352">
        <f>C203+D203+E203+F203</f>
        <v>0</v>
      </c>
      <c r="H203" s="74"/>
    </row>
    <row r="204" spans="1:8" hidden="1" x14ac:dyDescent="0.2">
      <c r="A204" s="353" t="s">
        <v>160</v>
      </c>
      <c r="B204" s="354" t="s">
        <v>161</v>
      </c>
      <c r="C204" s="488">
        <f t="shared" ref="C204:G205" si="30">C205</f>
        <v>0</v>
      </c>
      <c r="D204" s="489">
        <f t="shared" si="30"/>
        <v>0</v>
      </c>
      <c r="E204" s="489">
        <f t="shared" si="30"/>
        <v>0</v>
      </c>
      <c r="F204" s="489">
        <f t="shared" si="30"/>
        <v>0</v>
      </c>
      <c r="G204" s="357">
        <f t="shared" si="30"/>
        <v>0</v>
      </c>
      <c r="H204" s="74"/>
    </row>
    <row r="205" spans="1:8" hidden="1" x14ac:dyDescent="0.2">
      <c r="A205" s="353" t="s">
        <v>245</v>
      </c>
      <c r="B205" s="354" t="s">
        <v>197</v>
      </c>
      <c r="C205" s="488">
        <f t="shared" si="30"/>
        <v>0</v>
      </c>
      <c r="D205" s="489">
        <f t="shared" si="30"/>
        <v>0</v>
      </c>
      <c r="E205" s="489">
        <f t="shared" si="30"/>
        <v>0</v>
      </c>
      <c r="F205" s="489">
        <f t="shared" si="30"/>
        <v>0</v>
      </c>
      <c r="G205" s="357">
        <f t="shared" si="30"/>
        <v>0</v>
      </c>
      <c r="H205" s="74"/>
    </row>
    <row r="206" spans="1:8" ht="13.5" hidden="1" thickBot="1" x14ac:dyDescent="0.25">
      <c r="A206" s="358" t="s">
        <v>246</v>
      </c>
      <c r="B206" s="807" t="s">
        <v>780</v>
      </c>
      <c r="C206" s="490"/>
      <c r="D206" s="491"/>
      <c r="E206" s="491"/>
      <c r="F206" s="491"/>
      <c r="G206" s="361">
        <f>+C206+F206</f>
        <v>0</v>
      </c>
      <c r="H206" s="74"/>
    </row>
    <row r="207" spans="1:8" ht="13.5" hidden="1" thickBot="1" x14ac:dyDescent="0.25">
      <c r="A207" s="362"/>
      <c r="B207" s="363" t="s">
        <v>25</v>
      </c>
      <c r="C207" s="492">
        <f>C119+C176+C193+C201</f>
        <v>0</v>
      </c>
      <c r="D207" s="492">
        <f>D119+D176+D193+D201</f>
        <v>0</v>
      </c>
      <c r="E207" s="492">
        <f t="shared" ref="E207:F207" si="31">E119+E176+E193+E201</f>
        <v>0</v>
      </c>
      <c r="F207" s="492">
        <f t="shared" si="31"/>
        <v>0</v>
      </c>
      <c r="G207" s="716">
        <f>G119+G176+G193+G201</f>
        <v>0</v>
      </c>
      <c r="H207" s="76"/>
    </row>
    <row r="208" spans="1:8" hidden="1" x14ac:dyDescent="0.2">
      <c r="G208" s="460"/>
    </row>
    <row r="209" spans="1:8" hidden="1" x14ac:dyDescent="0.2">
      <c r="G209" s="365">
        <f>+G207-G208</f>
        <v>0</v>
      </c>
    </row>
    <row r="210" spans="1:8" hidden="1" x14ac:dyDescent="0.2"/>
    <row r="211" spans="1:8" hidden="1" x14ac:dyDescent="0.2"/>
    <row r="212" spans="1:8" hidden="1" x14ac:dyDescent="0.2"/>
    <row r="213" spans="1:8" hidden="1" x14ac:dyDescent="0.2"/>
    <row r="214" spans="1:8" hidden="1" x14ac:dyDescent="0.2"/>
    <row r="215" spans="1:8" hidden="1" x14ac:dyDescent="0.2"/>
    <row r="216" spans="1:8" hidden="1" x14ac:dyDescent="0.2"/>
    <row r="217" spans="1:8" hidden="1" x14ac:dyDescent="0.2"/>
    <row r="218" spans="1:8" hidden="1" x14ac:dyDescent="0.2">
      <c r="A218" s="1466" t="s">
        <v>781</v>
      </c>
      <c r="B218" s="1466"/>
      <c r="C218" s="1466"/>
      <c r="D218" s="1466"/>
      <c r="E218" s="1466"/>
      <c r="F218" s="1466"/>
      <c r="G218" s="1466"/>
    </row>
    <row r="219" spans="1:8" hidden="1" x14ac:dyDescent="0.2">
      <c r="A219" s="1466" t="s">
        <v>101</v>
      </c>
      <c r="B219" s="1466"/>
      <c r="C219" s="1466"/>
      <c r="D219" s="1466"/>
      <c r="E219" s="1466"/>
      <c r="F219" s="1466"/>
      <c r="G219" s="1466"/>
    </row>
    <row r="220" spans="1:8" hidden="1" x14ac:dyDescent="0.2">
      <c r="A220" s="1466" t="s">
        <v>102</v>
      </c>
      <c r="B220" s="1466"/>
      <c r="C220" s="1466"/>
      <c r="D220" s="1466"/>
      <c r="E220" s="1466"/>
      <c r="F220" s="1466"/>
      <c r="G220" s="1466"/>
    </row>
    <row r="221" spans="1:8" hidden="1" x14ac:dyDescent="0.2">
      <c r="A221" s="1466" t="s">
        <v>413</v>
      </c>
      <c r="B221" s="1466"/>
      <c r="C221" s="1466"/>
      <c r="D221" s="1466"/>
      <c r="E221" s="1466"/>
      <c r="F221" s="1466"/>
      <c r="G221" s="1466"/>
    </row>
    <row r="222" spans="1:8" hidden="1" x14ac:dyDescent="0.2">
      <c r="A222" s="1466" t="s">
        <v>847</v>
      </c>
      <c r="B222" s="1466"/>
      <c r="C222" s="1466"/>
      <c r="D222" s="1466"/>
      <c r="E222" s="1466"/>
      <c r="F222" s="1466"/>
      <c r="G222" s="1466"/>
    </row>
    <row r="223" spans="1:8" ht="13.5" hidden="1" thickBot="1" x14ac:dyDescent="0.25">
      <c r="B223" s="319"/>
      <c r="H223" s="74"/>
    </row>
    <row r="224" spans="1:8" ht="13.5" hidden="1" thickBot="1" x14ac:dyDescent="0.25">
      <c r="A224" s="1483" t="s">
        <v>511</v>
      </c>
      <c r="B224" s="1483" t="s">
        <v>14</v>
      </c>
      <c r="C224" s="1486" t="s">
        <v>705</v>
      </c>
      <c r="D224" s="1487"/>
      <c r="E224" s="1487"/>
      <c r="F224" s="1487"/>
      <c r="G224" s="1488"/>
    </row>
    <row r="225" spans="1:9" ht="12.75" hidden="1" customHeight="1" x14ac:dyDescent="0.2">
      <c r="A225" s="1484"/>
      <c r="B225" s="1484"/>
      <c r="C225" s="1489" t="s">
        <v>779</v>
      </c>
      <c r="D225" s="1489" t="s">
        <v>453</v>
      </c>
      <c r="E225" s="1489" t="s">
        <v>105</v>
      </c>
      <c r="F225" s="1489" t="s">
        <v>184</v>
      </c>
      <c r="G225" s="1489" t="s">
        <v>4</v>
      </c>
    </row>
    <row r="226" spans="1:9" ht="39.75" hidden="1" customHeight="1" thickBot="1" x14ac:dyDescent="0.25">
      <c r="A226" s="1485"/>
      <c r="B226" s="1485"/>
      <c r="C226" s="1490"/>
      <c r="D226" s="1490"/>
      <c r="E226" s="1490"/>
      <c r="F226" s="1490"/>
      <c r="G226" s="1490"/>
    </row>
    <row r="227" spans="1:9" hidden="1" x14ac:dyDescent="0.2">
      <c r="A227" s="321">
        <v>54</v>
      </c>
      <c r="B227" s="322" t="s">
        <v>27</v>
      </c>
      <c r="C227" s="323">
        <f>C228+C248+C254+C270+C275</f>
        <v>0</v>
      </c>
      <c r="D227" s="324">
        <f>D228+D248+D254+D270</f>
        <v>0</v>
      </c>
      <c r="E227" s="324">
        <f>E228+E248+E254+E270</f>
        <v>0</v>
      </c>
      <c r="F227" s="325">
        <f>F228+F248+F254+F270</f>
        <v>0</v>
      </c>
      <c r="G227" s="324">
        <f>G228+G248+G254+G270+G275</f>
        <v>0</v>
      </c>
      <c r="H227" s="74"/>
    </row>
    <row r="228" spans="1:9" hidden="1" x14ac:dyDescent="0.2">
      <c r="A228" s="326">
        <v>541</v>
      </c>
      <c r="B228" s="327" t="s">
        <v>28</v>
      </c>
      <c r="C228" s="328">
        <f>SUM(C229:C247)</f>
        <v>0</v>
      </c>
      <c r="D228" s="329">
        <f>SUM(D229:D247)</f>
        <v>0</v>
      </c>
      <c r="E228" s="329">
        <f>SUM(E229:E247)</f>
        <v>0</v>
      </c>
      <c r="F228" s="330">
        <f>SUM(F229:F247)</f>
        <v>0</v>
      </c>
      <c r="G228" s="329">
        <f>SUM(C228:F228)</f>
        <v>0</v>
      </c>
      <c r="H228" s="74"/>
    </row>
    <row r="229" spans="1:9" hidden="1" x14ac:dyDescent="0.2">
      <c r="A229" s="331">
        <v>54101</v>
      </c>
      <c r="B229" s="332" t="s">
        <v>29</v>
      </c>
      <c r="C229" s="465">
        <v>0</v>
      </c>
      <c r="D229" s="466">
        <v>0</v>
      </c>
      <c r="E229" s="466">
        <v>0</v>
      </c>
      <c r="F229" s="467">
        <v>0</v>
      </c>
      <c r="G229" s="336">
        <f>SUM(C229:F229)</f>
        <v>0</v>
      </c>
      <c r="H229" s="74"/>
    </row>
    <row r="230" spans="1:9" hidden="1" x14ac:dyDescent="0.2">
      <c r="A230" s="331">
        <v>54103</v>
      </c>
      <c r="B230" s="332" t="s">
        <v>30</v>
      </c>
      <c r="C230" s="465">
        <v>0</v>
      </c>
      <c r="D230" s="466">
        <v>0</v>
      </c>
      <c r="E230" s="466">
        <v>0</v>
      </c>
      <c r="F230" s="467">
        <v>0</v>
      </c>
      <c r="G230" s="336">
        <f>+C230+F230</f>
        <v>0</v>
      </c>
      <c r="H230" s="74"/>
    </row>
    <row r="231" spans="1:9" hidden="1" x14ac:dyDescent="0.2">
      <c r="A231" s="331">
        <v>54104</v>
      </c>
      <c r="B231" s="332" t="s">
        <v>31</v>
      </c>
      <c r="C231" s="465">
        <v>0</v>
      </c>
      <c r="D231" s="466">
        <v>0</v>
      </c>
      <c r="E231" s="466">
        <v>0</v>
      </c>
      <c r="F231" s="467">
        <v>0</v>
      </c>
      <c r="G231" s="336">
        <f t="shared" ref="G231:G253" si="32">SUM(C231:F231)</f>
        <v>0</v>
      </c>
      <c r="H231" s="74"/>
    </row>
    <row r="232" spans="1:9" hidden="1" x14ac:dyDescent="0.2">
      <c r="A232" s="331">
        <v>54105</v>
      </c>
      <c r="B232" s="332" t="s">
        <v>32</v>
      </c>
      <c r="C232" s="333">
        <v>0</v>
      </c>
      <c r="D232" s="466">
        <v>0</v>
      </c>
      <c r="E232" s="466">
        <v>0</v>
      </c>
      <c r="F232" s="467">
        <v>0</v>
      </c>
      <c r="G232" s="336">
        <f t="shared" si="32"/>
        <v>0</v>
      </c>
      <c r="H232" s="74"/>
    </row>
    <row r="233" spans="1:9" hidden="1" x14ac:dyDescent="0.2">
      <c r="A233" s="331">
        <v>54106</v>
      </c>
      <c r="B233" s="332" t="s">
        <v>33</v>
      </c>
      <c r="C233" s="465">
        <v>0</v>
      </c>
      <c r="D233" s="466">
        <v>0</v>
      </c>
      <c r="E233" s="466">
        <v>0</v>
      </c>
      <c r="F233" s="467">
        <v>0</v>
      </c>
      <c r="G233" s="336">
        <f t="shared" si="32"/>
        <v>0</v>
      </c>
      <c r="H233" s="74"/>
    </row>
    <row r="234" spans="1:9" hidden="1" x14ac:dyDescent="0.2">
      <c r="A234" s="331">
        <v>54107</v>
      </c>
      <c r="B234" s="332" t="s">
        <v>34</v>
      </c>
      <c r="C234" s="465">
        <v>0</v>
      </c>
      <c r="D234" s="466">
        <v>0</v>
      </c>
      <c r="E234" s="466">
        <v>0</v>
      </c>
      <c r="F234" s="467">
        <v>0</v>
      </c>
      <c r="G234" s="336">
        <f t="shared" si="32"/>
        <v>0</v>
      </c>
      <c r="H234" s="74"/>
    </row>
    <row r="235" spans="1:9" hidden="1" x14ac:dyDescent="0.2">
      <c r="A235" s="331">
        <v>54108</v>
      </c>
      <c r="B235" s="332" t="s">
        <v>35</v>
      </c>
      <c r="C235" s="465">
        <v>0</v>
      </c>
      <c r="D235" s="466">
        <v>0</v>
      </c>
      <c r="E235" s="466">
        <v>0</v>
      </c>
      <c r="F235" s="467">
        <v>0</v>
      </c>
      <c r="G235" s="336">
        <f t="shared" si="32"/>
        <v>0</v>
      </c>
      <c r="H235" s="74"/>
    </row>
    <row r="236" spans="1:9" hidden="1" x14ac:dyDescent="0.2">
      <c r="A236" s="331">
        <v>54109</v>
      </c>
      <c r="B236" s="332" t="s">
        <v>36</v>
      </c>
      <c r="C236" s="465">
        <v>0</v>
      </c>
      <c r="D236" s="466">
        <v>0</v>
      </c>
      <c r="E236" s="466">
        <v>0</v>
      </c>
      <c r="F236" s="467">
        <v>0</v>
      </c>
      <c r="G236" s="336">
        <f t="shared" si="32"/>
        <v>0</v>
      </c>
      <c r="H236" s="74"/>
    </row>
    <row r="237" spans="1:9" hidden="1" x14ac:dyDescent="0.2">
      <c r="A237" s="331">
        <v>54110</v>
      </c>
      <c r="B237" s="332" t="s">
        <v>37</v>
      </c>
      <c r="C237" s="333">
        <v>0</v>
      </c>
      <c r="D237" s="466">
        <v>0</v>
      </c>
      <c r="E237" s="466">
        <v>0</v>
      </c>
      <c r="F237" s="467">
        <v>0</v>
      </c>
      <c r="G237" s="336">
        <f t="shared" si="32"/>
        <v>0</v>
      </c>
      <c r="H237" s="74"/>
      <c r="I237" s="493"/>
    </row>
    <row r="238" spans="1:9" hidden="1" x14ac:dyDescent="0.2">
      <c r="A238" s="331">
        <v>54111</v>
      </c>
      <c r="B238" s="332" t="s">
        <v>38</v>
      </c>
      <c r="C238" s="465">
        <v>0</v>
      </c>
      <c r="D238" s="466">
        <v>0</v>
      </c>
      <c r="E238" s="466">
        <v>0</v>
      </c>
      <c r="F238" s="467">
        <v>0</v>
      </c>
      <c r="G238" s="336">
        <f t="shared" si="32"/>
        <v>0</v>
      </c>
      <c r="H238" s="74"/>
    </row>
    <row r="239" spans="1:9" hidden="1" x14ac:dyDescent="0.2">
      <c r="A239" s="331">
        <v>54112</v>
      </c>
      <c r="B239" s="332" t="s">
        <v>39</v>
      </c>
      <c r="C239" s="465">
        <v>0</v>
      </c>
      <c r="D239" s="466">
        <v>0</v>
      </c>
      <c r="E239" s="466">
        <v>0</v>
      </c>
      <c r="F239" s="467">
        <v>0</v>
      </c>
      <c r="G239" s="336">
        <f t="shared" si="32"/>
        <v>0</v>
      </c>
      <c r="H239" s="74"/>
    </row>
    <row r="240" spans="1:9" hidden="1" x14ac:dyDescent="0.2">
      <c r="A240" s="331">
        <v>54114</v>
      </c>
      <c r="B240" s="332" t="s">
        <v>40</v>
      </c>
      <c r="C240" s="465">
        <v>0</v>
      </c>
      <c r="D240" s="466">
        <v>0</v>
      </c>
      <c r="E240" s="466">
        <v>0</v>
      </c>
      <c r="F240" s="467">
        <v>0</v>
      </c>
      <c r="G240" s="336">
        <f t="shared" si="32"/>
        <v>0</v>
      </c>
      <c r="H240" s="74"/>
    </row>
    <row r="241" spans="1:8" hidden="1" x14ac:dyDescent="0.2">
      <c r="A241" s="331">
        <v>54115</v>
      </c>
      <c r="B241" s="332" t="s">
        <v>41</v>
      </c>
      <c r="C241" s="465">
        <v>0</v>
      </c>
      <c r="D241" s="466">
        <v>0</v>
      </c>
      <c r="E241" s="466">
        <v>0</v>
      </c>
      <c r="F241" s="467">
        <v>0</v>
      </c>
      <c r="G241" s="336">
        <f t="shared" si="32"/>
        <v>0</v>
      </c>
      <c r="H241" s="74"/>
    </row>
    <row r="242" spans="1:8" hidden="1" x14ac:dyDescent="0.2">
      <c r="A242" s="331">
        <v>54116</v>
      </c>
      <c r="B242" s="332" t="s">
        <v>42</v>
      </c>
      <c r="C242" s="465">
        <v>0</v>
      </c>
      <c r="D242" s="466">
        <v>0</v>
      </c>
      <c r="E242" s="466">
        <v>0</v>
      </c>
      <c r="F242" s="467">
        <v>0</v>
      </c>
      <c r="G242" s="336">
        <f t="shared" si="32"/>
        <v>0</v>
      </c>
      <c r="H242" s="74"/>
    </row>
    <row r="243" spans="1:8" hidden="1" x14ac:dyDescent="0.2">
      <c r="A243" s="331">
        <v>54117</v>
      </c>
      <c r="B243" s="332" t="s">
        <v>43</v>
      </c>
      <c r="C243" s="465">
        <v>0</v>
      </c>
      <c r="D243" s="466">
        <v>0</v>
      </c>
      <c r="E243" s="466">
        <v>0</v>
      </c>
      <c r="F243" s="467">
        <v>0</v>
      </c>
      <c r="G243" s="336">
        <f t="shared" si="32"/>
        <v>0</v>
      </c>
      <c r="H243" s="74"/>
    </row>
    <row r="244" spans="1:8" hidden="1" x14ac:dyDescent="0.2">
      <c r="A244" s="331">
        <v>54118</v>
      </c>
      <c r="B244" s="332" t="s">
        <v>44</v>
      </c>
      <c r="C244" s="465">
        <v>0</v>
      </c>
      <c r="D244" s="466">
        <v>0</v>
      </c>
      <c r="E244" s="466">
        <v>0</v>
      </c>
      <c r="F244" s="467">
        <v>0</v>
      </c>
      <c r="G244" s="336">
        <f t="shared" si="32"/>
        <v>0</v>
      </c>
      <c r="H244" s="74"/>
    </row>
    <row r="245" spans="1:8" hidden="1" x14ac:dyDescent="0.2">
      <c r="A245" s="331">
        <v>54119</v>
      </c>
      <c r="B245" s="332" t="s">
        <v>45</v>
      </c>
      <c r="C245" s="465">
        <v>0</v>
      </c>
      <c r="D245" s="466">
        <v>0</v>
      </c>
      <c r="E245" s="466">
        <v>0</v>
      </c>
      <c r="F245" s="467">
        <v>0</v>
      </c>
      <c r="G245" s="336">
        <f t="shared" si="32"/>
        <v>0</v>
      </c>
      <c r="H245" s="74"/>
    </row>
    <row r="246" spans="1:8" hidden="1" x14ac:dyDescent="0.2">
      <c r="A246" s="331">
        <v>54121</v>
      </c>
      <c r="B246" s="332" t="s">
        <v>46</v>
      </c>
      <c r="C246" s="465">
        <v>0</v>
      </c>
      <c r="D246" s="466">
        <v>0</v>
      </c>
      <c r="E246" s="466">
        <v>0</v>
      </c>
      <c r="F246" s="467">
        <v>0</v>
      </c>
      <c r="G246" s="336">
        <f t="shared" si="32"/>
        <v>0</v>
      </c>
      <c r="H246" s="74"/>
    </row>
    <row r="247" spans="1:8" hidden="1" x14ac:dyDescent="0.2">
      <c r="A247" s="331">
        <v>54199</v>
      </c>
      <c r="B247" s="332" t="s">
        <v>47</v>
      </c>
      <c r="C247" s="465">
        <v>0</v>
      </c>
      <c r="D247" s="466">
        <v>0</v>
      </c>
      <c r="E247" s="466">
        <v>0</v>
      </c>
      <c r="F247" s="467">
        <v>0</v>
      </c>
      <c r="G247" s="336">
        <f t="shared" si="32"/>
        <v>0</v>
      </c>
      <c r="H247" s="74"/>
    </row>
    <row r="248" spans="1:8" hidden="1" x14ac:dyDescent="0.2">
      <c r="A248" s="326">
        <v>542</v>
      </c>
      <c r="B248" s="327" t="s">
        <v>48</v>
      </c>
      <c r="C248" s="468">
        <f>SUM(C249:C253)</f>
        <v>0</v>
      </c>
      <c r="D248" s="469">
        <f>SUM(D249:D253)</f>
        <v>0</v>
      </c>
      <c r="E248" s="469">
        <f>SUM(E249:E253)</f>
        <v>0</v>
      </c>
      <c r="F248" s="470">
        <f>SUM(F249:F253)</f>
        <v>0</v>
      </c>
      <c r="G248" s="329">
        <f t="shared" si="32"/>
        <v>0</v>
      </c>
      <c r="H248" s="74"/>
    </row>
    <row r="249" spans="1:8" hidden="1" x14ac:dyDescent="0.2">
      <c r="A249" s="331">
        <v>54201</v>
      </c>
      <c r="B249" s="332" t="s">
        <v>49</v>
      </c>
      <c r="C249" s="465">
        <v>0</v>
      </c>
      <c r="D249" s="466">
        <v>0</v>
      </c>
      <c r="E249" s="466">
        <v>0</v>
      </c>
      <c r="F249" s="467">
        <v>0</v>
      </c>
      <c r="G249" s="336">
        <f t="shared" si="32"/>
        <v>0</v>
      </c>
      <c r="H249" s="320"/>
    </row>
    <row r="250" spans="1:8" hidden="1" x14ac:dyDescent="0.2">
      <c r="A250" s="331">
        <v>54202</v>
      </c>
      <c r="B250" s="332" t="s">
        <v>50</v>
      </c>
      <c r="C250" s="465">
        <v>0</v>
      </c>
      <c r="D250" s="466">
        <v>0</v>
      </c>
      <c r="E250" s="466">
        <v>0</v>
      </c>
      <c r="F250" s="467">
        <v>0</v>
      </c>
      <c r="G250" s="336">
        <f t="shared" si="32"/>
        <v>0</v>
      </c>
      <c r="H250" s="74"/>
    </row>
    <row r="251" spans="1:8" hidden="1" x14ac:dyDescent="0.2">
      <c r="A251" s="331">
        <v>54203</v>
      </c>
      <c r="B251" s="332" t="s">
        <v>51</v>
      </c>
      <c r="C251" s="465">
        <v>0</v>
      </c>
      <c r="D251" s="466">
        <v>0</v>
      </c>
      <c r="E251" s="466">
        <v>0</v>
      </c>
      <c r="F251" s="467">
        <v>0</v>
      </c>
      <c r="G251" s="336">
        <f t="shared" si="32"/>
        <v>0</v>
      </c>
      <c r="H251" s="74"/>
    </row>
    <row r="252" spans="1:8" ht="12.75" hidden="1" customHeight="1" x14ac:dyDescent="0.2">
      <c r="A252" s="331">
        <v>54204</v>
      </c>
      <c r="B252" s="332" t="s">
        <v>52</v>
      </c>
      <c r="C252" s="465">
        <v>0</v>
      </c>
      <c r="D252" s="466">
        <v>0</v>
      </c>
      <c r="E252" s="466">
        <v>0</v>
      </c>
      <c r="F252" s="467">
        <v>0</v>
      </c>
      <c r="G252" s="336">
        <f t="shared" si="32"/>
        <v>0</v>
      </c>
    </row>
    <row r="253" spans="1:8" hidden="1" x14ac:dyDescent="0.2">
      <c r="A253" s="331">
        <v>54205</v>
      </c>
      <c r="B253" s="332" t="s">
        <v>53</v>
      </c>
      <c r="C253" s="465">
        <v>0</v>
      </c>
      <c r="D253" s="466">
        <v>0</v>
      </c>
      <c r="E253" s="466">
        <v>0</v>
      </c>
      <c r="F253" s="467">
        <v>0</v>
      </c>
      <c r="G253" s="336">
        <f t="shared" si="32"/>
        <v>0</v>
      </c>
      <c r="H253" s="74"/>
    </row>
    <row r="254" spans="1:8" hidden="1" x14ac:dyDescent="0.2">
      <c r="A254" s="326">
        <v>543</v>
      </c>
      <c r="B254" s="327" t="s">
        <v>54</v>
      </c>
      <c r="C254" s="468">
        <f>SUM(C255:C269)</f>
        <v>0</v>
      </c>
      <c r="D254" s="469">
        <f>SUM(D255:D269)</f>
        <v>0</v>
      </c>
      <c r="E254" s="469">
        <f>SUM(E255:E269)</f>
        <v>0</v>
      </c>
      <c r="F254" s="470">
        <f>SUM(F255:F269)</f>
        <v>0</v>
      </c>
      <c r="G254" s="329">
        <f>SUM(G255:G269)</f>
        <v>0</v>
      </c>
      <c r="H254" s="74"/>
    </row>
    <row r="255" spans="1:8" hidden="1" x14ac:dyDescent="0.2">
      <c r="A255" s="331">
        <v>54301</v>
      </c>
      <c r="B255" s="332" t="s">
        <v>55</v>
      </c>
      <c r="C255" s="465">
        <v>0</v>
      </c>
      <c r="D255" s="466">
        <v>0</v>
      </c>
      <c r="E255" s="466">
        <v>0</v>
      </c>
      <c r="F255" s="467">
        <v>0</v>
      </c>
      <c r="G255" s="336">
        <f>SUM(C255:F255)</f>
        <v>0</v>
      </c>
      <c r="H255" s="74"/>
    </row>
    <row r="256" spans="1:8" hidden="1" x14ac:dyDescent="0.2">
      <c r="A256" s="331">
        <v>54302</v>
      </c>
      <c r="B256" s="332" t="s">
        <v>56</v>
      </c>
      <c r="C256" s="465">
        <v>0</v>
      </c>
      <c r="D256" s="466">
        <v>0</v>
      </c>
      <c r="E256" s="466">
        <v>0</v>
      </c>
      <c r="F256" s="467">
        <v>0</v>
      </c>
      <c r="G256" s="336">
        <f t="shared" ref="G256:G257" si="33">SUM(C256:F256)</f>
        <v>0</v>
      </c>
      <c r="H256" s="74"/>
    </row>
    <row r="257" spans="1:8" hidden="1" x14ac:dyDescent="0.2">
      <c r="A257" s="331">
        <v>54303</v>
      </c>
      <c r="B257" s="332" t="s">
        <v>57</v>
      </c>
      <c r="C257" s="465">
        <v>0</v>
      </c>
      <c r="D257" s="466">
        <v>0</v>
      </c>
      <c r="E257" s="466">
        <v>0</v>
      </c>
      <c r="F257" s="467">
        <v>0</v>
      </c>
      <c r="G257" s="336">
        <f t="shared" si="33"/>
        <v>0</v>
      </c>
      <c r="H257" s="74"/>
    </row>
    <row r="258" spans="1:8" hidden="1" x14ac:dyDescent="0.2">
      <c r="A258" s="331">
        <v>54304</v>
      </c>
      <c r="B258" s="332" t="s">
        <v>58</v>
      </c>
      <c r="C258" s="465">
        <v>0</v>
      </c>
      <c r="D258" s="466">
        <v>0</v>
      </c>
      <c r="E258" s="466">
        <v>0</v>
      </c>
      <c r="F258" s="467">
        <v>0</v>
      </c>
      <c r="G258" s="336">
        <f>SUM(C258:F258)</f>
        <v>0</v>
      </c>
      <c r="H258" s="74"/>
    </row>
    <row r="259" spans="1:8" hidden="1" x14ac:dyDescent="0.2">
      <c r="A259" s="331">
        <v>54305</v>
      </c>
      <c r="B259" s="332" t="s">
        <v>59</v>
      </c>
      <c r="C259" s="465">
        <v>0</v>
      </c>
      <c r="D259" s="466">
        <v>0</v>
      </c>
      <c r="E259" s="466">
        <v>0</v>
      </c>
      <c r="F259" s="467">
        <v>0</v>
      </c>
      <c r="G259" s="336">
        <f t="shared" ref="G259:G269" si="34">SUM(C259:F259)</f>
        <v>0</v>
      </c>
      <c r="H259" s="74"/>
    </row>
    <row r="260" spans="1:8" hidden="1" x14ac:dyDescent="0.2">
      <c r="A260" s="331">
        <v>54306</v>
      </c>
      <c r="B260" s="332" t="s">
        <v>60</v>
      </c>
      <c r="C260" s="465">
        <v>0</v>
      </c>
      <c r="D260" s="466">
        <v>0</v>
      </c>
      <c r="E260" s="466">
        <v>0</v>
      </c>
      <c r="F260" s="467">
        <v>0</v>
      </c>
      <c r="G260" s="336">
        <f t="shared" si="34"/>
        <v>0</v>
      </c>
      <c r="H260" s="74"/>
    </row>
    <row r="261" spans="1:8" hidden="1" x14ac:dyDescent="0.2">
      <c r="A261" s="331">
        <v>54307</v>
      </c>
      <c r="B261" s="332" t="s">
        <v>61</v>
      </c>
      <c r="C261" s="465">
        <v>0</v>
      </c>
      <c r="D261" s="466">
        <v>0</v>
      </c>
      <c r="E261" s="466">
        <v>0</v>
      </c>
      <c r="F261" s="467">
        <v>0</v>
      </c>
      <c r="G261" s="336">
        <f t="shared" si="34"/>
        <v>0</v>
      </c>
      <c r="H261" s="74"/>
    </row>
    <row r="262" spans="1:8" hidden="1" x14ac:dyDescent="0.2">
      <c r="A262" s="331">
        <v>54309</v>
      </c>
      <c r="B262" s="332" t="s">
        <v>62</v>
      </c>
      <c r="C262" s="465">
        <v>0</v>
      </c>
      <c r="D262" s="466">
        <v>0</v>
      </c>
      <c r="E262" s="466">
        <v>0</v>
      </c>
      <c r="F262" s="467">
        <v>0</v>
      </c>
      <c r="G262" s="336">
        <f t="shared" si="34"/>
        <v>0</v>
      </c>
      <c r="H262" s="74"/>
    </row>
    <row r="263" spans="1:8" hidden="1" x14ac:dyDescent="0.2">
      <c r="A263" s="331">
        <v>54310</v>
      </c>
      <c r="B263" s="332" t="s">
        <v>63</v>
      </c>
      <c r="C263" s="465">
        <v>0</v>
      </c>
      <c r="D263" s="466">
        <v>0</v>
      </c>
      <c r="E263" s="466">
        <v>0</v>
      </c>
      <c r="F263" s="467">
        <v>0</v>
      </c>
      <c r="G263" s="336">
        <f t="shared" si="34"/>
        <v>0</v>
      </c>
      <c r="H263" s="74"/>
    </row>
    <row r="264" spans="1:8" hidden="1" x14ac:dyDescent="0.2">
      <c r="A264" s="331">
        <v>54311</v>
      </c>
      <c r="B264" s="332" t="s">
        <v>64</v>
      </c>
      <c r="C264" s="465">
        <v>0</v>
      </c>
      <c r="D264" s="466">
        <v>0</v>
      </c>
      <c r="E264" s="466">
        <v>0</v>
      </c>
      <c r="F264" s="467">
        <v>0</v>
      </c>
      <c r="G264" s="336">
        <f t="shared" si="34"/>
        <v>0</v>
      </c>
      <c r="H264" s="74"/>
    </row>
    <row r="265" spans="1:8" hidden="1" x14ac:dyDescent="0.2">
      <c r="A265" s="331">
        <v>54313</v>
      </c>
      <c r="B265" s="332" t="s">
        <v>65</v>
      </c>
      <c r="C265" s="465">
        <v>0</v>
      </c>
      <c r="D265" s="466">
        <v>0</v>
      </c>
      <c r="E265" s="466">
        <v>0</v>
      </c>
      <c r="F265" s="467">
        <v>0</v>
      </c>
      <c r="G265" s="336">
        <f t="shared" si="34"/>
        <v>0</v>
      </c>
      <c r="H265" s="74"/>
    </row>
    <row r="266" spans="1:8" hidden="1" x14ac:dyDescent="0.2">
      <c r="A266" s="331">
        <v>54314</v>
      </c>
      <c r="B266" s="332" t="s">
        <v>66</v>
      </c>
      <c r="C266" s="465">
        <v>0</v>
      </c>
      <c r="D266" s="466">
        <v>0</v>
      </c>
      <c r="E266" s="466">
        <v>0</v>
      </c>
      <c r="F266" s="467">
        <v>0</v>
      </c>
      <c r="G266" s="336">
        <f t="shared" si="34"/>
        <v>0</v>
      </c>
      <c r="H266" s="74"/>
    </row>
    <row r="267" spans="1:8" hidden="1" x14ac:dyDescent="0.2">
      <c r="A267" s="331">
        <v>54316</v>
      </c>
      <c r="B267" s="332" t="s">
        <v>67</v>
      </c>
      <c r="C267" s="465">
        <v>0</v>
      </c>
      <c r="D267" s="466">
        <v>0</v>
      </c>
      <c r="E267" s="466">
        <v>0</v>
      </c>
      <c r="F267" s="467">
        <v>0</v>
      </c>
      <c r="G267" s="336">
        <f t="shared" si="34"/>
        <v>0</v>
      </c>
      <c r="H267" s="74"/>
    </row>
    <row r="268" spans="1:8" hidden="1" x14ac:dyDescent="0.2">
      <c r="A268" s="331">
        <v>54317</v>
      </c>
      <c r="B268" s="332" t="s">
        <v>68</v>
      </c>
      <c r="C268" s="465">
        <v>0</v>
      </c>
      <c r="D268" s="466">
        <v>0</v>
      </c>
      <c r="E268" s="466">
        <v>0</v>
      </c>
      <c r="F268" s="467">
        <v>0</v>
      </c>
      <c r="G268" s="336">
        <f t="shared" si="34"/>
        <v>0</v>
      </c>
      <c r="H268" s="74"/>
    </row>
    <row r="269" spans="1:8" hidden="1" x14ac:dyDescent="0.2">
      <c r="A269" s="331">
        <v>54399</v>
      </c>
      <c r="B269" s="332" t="s">
        <v>69</v>
      </c>
      <c r="C269" s="465">
        <v>0</v>
      </c>
      <c r="D269" s="466">
        <v>0</v>
      </c>
      <c r="E269" s="466">
        <v>0</v>
      </c>
      <c r="F269" s="467">
        <v>0</v>
      </c>
      <c r="G269" s="336">
        <f t="shared" si="34"/>
        <v>0</v>
      </c>
      <c r="H269" s="74"/>
    </row>
    <row r="270" spans="1:8" hidden="1" x14ac:dyDescent="0.2">
      <c r="A270" s="326">
        <v>544</v>
      </c>
      <c r="B270" s="327" t="s">
        <v>70</v>
      </c>
      <c r="C270" s="468">
        <f>SUM(C271:C274)</f>
        <v>0</v>
      </c>
      <c r="D270" s="469">
        <f>SUM(D271:D274)</f>
        <v>0</v>
      </c>
      <c r="E270" s="469">
        <f>SUM(E271:E274)</f>
        <v>0</v>
      </c>
      <c r="F270" s="470">
        <f>SUM(F271:F274)</f>
        <v>0</v>
      </c>
      <c r="G270" s="329">
        <f>SUM(G271:G274)</f>
        <v>0</v>
      </c>
      <c r="H270" s="74"/>
    </row>
    <row r="271" spans="1:8" hidden="1" x14ac:dyDescent="0.2">
      <c r="A271" s="331">
        <v>54401</v>
      </c>
      <c r="B271" s="332" t="s">
        <v>71</v>
      </c>
      <c r="C271" s="465">
        <v>0</v>
      </c>
      <c r="D271" s="466">
        <v>0</v>
      </c>
      <c r="E271" s="466">
        <v>0</v>
      </c>
      <c r="F271" s="467">
        <v>0</v>
      </c>
      <c r="G271" s="336">
        <f>SUM(C271:F271)</f>
        <v>0</v>
      </c>
      <c r="H271" s="74"/>
    </row>
    <row r="272" spans="1:8" hidden="1" x14ac:dyDescent="0.2">
      <c r="A272" s="331">
        <v>54402</v>
      </c>
      <c r="B272" s="332" t="s">
        <v>72</v>
      </c>
      <c r="C272" s="465">
        <v>0</v>
      </c>
      <c r="D272" s="466">
        <v>0</v>
      </c>
      <c r="E272" s="466">
        <v>0</v>
      </c>
      <c r="F272" s="467">
        <v>0</v>
      </c>
      <c r="G272" s="336">
        <f t="shared" ref="G272" si="35">+C272+F272</f>
        <v>0</v>
      </c>
      <c r="H272" s="74"/>
    </row>
    <row r="273" spans="1:8" hidden="1" x14ac:dyDescent="0.2">
      <c r="A273" s="331">
        <v>54403</v>
      </c>
      <c r="B273" s="332" t="s">
        <v>73</v>
      </c>
      <c r="C273" s="465">
        <v>0</v>
      </c>
      <c r="D273" s="466">
        <v>0</v>
      </c>
      <c r="E273" s="466">
        <v>0</v>
      </c>
      <c r="F273" s="467">
        <v>0</v>
      </c>
      <c r="G273" s="336">
        <f>SUM(C273:F273)</f>
        <v>0</v>
      </c>
      <c r="H273" s="74"/>
    </row>
    <row r="274" spans="1:8" hidden="1" x14ac:dyDescent="0.2">
      <c r="A274" s="331">
        <v>54404</v>
      </c>
      <c r="B274" s="332" t="s">
        <v>74</v>
      </c>
      <c r="C274" s="532">
        <v>0</v>
      </c>
      <c r="D274" s="533">
        <v>0</v>
      </c>
      <c r="E274" s="533">
        <v>0</v>
      </c>
      <c r="F274" s="534">
        <v>0</v>
      </c>
      <c r="G274" s="533">
        <v>0</v>
      </c>
      <c r="H274" s="74"/>
    </row>
    <row r="275" spans="1:8" hidden="1" x14ac:dyDescent="0.2">
      <c r="A275" s="326">
        <v>545</v>
      </c>
      <c r="B275" s="327" t="s">
        <v>75</v>
      </c>
      <c r="C275" s="328">
        <f>+C277</f>
        <v>0</v>
      </c>
      <c r="D275" s="329">
        <v>0</v>
      </c>
      <c r="E275" s="329">
        <v>0</v>
      </c>
      <c r="F275" s="330">
        <v>0</v>
      </c>
      <c r="G275" s="329">
        <f>+G277</f>
        <v>0</v>
      </c>
      <c r="H275" s="74"/>
    </row>
    <row r="276" spans="1:8" hidden="1" x14ac:dyDescent="0.2">
      <c r="A276" s="331">
        <v>54501</v>
      </c>
      <c r="B276" s="332" t="s">
        <v>76</v>
      </c>
      <c r="C276" s="333"/>
      <c r="D276" s="334">
        <v>0</v>
      </c>
      <c r="E276" s="334">
        <v>0</v>
      </c>
      <c r="F276" s="335">
        <v>0</v>
      </c>
      <c r="G276" s="336">
        <f t="shared" ref="G276:G282" si="36">+C276+F276</f>
        <v>0</v>
      </c>
      <c r="H276" s="74"/>
    </row>
    <row r="277" spans="1:8" hidden="1" x14ac:dyDescent="0.2">
      <c r="A277" s="331">
        <v>54503</v>
      </c>
      <c r="B277" s="332" t="s">
        <v>77</v>
      </c>
      <c r="C277" s="333">
        <v>0</v>
      </c>
      <c r="D277" s="334">
        <v>0</v>
      </c>
      <c r="E277" s="334">
        <v>0</v>
      </c>
      <c r="F277" s="335">
        <v>0</v>
      </c>
      <c r="G277" s="336">
        <f t="shared" si="36"/>
        <v>0</v>
      </c>
      <c r="H277" s="74"/>
    </row>
    <row r="278" spans="1:8" hidden="1" x14ac:dyDescent="0.2">
      <c r="A278" s="331">
        <v>54504</v>
      </c>
      <c r="B278" s="332" t="s">
        <v>78</v>
      </c>
      <c r="C278" s="333"/>
      <c r="D278" s="334"/>
      <c r="E278" s="334"/>
      <c r="F278" s="335"/>
      <c r="G278" s="336">
        <f t="shared" si="36"/>
        <v>0</v>
      </c>
      <c r="H278" s="74"/>
    </row>
    <row r="279" spans="1:8" hidden="1" x14ac:dyDescent="0.2">
      <c r="A279" s="331">
        <v>54505</v>
      </c>
      <c r="B279" s="332" t="s">
        <v>79</v>
      </c>
      <c r="C279" s="333"/>
      <c r="D279" s="334"/>
      <c r="E279" s="334"/>
      <c r="F279" s="335"/>
      <c r="G279" s="336">
        <f t="shared" si="36"/>
        <v>0</v>
      </c>
      <c r="H279" s="74"/>
    </row>
    <row r="280" spans="1:8" hidden="1" x14ac:dyDescent="0.2">
      <c r="A280" s="331">
        <v>54507</v>
      </c>
      <c r="B280" s="332" t="s">
        <v>80</v>
      </c>
      <c r="C280" s="333"/>
      <c r="D280" s="334"/>
      <c r="E280" s="334"/>
      <c r="F280" s="335"/>
      <c r="G280" s="336">
        <f t="shared" si="36"/>
        <v>0</v>
      </c>
      <c r="H280" s="74"/>
    </row>
    <row r="281" spans="1:8" hidden="1" x14ac:dyDescent="0.2">
      <c r="A281" s="331">
        <v>54508</v>
      </c>
      <c r="B281" s="332" t="s">
        <v>81</v>
      </c>
      <c r="C281" s="333"/>
      <c r="D281" s="334"/>
      <c r="E281" s="334"/>
      <c r="F281" s="335"/>
      <c r="G281" s="336">
        <f t="shared" si="36"/>
        <v>0</v>
      </c>
      <c r="H281" s="74"/>
    </row>
    <row r="282" spans="1:8" hidden="1" x14ac:dyDescent="0.2">
      <c r="A282" s="331">
        <v>54599</v>
      </c>
      <c r="B282" s="332" t="s">
        <v>82</v>
      </c>
      <c r="C282" s="333"/>
      <c r="D282" s="334"/>
      <c r="E282" s="334"/>
      <c r="F282" s="335"/>
      <c r="G282" s="336">
        <f t="shared" si="36"/>
        <v>0</v>
      </c>
      <c r="H282" s="74"/>
    </row>
    <row r="283" spans="1:8" hidden="1" x14ac:dyDescent="0.2">
      <c r="A283" s="331"/>
      <c r="B283" s="332"/>
      <c r="C283" s="333"/>
      <c r="D283" s="334"/>
      <c r="E283" s="334"/>
      <c r="F283" s="335"/>
      <c r="G283" s="336"/>
      <c r="H283" s="74"/>
    </row>
    <row r="284" spans="1:8" hidden="1" x14ac:dyDescent="0.2">
      <c r="A284" s="326">
        <v>55</v>
      </c>
      <c r="B284" s="327" t="s">
        <v>83</v>
      </c>
      <c r="C284" s="328">
        <f>C289+C291</f>
        <v>0</v>
      </c>
      <c r="D284" s="329">
        <f t="shared" ref="D284:F284" si="37">D289+D291</f>
        <v>0</v>
      </c>
      <c r="E284" s="329">
        <f t="shared" si="37"/>
        <v>0</v>
      </c>
      <c r="F284" s="330">
        <f t="shared" si="37"/>
        <v>0</v>
      </c>
      <c r="G284" s="329">
        <f>F284+D284+C284</f>
        <v>0</v>
      </c>
      <c r="H284" s="128"/>
    </row>
    <row r="285" spans="1:8" hidden="1" x14ac:dyDescent="0.2">
      <c r="A285" s="326">
        <v>553</v>
      </c>
      <c r="B285" s="327" t="s">
        <v>84</v>
      </c>
      <c r="C285" s="333"/>
      <c r="D285" s="334"/>
      <c r="E285" s="334"/>
      <c r="F285" s="335"/>
      <c r="G285" s="329">
        <f>+C285+F285</f>
        <v>0</v>
      </c>
      <c r="H285" s="128"/>
    </row>
    <row r="286" spans="1:8" hidden="1" x14ac:dyDescent="0.2">
      <c r="A286" s="331">
        <v>55303</v>
      </c>
      <c r="B286" s="332" t="s">
        <v>85</v>
      </c>
      <c r="C286" s="333"/>
      <c r="D286" s="334"/>
      <c r="E286" s="334"/>
      <c r="F286" s="335"/>
      <c r="G286" s="336">
        <f>+C286+F286</f>
        <v>0</v>
      </c>
      <c r="H286" s="128"/>
    </row>
    <row r="287" spans="1:8" hidden="1" x14ac:dyDescent="0.2">
      <c r="A287" s="331">
        <v>55304</v>
      </c>
      <c r="B287" s="332" t="s">
        <v>86</v>
      </c>
      <c r="C287" s="333"/>
      <c r="D287" s="334"/>
      <c r="E287" s="334"/>
      <c r="F287" s="335"/>
      <c r="G287" s="336">
        <f>+C287+F287</f>
        <v>0</v>
      </c>
      <c r="H287" s="128"/>
    </row>
    <row r="288" spans="1:8" hidden="1" x14ac:dyDescent="0.2">
      <c r="A288" s="331">
        <v>55308</v>
      </c>
      <c r="B288" s="332" t="s">
        <v>87</v>
      </c>
      <c r="C288" s="333"/>
      <c r="D288" s="334"/>
      <c r="E288" s="334"/>
      <c r="F288" s="335"/>
      <c r="G288" s="336">
        <f>+C288+F288</f>
        <v>0</v>
      </c>
      <c r="H288" s="128"/>
    </row>
    <row r="289" spans="1:8" s="46" customFormat="1" hidden="1" x14ac:dyDescent="0.2">
      <c r="A289" s="326">
        <v>555</v>
      </c>
      <c r="B289" s="327" t="s">
        <v>438</v>
      </c>
      <c r="C289" s="328">
        <f>C290</f>
        <v>0</v>
      </c>
      <c r="D289" s="329">
        <f t="shared" ref="D289:F289" si="38">D290</f>
        <v>0</v>
      </c>
      <c r="E289" s="329">
        <f t="shared" si="38"/>
        <v>0</v>
      </c>
      <c r="F289" s="330">
        <f t="shared" si="38"/>
        <v>0</v>
      </c>
      <c r="G289" s="329">
        <f>G290</f>
        <v>0</v>
      </c>
      <c r="H289" s="139"/>
    </row>
    <row r="290" spans="1:8" hidden="1" x14ac:dyDescent="0.2">
      <c r="A290" s="331">
        <v>55508</v>
      </c>
      <c r="B290" s="337" t="s">
        <v>329</v>
      </c>
      <c r="C290" s="465">
        <v>0</v>
      </c>
      <c r="D290" s="466">
        <v>0</v>
      </c>
      <c r="E290" s="466">
        <v>0</v>
      </c>
      <c r="F290" s="467">
        <v>0</v>
      </c>
      <c r="G290" s="336">
        <f t="shared" ref="G290" si="39">+C290+F290</f>
        <v>0</v>
      </c>
      <c r="H290" s="128"/>
    </row>
    <row r="291" spans="1:8" hidden="1" x14ac:dyDescent="0.2">
      <c r="A291" s="326">
        <v>556</v>
      </c>
      <c r="B291" s="327" t="s">
        <v>88</v>
      </c>
      <c r="C291" s="468">
        <f>SUM(C292:C294)</f>
        <v>0</v>
      </c>
      <c r="D291" s="469">
        <f>SUM(D292:D294)</f>
        <v>0</v>
      </c>
      <c r="E291" s="469">
        <f t="shared" ref="E291:F291" si="40">SUM(E292:E294)</f>
        <v>0</v>
      </c>
      <c r="F291" s="471">
        <f t="shared" si="40"/>
        <v>0</v>
      </c>
      <c r="G291" s="329">
        <f>C291+D291+F291</f>
        <v>0</v>
      </c>
      <c r="H291" s="128"/>
    </row>
    <row r="292" spans="1:8" hidden="1" x14ac:dyDescent="0.2">
      <c r="A292" s="331">
        <v>55601</v>
      </c>
      <c r="B292" s="332" t="s">
        <v>89</v>
      </c>
      <c r="C292" s="465">
        <v>0</v>
      </c>
      <c r="D292" s="472">
        <v>0</v>
      </c>
      <c r="E292" s="466">
        <v>0</v>
      </c>
      <c r="F292" s="467">
        <v>0</v>
      </c>
      <c r="G292" s="336">
        <f t="shared" ref="G292:G293" si="41">SUM(C292:F292)</f>
        <v>0</v>
      </c>
      <c r="H292" s="128"/>
    </row>
    <row r="293" spans="1:8" hidden="1" x14ac:dyDescent="0.2">
      <c r="A293" s="331">
        <v>55602</v>
      </c>
      <c r="B293" s="332" t="s">
        <v>90</v>
      </c>
      <c r="C293" s="473">
        <v>0</v>
      </c>
      <c r="D293" s="466">
        <v>0</v>
      </c>
      <c r="E293" s="466">
        <v>0</v>
      </c>
      <c r="F293" s="467">
        <v>0</v>
      </c>
      <c r="G293" s="336">
        <f t="shared" si="41"/>
        <v>0</v>
      </c>
      <c r="H293" s="128"/>
    </row>
    <row r="294" spans="1:8" hidden="1" x14ac:dyDescent="0.2">
      <c r="A294" s="331">
        <v>55603</v>
      </c>
      <c r="B294" s="332" t="s">
        <v>91</v>
      </c>
      <c r="C294" s="465">
        <v>0</v>
      </c>
      <c r="D294" s="466">
        <v>0</v>
      </c>
      <c r="E294" s="466">
        <v>0</v>
      </c>
      <c r="F294" s="467">
        <v>0</v>
      </c>
      <c r="G294" s="336">
        <f>SUM(C294:F294)</f>
        <v>0</v>
      </c>
      <c r="H294" s="128"/>
    </row>
    <row r="295" spans="1:8" hidden="1" x14ac:dyDescent="0.2">
      <c r="A295" s="326">
        <v>557</v>
      </c>
      <c r="B295" s="327" t="s">
        <v>92</v>
      </c>
      <c r="C295" s="468"/>
      <c r="D295" s="469">
        <f>SUM(D296:D298)</f>
        <v>0</v>
      </c>
      <c r="E295" s="469"/>
      <c r="F295" s="470"/>
      <c r="G295" s="329">
        <f>+C295+D295+F295</f>
        <v>0</v>
      </c>
      <c r="H295" s="128"/>
    </row>
    <row r="296" spans="1:8" ht="13.5" hidden="1" thickBot="1" x14ac:dyDescent="0.25">
      <c r="A296" s="338">
        <v>55701</v>
      </c>
      <c r="B296" s="339" t="s">
        <v>93</v>
      </c>
      <c r="C296" s="474"/>
      <c r="D296" s="475"/>
      <c r="E296" s="475"/>
      <c r="F296" s="476"/>
      <c r="G296" s="340"/>
      <c r="H296" s="128"/>
    </row>
    <row r="297" spans="1:8" ht="12.75" hidden="1" customHeight="1" x14ac:dyDescent="0.2">
      <c r="A297" s="341">
        <v>55702</v>
      </c>
      <c r="B297" s="342" t="s">
        <v>94</v>
      </c>
      <c r="C297" s="477"/>
      <c r="D297" s="478"/>
      <c r="E297" s="478"/>
      <c r="F297" s="479"/>
      <c r="G297" s="343"/>
      <c r="H297" s="128"/>
    </row>
    <row r="298" spans="1:8" ht="12.75" hidden="1" customHeight="1" x14ac:dyDescent="0.2">
      <c r="A298" s="341">
        <v>55799</v>
      </c>
      <c r="B298" s="342" t="s">
        <v>95</v>
      </c>
      <c r="C298" s="477"/>
      <c r="D298" s="478"/>
      <c r="E298" s="478"/>
      <c r="F298" s="479"/>
      <c r="G298" s="343"/>
      <c r="H298" s="128"/>
    </row>
    <row r="299" spans="1:8" ht="12.75" hidden="1" customHeight="1" x14ac:dyDescent="0.2">
      <c r="A299" s="344"/>
      <c r="B299" s="345"/>
      <c r="C299" s="480"/>
      <c r="D299" s="481"/>
      <c r="E299" s="481"/>
      <c r="F299" s="482"/>
      <c r="G299" s="346"/>
      <c r="H299" s="128"/>
    </row>
    <row r="300" spans="1:8" ht="12.75" hidden="1" customHeight="1" x14ac:dyDescent="0.2">
      <c r="A300" s="331"/>
      <c r="B300" s="332"/>
      <c r="C300" s="465"/>
      <c r="D300" s="466"/>
      <c r="E300" s="466"/>
      <c r="F300" s="467"/>
      <c r="G300" s="336"/>
      <c r="H300" s="128"/>
    </row>
    <row r="301" spans="1:8" hidden="1" x14ac:dyDescent="0.2">
      <c r="A301" s="347">
        <v>56</v>
      </c>
      <c r="B301" s="348" t="s">
        <v>96</v>
      </c>
      <c r="C301" s="483">
        <f>C302+C305</f>
        <v>0</v>
      </c>
      <c r="D301" s="484">
        <f>D302+D305</f>
        <v>0</v>
      </c>
      <c r="E301" s="484"/>
      <c r="F301" s="485">
        <f>F302+F305</f>
        <v>0</v>
      </c>
      <c r="G301" s="349">
        <f>+C301+F301</f>
        <v>0</v>
      </c>
      <c r="H301" s="128"/>
    </row>
    <row r="302" spans="1:8" hidden="1" x14ac:dyDescent="0.2">
      <c r="A302" s="326">
        <v>562</v>
      </c>
      <c r="B302" s="327" t="s">
        <v>97</v>
      </c>
      <c r="C302" s="468">
        <f>C304</f>
        <v>0</v>
      </c>
      <c r="D302" s="469">
        <f>SUM(D303:D304)</f>
        <v>0</v>
      </c>
      <c r="E302" s="469"/>
      <c r="F302" s="470"/>
      <c r="G302" s="329">
        <f t="shared" ref="G302:G307" si="42">+C302+F302</f>
        <v>0</v>
      </c>
      <c r="H302" s="128"/>
    </row>
    <row r="303" spans="1:8" hidden="1" x14ac:dyDescent="0.2">
      <c r="A303" s="331">
        <v>56201</v>
      </c>
      <c r="B303" s="337" t="s">
        <v>440</v>
      </c>
      <c r="C303" s="465"/>
      <c r="D303" s="466"/>
      <c r="E303" s="466"/>
      <c r="F303" s="467"/>
      <c r="G303" s="336">
        <f t="shared" si="42"/>
        <v>0</v>
      </c>
      <c r="H303" s="128"/>
    </row>
    <row r="304" spans="1:8" hidden="1" x14ac:dyDescent="0.2">
      <c r="A304" s="331">
        <v>56201</v>
      </c>
      <c r="B304" s="337" t="s">
        <v>587</v>
      </c>
      <c r="C304" s="465">
        <v>0</v>
      </c>
      <c r="D304" s="466">
        <v>0</v>
      </c>
      <c r="E304" s="466">
        <v>0</v>
      </c>
      <c r="F304" s="467">
        <v>0</v>
      </c>
      <c r="G304" s="336">
        <f t="shared" si="42"/>
        <v>0</v>
      </c>
      <c r="H304" s="128"/>
    </row>
    <row r="305" spans="1:8" hidden="1" x14ac:dyDescent="0.2">
      <c r="A305" s="326">
        <v>563</v>
      </c>
      <c r="B305" s="327" t="s">
        <v>99</v>
      </c>
      <c r="C305" s="468">
        <f>SUM(C306:C307)</f>
        <v>0</v>
      </c>
      <c r="D305" s="469">
        <f>SUM(D306:D307)</f>
        <v>0</v>
      </c>
      <c r="E305" s="469">
        <f t="shared" ref="E305:F305" si="43">SUM(E306:E307)</f>
        <v>0</v>
      </c>
      <c r="F305" s="471">
        <f t="shared" si="43"/>
        <v>0</v>
      </c>
      <c r="G305" s="329">
        <f t="shared" si="42"/>
        <v>0</v>
      </c>
      <c r="H305" s="128"/>
    </row>
    <row r="306" spans="1:8" hidden="1" x14ac:dyDescent="0.2">
      <c r="A306" s="331">
        <v>56303</v>
      </c>
      <c r="B306" s="332" t="s">
        <v>98</v>
      </c>
      <c r="C306" s="465"/>
      <c r="D306" s="466"/>
      <c r="E306" s="466"/>
      <c r="F306" s="467"/>
      <c r="G306" s="336">
        <f t="shared" si="42"/>
        <v>0</v>
      </c>
      <c r="H306" s="128"/>
    </row>
    <row r="307" spans="1:8" hidden="1" x14ac:dyDescent="0.2">
      <c r="A307" s="331">
        <v>56304</v>
      </c>
      <c r="B307" s="332" t="s">
        <v>100</v>
      </c>
      <c r="C307" s="465">
        <v>0</v>
      </c>
      <c r="D307" s="466">
        <v>0</v>
      </c>
      <c r="E307" s="466">
        <v>0</v>
      </c>
      <c r="F307" s="467">
        <v>0</v>
      </c>
      <c r="G307" s="336">
        <f t="shared" si="42"/>
        <v>0</v>
      </c>
      <c r="H307" s="128"/>
    </row>
    <row r="308" spans="1:8" hidden="1" x14ac:dyDescent="0.2">
      <c r="A308" s="331"/>
      <c r="B308" s="332"/>
      <c r="C308" s="465"/>
      <c r="D308" s="466"/>
      <c r="E308" s="466"/>
      <c r="F308" s="467"/>
      <c r="G308" s="336"/>
      <c r="H308" s="128"/>
    </row>
    <row r="309" spans="1:8" s="46" customFormat="1" hidden="1" x14ac:dyDescent="0.2">
      <c r="A309" s="326">
        <v>72</v>
      </c>
      <c r="B309" s="327" t="s">
        <v>13</v>
      </c>
      <c r="C309" s="468">
        <f>C310</f>
        <v>0</v>
      </c>
      <c r="D309" s="469">
        <f t="shared" ref="D309:G310" si="44">D310</f>
        <v>0</v>
      </c>
      <c r="E309" s="469">
        <f t="shared" si="44"/>
        <v>0</v>
      </c>
      <c r="F309" s="486">
        <f t="shared" si="44"/>
        <v>0</v>
      </c>
      <c r="G309" s="329">
        <f t="shared" si="44"/>
        <v>0</v>
      </c>
      <c r="H309" s="129"/>
    </row>
    <row r="310" spans="1:8" s="46" customFormat="1" hidden="1" x14ac:dyDescent="0.2">
      <c r="A310" s="326">
        <v>721</v>
      </c>
      <c r="B310" s="327" t="s">
        <v>180</v>
      </c>
      <c r="C310" s="468">
        <f>C311</f>
        <v>0</v>
      </c>
      <c r="D310" s="469">
        <f t="shared" si="44"/>
        <v>0</v>
      </c>
      <c r="E310" s="469">
        <f t="shared" si="44"/>
        <v>0</v>
      </c>
      <c r="F310" s="486">
        <f t="shared" si="44"/>
        <v>0</v>
      </c>
      <c r="G310" s="329">
        <f t="shared" si="44"/>
        <v>0</v>
      </c>
      <c r="H310" s="129"/>
    </row>
    <row r="311" spans="1:8" hidden="1" x14ac:dyDescent="0.2">
      <c r="A311" s="331">
        <v>72101</v>
      </c>
      <c r="B311" s="332" t="s">
        <v>180</v>
      </c>
      <c r="C311" s="522">
        <v>0</v>
      </c>
      <c r="D311" s="466"/>
      <c r="E311" s="466"/>
      <c r="F311" s="487"/>
      <c r="G311" s="352">
        <f>C311+D311+E311+F311</f>
        <v>0</v>
      </c>
      <c r="H311" s="74"/>
    </row>
    <row r="312" spans="1:8" hidden="1" x14ac:dyDescent="0.2">
      <c r="A312" s="353" t="s">
        <v>160</v>
      </c>
      <c r="B312" s="354" t="s">
        <v>161</v>
      </c>
      <c r="C312" s="488">
        <f t="shared" ref="C312:G313" si="45">C313</f>
        <v>0</v>
      </c>
      <c r="D312" s="489">
        <f t="shared" si="45"/>
        <v>0</v>
      </c>
      <c r="E312" s="489">
        <f t="shared" si="45"/>
        <v>0</v>
      </c>
      <c r="F312" s="489">
        <f t="shared" si="45"/>
        <v>0</v>
      </c>
      <c r="G312" s="357">
        <f t="shared" si="45"/>
        <v>0</v>
      </c>
      <c r="H312" s="74"/>
    </row>
    <row r="313" spans="1:8" hidden="1" x14ac:dyDescent="0.2">
      <c r="A313" s="353" t="s">
        <v>245</v>
      </c>
      <c r="B313" s="354" t="s">
        <v>197</v>
      </c>
      <c r="C313" s="488">
        <f t="shared" si="45"/>
        <v>0</v>
      </c>
      <c r="D313" s="489">
        <f t="shared" si="45"/>
        <v>0</v>
      </c>
      <c r="E313" s="489">
        <f t="shared" si="45"/>
        <v>0</v>
      </c>
      <c r="F313" s="489">
        <f t="shared" si="45"/>
        <v>0</v>
      </c>
      <c r="G313" s="357">
        <f t="shared" si="45"/>
        <v>0</v>
      </c>
      <c r="H313" s="74"/>
    </row>
    <row r="314" spans="1:8" ht="13.5" hidden="1" thickBot="1" x14ac:dyDescent="0.25">
      <c r="A314" s="358" t="s">
        <v>246</v>
      </c>
      <c r="B314" s="807" t="s">
        <v>780</v>
      </c>
      <c r="C314" s="490"/>
      <c r="D314" s="491"/>
      <c r="E314" s="491"/>
      <c r="F314" s="491"/>
      <c r="G314" s="361">
        <f>+C314+F314</f>
        <v>0</v>
      </c>
      <c r="H314" s="74"/>
    </row>
    <row r="315" spans="1:8" ht="13.5" hidden="1" thickBot="1" x14ac:dyDescent="0.25">
      <c r="A315" s="362"/>
      <c r="B315" s="363" t="s">
        <v>25</v>
      </c>
      <c r="C315" s="492">
        <f>C227+C284+C301+C309</f>
        <v>0</v>
      </c>
      <c r="D315" s="492">
        <f>D227+D284+D301+D309</f>
        <v>0</v>
      </c>
      <c r="E315" s="492">
        <f t="shared" ref="E315:F315" si="46">E227+E284+E301+E309</f>
        <v>0</v>
      </c>
      <c r="F315" s="492">
        <f t="shared" si="46"/>
        <v>0</v>
      </c>
      <c r="G315" s="492">
        <f>G227+G284+G301+G309</f>
        <v>0</v>
      </c>
      <c r="H315" s="76"/>
    </row>
    <row r="316" spans="1:8" hidden="1" x14ac:dyDescent="0.2">
      <c r="G316" s="460"/>
    </row>
    <row r="317" spans="1:8" hidden="1" x14ac:dyDescent="0.2">
      <c r="G317" s="365">
        <f>+G315-G316</f>
        <v>0</v>
      </c>
    </row>
    <row r="318" spans="1:8" hidden="1" x14ac:dyDescent="0.2"/>
    <row r="319" spans="1:8" hidden="1" x14ac:dyDescent="0.2"/>
    <row r="320" spans="1:8" hidden="1" x14ac:dyDescent="0.2"/>
    <row r="321" spans="1:8" hidden="1" x14ac:dyDescent="0.2"/>
    <row r="322" spans="1:8" hidden="1" x14ac:dyDescent="0.2"/>
    <row r="323" spans="1:8" hidden="1" x14ac:dyDescent="0.2"/>
    <row r="324" spans="1:8" hidden="1" x14ac:dyDescent="0.2"/>
    <row r="326" spans="1:8" x14ac:dyDescent="0.2">
      <c r="A326" s="1466" t="s">
        <v>778</v>
      </c>
      <c r="B326" s="1466"/>
      <c r="C326" s="1466"/>
      <c r="D326" s="1466"/>
      <c r="E326" s="1466"/>
      <c r="F326" s="1466"/>
      <c r="G326" s="1466"/>
    </row>
    <row r="327" spans="1:8" x14ac:dyDescent="0.2">
      <c r="A327" s="1466" t="s">
        <v>101</v>
      </c>
      <c r="B327" s="1466"/>
      <c r="C327" s="1466"/>
      <c r="D327" s="1466"/>
      <c r="E327" s="1466"/>
      <c r="F327" s="1466"/>
      <c r="G327" s="1466"/>
    </row>
    <row r="328" spans="1:8" x14ac:dyDescent="0.2">
      <c r="A328" s="1466" t="s">
        <v>102</v>
      </c>
      <c r="B328" s="1466"/>
      <c r="C328" s="1466"/>
      <c r="D328" s="1466"/>
      <c r="E328" s="1466"/>
      <c r="F328" s="1466"/>
      <c r="G328" s="1466"/>
    </row>
    <row r="329" spans="1:8" x14ac:dyDescent="0.2">
      <c r="A329" s="1466" t="s">
        <v>413</v>
      </c>
      <c r="B329" s="1466"/>
      <c r="C329" s="1466"/>
      <c r="D329" s="1466"/>
      <c r="E329" s="1466"/>
      <c r="F329" s="1466"/>
      <c r="G329" s="1466"/>
    </row>
    <row r="330" spans="1:8" x14ac:dyDescent="0.2">
      <c r="A330" s="1466" t="s">
        <v>847</v>
      </c>
      <c r="B330" s="1466"/>
      <c r="C330" s="1466"/>
      <c r="D330" s="1466"/>
      <c r="E330" s="1466"/>
      <c r="F330" s="1466"/>
      <c r="G330" s="1466"/>
    </row>
    <row r="331" spans="1:8" ht="13.5" thickBot="1" x14ac:dyDescent="0.25">
      <c r="B331" s="319"/>
      <c r="H331" s="74"/>
    </row>
    <row r="332" spans="1:8" ht="13.5" thickBot="1" x14ac:dyDescent="0.25">
      <c r="A332" s="1469" t="s">
        <v>511</v>
      </c>
      <c r="B332" s="1469" t="s">
        <v>14</v>
      </c>
      <c r="C332" s="1472" t="s">
        <v>697</v>
      </c>
      <c r="D332" s="1473"/>
      <c r="E332" s="1473"/>
      <c r="F332" s="1473"/>
      <c r="G332" s="1474"/>
    </row>
    <row r="333" spans="1:8" ht="12.75" customHeight="1" x14ac:dyDescent="0.2">
      <c r="A333" s="1470"/>
      <c r="B333" s="1470"/>
      <c r="C333" s="1467" t="s">
        <v>779</v>
      </c>
      <c r="D333" s="1467" t="s">
        <v>453</v>
      </c>
      <c r="E333" s="1467" t="s">
        <v>105</v>
      </c>
      <c r="F333" s="1467" t="s">
        <v>184</v>
      </c>
      <c r="G333" s="1467" t="s">
        <v>4</v>
      </c>
    </row>
    <row r="334" spans="1:8" ht="39.75" customHeight="1" thickBot="1" x14ac:dyDescent="0.25">
      <c r="A334" s="1471"/>
      <c r="B334" s="1471"/>
      <c r="C334" s="1468"/>
      <c r="D334" s="1468"/>
      <c r="E334" s="1468"/>
      <c r="F334" s="1468"/>
      <c r="G334" s="1468"/>
    </row>
    <row r="335" spans="1:8" x14ac:dyDescent="0.2">
      <c r="A335" s="321">
        <v>54</v>
      </c>
      <c r="B335" s="322" t="s">
        <v>27</v>
      </c>
      <c r="C335" s="323">
        <f>C336+C356+C362+C378+C383</f>
        <v>11192.419999999998</v>
      </c>
      <c r="D335" s="324">
        <f>D336+D356+D362+D378</f>
        <v>0</v>
      </c>
      <c r="E335" s="324">
        <f>E336+E356+E362+E378</f>
        <v>0</v>
      </c>
      <c r="F335" s="325">
        <f>F336+F356+F362+F378</f>
        <v>0</v>
      </c>
      <c r="G335" s="324">
        <f>G336+G356+G362+G378+G383</f>
        <v>11192.419999999998</v>
      </c>
      <c r="H335" s="74"/>
    </row>
    <row r="336" spans="1:8" x14ac:dyDescent="0.2">
      <c r="A336" s="326">
        <v>541</v>
      </c>
      <c r="B336" s="327" t="s">
        <v>28</v>
      </c>
      <c r="C336" s="328">
        <f>SUM(C337:C355)</f>
        <v>11192.419999999998</v>
      </c>
      <c r="D336" s="329">
        <f>SUM(D337:D355)</f>
        <v>0</v>
      </c>
      <c r="E336" s="329">
        <f>SUM(E337:E355)</f>
        <v>0</v>
      </c>
      <c r="F336" s="330">
        <f>SUM(F337:F355)</f>
        <v>0</v>
      </c>
      <c r="G336" s="329">
        <f>SUM(C336:F336)</f>
        <v>11192.419999999998</v>
      </c>
      <c r="H336" s="74"/>
    </row>
    <row r="337" spans="1:8" x14ac:dyDescent="0.2">
      <c r="A337" s="331">
        <v>54101</v>
      </c>
      <c r="B337" s="332" t="s">
        <v>29</v>
      </c>
      <c r="C337" s="465">
        <f>C121+C229</f>
        <v>0</v>
      </c>
      <c r="D337" s="466">
        <f t="shared" ref="D337:F337" si="47">D121+D229</f>
        <v>0</v>
      </c>
      <c r="E337" s="466">
        <f t="shared" si="47"/>
        <v>0</v>
      </c>
      <c r="F337" s="467">
        <f t="shared" si="47"/>
        <v>0</v>
      </c>
      <c r="G337" s="336">
        <f>SUM(C337:F337)</f>
        <v>0</v>
      </c>
      <c r="H337" s="74"/>
    </row>
    <row r="338" spans="1:8" x14ac:dyDescent="0.2">
      <c r="A338" s="331">
        <v>54103</v>
      </c>
      <c r="B338" s="332" t="s">
        <v>30</v>
      </c>
      <c r="C338" s="333">
        <f t="shared" ref="C338:F355" si="48">C122+C230</f>
        <v>0</v>
      </c>
      <c r="D338" s="466">
        <f t="shared" si="48"/>
        <v>0</v>
      </c>
      <c r="E338" s="466">
        <f t="shared" si="48"/>
        <v>0</v>
      </c>
      <c r="F338" s="467">
        <f t="shared" si="48"/>
        <v>0</v>
      </c>
      <c r="G338" s="336">
        <f>+C338+F338</f>
        <v>0</v>
      </c>
      <c r="H338" s="74"/>
    </row>
    <row r="339" spans="1:8" x14ac:dyDescent="0.2">
      <c r="A339" s="331">
        <v>54104</v>
      </c>
      <c r="B339" s="332" t="s">
        <v>31</v>
      </c>
      <c r="C339" s="333">
        <f t="shared" si="48"/>
        <v>0</v>
      </c>
      <c r="D339" s="466">
        <f t="shared" si="48"/>
        <v>0</v>
      </c>
      <c r="E339" s="466">
        <f t="shared" si="48"/>
        <v>0</v>
      </c>
      <c r="F339" s="467">
        <f t="shared" si="48"/>
        <v>0</v>
      </c>
      <c r="G339" s="336">
        <f t="shared" ref="G339:G361" si="49">SUM(C339:F339)</f>
        <v>0</v>
      </c>
      <c r="H339" s="74"/>
    </row>
    <row r="340" spans="1:8" x14ac:dyDescent="0.2">
      <c r="A340" s="331">
        <v>54105</v>
      </c>
      <c r="B340" s="332" t="s">
        <v>32</v>
      </c>
      <c r="C340" s="333">
        <f>C124+C232</f>
        <v>0</v>
      </c>
      <c r="D340" s="466">
        <f t="shared" si="48"/>
        <v>0</v>
      </c>
      <c r="E340" s="466">
        <f t="shared" si="48"/>
        <v>0</v>
      </c>
      <c r="F340" s="467">
        <f t="shared" si="48"/>
        <v>0</v>
      </c>
      <c r="G340" s="336">
        <f t="shared" si="49"/>
        <v>0</v>
      </c>
      <c r="H340" s="74"/>
    </row>
    <row r="341" spans="1:8" hidden="1" x14ac:dyDescent="0.2">
      <c r="A341" s="331">
        <v>54106</v>
      </c>
      <c r="B341" s="332" t="s">
        <v>33</v>
      </c>
      <c r="C341" s="333">
        <f t="shared" si="48"/>
        <v>0</v>
      </c>
      <c r="D341" s="466">
        <f t="shared" si="48"/>
        <v>0</v>
      </c>
      <c r="E341" s="466">
        <f t="shared" si="48"/>
        <v>0</v>
      </c>
      <c r="F341" s="467">
        <f t="shared" si="48"/>
        <v>0</v>
      </c>
      <c r="G341" s="336">
        <f t="shared" si="49"/>
        <v>0</v>
      </c>
      <c r="H341" s="74"/>
    </row>
    <row r="342" spans="1:8" x14ac:dyDescent="0.2">
      <c r="A342" s="331">
        <v>54107</v>
      </c>
      <c r="B342" s="332" t="s">
        <v>34</v>
      </c>
      <c r="C342" s="333">
        <f t="shared" si="48"/>
        <v>0</v>
      </c>
      <c r="D342" s="466">
        <f t="shared" si="48"/>
        <v>0</v>
      </c>
      <c r="E342" s="466">
        <f t="shared" si="48"/>
        <v>0</v>
      </c>
      <c r="F342" s="467">
        <f t="shared" si="48"/>
        <v>0</v>
      </c>
      <c r="G342" s="336">
        <f t="shared" si="49"/>
        <v>0</v>
      </c>
      <c r="H342" s="74"/>
    </row>
    <row r="343" spans="1:8" x14ac:dyDescent="0.2">
      <c r="A343" s="331">
        <v>54108</v>
      </c>
      <c r="B343" s="332" t="s">
        <v>35</v>
      </c>
      <c r="C343" s="333">
        <f t="shared" si="48"/>
        <v>0</v>
      </c>
      <c r="D343" s="466">
        <f t="shared" si="48"/>
        <v>0</v>
      </c>
      <c r="E343" s="466">
        <f t="shared" si="48"/>
        <v>0</v>
      </c>
      <c r="F343" s="467">
        <f t="shared" si="48"/>
        <v>0</v>
      </c>
      <c r="G343" s="336">
        <f t="shared" si="49"/>
        <v>0</v>
      </c>
      <c r="H343" s="74"/>
    </row>
    <row r="344" spans="1:8" x14ac:dyDescent="0.2">
      <c r="A344" s="331">
        <v>54109</v>
      </c>
      <c r="B344" s="332" t="s">
        <v>36</v>
      </c>
      <c r="C344" s="333">
        <f t="shared" si="48"/>
        <v>0</v>
      </c>
      <c r="D344" s="466">
        <f t="shared" si="48"/>
        <v>0</v>
      </c>
      <c r="E344" s="466">
        <f t="shared" si="48"/>
        <v>0</v>
      </c>
      <c r="F344" s="467">
        <f t="shared" si="48"/>
        <v>0</v>
      </c>
      <c r="G344" s="336">
        <f t="shared" si="49"/>
        <v>0</v>
      </c>
      <c r="H344" s="74"/>
    </row>
    <row r="345" spans="1:8" x14ac:dyDescent="0.2">
      <c r="A345" s="331">
        <v>54110</v>
      </c>
      <c r="B345" s="332" t="s">
        <v>37</v>
      </c>
      <c r="C345" s="333">
        <f t="shared" si="48"/>
        <v>0</v>
      </c>
      <c r="D345" s="466">
        <f t="shared" si="48"/>
        <v>0</v>
      </c>
      <c r="E345" s="466">
        <f t="shared" si="48"/>
        <v>0</v>
      </c>
      <c r="F345" s="467">
        <f t="shared" si="48"/>
        <v>0</v>
      </c>
      <c r="G345" s="336">
        <f t="shared" si="49"/>
        <v>0</v>
      </c>
      <c r="H345" s="74"/>
    </row>
    <row r="346" spans="1:8" x14ac:dyDescent="0.2">
      <c r="A346" s="331">
        <v>54111</v>
      </c>
      <c r="B346" s="332" t="s">
        <v>38</v>
      </c>
      <c r="C346" s="333">
        <f t="shared" si="48"/>
        <v>0</v>
      </c>
      <c r="D346" s="466">
        <f t="shared" si="48"/>
        <v>0</v>
      </c>
      <c r="E346" s="466">
        <f t="shared" si="48"/>
        <v>0</v>
      </c>
      <c r="F346" s="467">
        <f t="shared" si="48"/>
        <v>0</v>
      </c>
      <c r="G346" s="336">
        <f t="shared" si="49"/>
        <v>0</v>
      </c>
      <c r="H346" s="74"/>
    </row>
    <row r="347" spans="1:8" x14ac:dyDescent="0.2">
      <c r="A347" s="331">
        <v>54112</v>
      </c>
      <c r="B347" s="332" t="s">
        <v>39</v>
      </c>
      <c r="C347" s="333">
        <f t="shared" si="48"/>
        <v>0</v>
      </c>
      <c r="D347" s="466">
        <f t="shared" si="48"/>
        <v>0</v>
      </c>
      <c r="E347" s="466">
        <f t="shared" si="48"/>
        <v>0</v>
      </c>
      <c r="F347" s="467">
        <f t="shared" si="48"/>
        <v>0</v>
      </c>
      <c r="G347" s="336">
        <f t="shared" si="49"/>
        <v>0</v>
      </c>
      <c r="H347" s="74"/>
    </row>
    <row r="348" spans="1:8" x14ac:dyDescent="0.2">
      <c r="A348" s="331">
        <v>54114</v>
      </c>
      <c r="B348" s="332" t="s">
        <v>40</v>
      </c>
      <c r="C348" s="333">
        <f>C132+C240</f>
        <v>0</v>
      </c>
      <c r="D348" s="466">
        <f t="shared" si="48"/>
        <v>0</v>
      </c>
      <c r="E348" s="466">
        <f t="shared" si="48"/>
        <v>0</v>
      </c>
      <c r="F348" s="467">
        <f t="shared" si="48"/>
        <v>0</v>
      </c>
      <c r="G348" s="336">
        <f t="shared" si="49"/>
        <v>0</v>
      </c>
      <c r="H348" s="74"/>
    </row>
    <row r="349" spans="1:8" x14ac:dyDescent="0.2">
      <c r="A349" s="331">
        <v>54115</v>
      </c>
      <c r="B349" s="332" t="s">
        <v>41</v>
      </c>
      <c r="C349" s="333">
        <f t="shared" si="48"/>
        <v>0</v>
      </c>
      <c r="D349" s="466">
        <f t="shared" si="48"/>
        <v>0</v>
      </c>
      <c r="E349" s="466">
        <f t="shared" si="48"/>
        <v>0</v>
      </c>
      <c r="F349" s="467">
        <f t="shared" si="48"/>
        <v>0</v>
      </c>
      <c r="G349" s="336">
        <f t="shared" si="49"/>
        <v>0</v>
      </c>
      <c r="H349" s="74"/>
    </row>
    <row r="350" spans="1:8" x14ac:dyDescent="0.2">
      <c r="A350" s="331">
        <v>54116</v>
      </c>
      <c r="B350" s="332" t="s">
        <v>42</v>
      </c>
      <c r="C350" s="333">
        <f t="shared" si="48"/>
        <v>0</v>
      </c>
      <c r="D350" s="466">
        <f t="shared" si="48"/>
        <v>0</v>
      </c>
      <c r="E350" s="466">
        <f t="shared" si="48"/>
        <v>0</v>
      </c>
      <c r="F350" s="467">
        <f t="shared" si="48"/>
        <v>0</v>
      </c>
      <c r="G350" s="336">
        <f t="shared" si="49"/>
        <v>0</v>
      </c>
      <c r="H350" s="74"/>
    </row>
    <row r="351" spans="1:8" hidden="1" x14ac:dyDescent="0.2">
      <c r="A351" s="331">
        <v>54117</v>
      </c>
      <c r="B351" s="332" t="s">
        <v>43</v>
      </c>
      <c r="C351" s="333">
        <f t="shared" si="48"/>
        <v>0</v>
      </c>
      <c r="D351" s="466">
        <f t="shared" si="48"/>
        <v>0</v>
      </c>
      <c r="E351" s="466">
        <f t="shared" si="48"/>
        <v>0</v>
      </c>
      <c r="F351" s="467">
        <f t="shared" si="48"/>
        <v>0</v>
      </c>
      <c r="G351" s="336">
        <f t="shared" si="49"/>
        <v>0</v>
      </c>
      <c r="H351" s="74"/>
    </row>
    <row r="352" spans="1:8" x14ac:dyDescent="0.2">
      <c r="A352" s="331">
        <v>54118</v>
      </c>
      <c r="B352" s="332" t="s">
        <v>44</v>
      </c>
      <c r="C352" s="333">
        <f t="shared" si="48"/>
        <v>0</v>
      </c>
      <c r="D352" s="466">
        <f t="shared" si="48"/>
        <v>0</v>
      </c>
      <c r="E352" s="466">
        <f t="shared" si="48"/>
        <v>0</v>
      </c>
      <c r="F352" s="467">
        <f t="shared" si="48"/>
        <v>0</v>
      </c>
      <c r="G352" s="336">
        <f t="shared" si="49"/>
        <v>0</v>
      </c>
      <c r="H352" s="74"/>
    </row>
    <row r="353" spans="1:10" x14ac:dyDescent="0.2">
      <c r="A353" s="331">
        <v>54119</v>
      </c>
      <c r="B353" s="332" t="s">
        <v>45</v>
      </c>
      <c r="C353" s="333">
        <f t="shared" si="48"/>
        <v>0</v>
      </c>
      <c r="D353" s="466">
        <f t="shared" si="48"/>
        <v>0</v>
      </c>
      <c r="E353" s="466">
        <f t="shared" si="48"/>
        <v>0</v>
      </c>
      <c r="F353" s="467">
        <f t="shared" si="48"/>
        <v>0</v>
      </c>
      <c r="G353" s="336">
        <f t="shared" si="49"/>
        <v>0</v>
      </c>
      <c r="H353" s="74"/>
    </row>
    <row r="354" spans="1:10" x14ac:dyDescent="0.2">
      <c r="A354" s="331">
        <v>54121</v>
      </c>
      <c r="B354" s="332" t="s">
        <v>46</v>
      </c>
      <c r="C354" s="333">
        <v>0</v>
      </c>
      <c r="D354" s="466">
        <f t="shared" si="48"/>
        <v>0</v>
      </c>
      <c r="E354" s="466">
        <f t="shared" si="48"/>
        <v>0</v>
      </c>
      <c r="F354" s="467">
        <f t="shared" si="48"/>
        <v>0</v>
      </c>
      <c r="G354" s="336">
        <f t="shared" si="49"/>
        <v>0</v>
      </c>
      <c r="H354" s="74"/>
      <c r="J354" s="320"/>
    </row>
    <row r="355" spans="1:10" x14ac:dyDescent="0.2">
      <c r="A355" s="331">
        <v>54199</v>
      </c>
      <c r="B355" s="332" t="s">
        <v>47</v>
      </c>
      <c r="C355" s="333">
        <f>(681.12+2709.54+716.42+310+1998+194+1109.25+5.98+767.19)-177-17.7-106.5-310-21.67-548.05+1403.2-693+3171.64</f>
        <v>11192.419999999998</v>
      </c>
      <c r="D355" s="466">
        <f t="shared" si="48"/>
        <v>0</v>
      </c>
      <c r="E355" s="466">
        <f t="shared" si="48"/>
        <v>0</v>
      </c>
      <c r="F355" s="467">
        <f t="shared" si="48"/>
        <v>0</v>
      </c>
      <c r="G355" s="336">
        <f t="shared" si="49"/>
        <v>11192.419999999998</v>
      </c>
      <c r="H355" s="74"/>
      <c r="I355" s="320"/>
    </row>
    <row r="356" spans="1:10" x14ac:dyDescent="0.2">
      <c r="A356" s="326">
        <v>542</v>
      </c>
      <c r="B356" s="327" t="s">
        <v>48</v>
      </c>
      <c r="C356" s="468">
        <f>SUM(C357:C361)</f>
        <v>0</v>
      </c>
      <c r="D356" s="469">
        <f>SUM(D357:D361)</f>
        <v>0</v>
      </c>
      <c r="E356" s="469">
        <f>SUM(E357:E361)</f>
        <v>0</v>
      </c>
      <c r="F356" s="470">
        <f>SUM(F357:F361)</f>
        <v>0</v>
      </c>
      <c r="G356" s="329">
        <f t="shared" si="49"/>
        <v>0</v>
      </c>
      <c r="H356" s="74"/>
    </row>
    <row r="357" spans="1:10" x14ac:dyDescent="0.2">
      <c r="A357" s="331">
        <v>54201</v>
      </c>
      <c r="B357" s="332" t="s">
        <v>49</v>
      </c>
      <c r="C357" s="465">
        <f t="shared" ref="C357:F357" si="50">C141+C249</f>
        <v>0</v>
      </c>
      <c r="D357" s="466">
        <f t="shared" si="50"/>
        <v>0</v>
      </c>
      <c r="E357" s="466">
        <f t="shared" si="50"/>
        <v>0</v>
      </c>
      <c r="F357" s="467">
        <f t="shared" si="50"/>
        <v>0</v>
      </c>
      <c r="G357" s="336">
        <f t="shared" si="49"/>
        <v>0</v>
      </c>
      <c r="H357" s="320"/>
    </row>
    <row r="358" spans="1:10" x14ac:dyDescent="0.2">
      <c r="A358" s="331">
        <v>54202</v>
      </c>
      <c r="B358" s="332" t="s">
        <v>50</v>
      </c>
      <c r="C358" s="465">
        <f t="shared" ref="C358:F358" si="51">C142+C250</f>
        <v>0</v>
      </c>
      <c r="D358" s="466">
        <f t="shared" si="51"/>
        <v>0</v>
      </c>
      <c r="E358" s="466">
        <f t="shared" si="51"/>
        <v>0</v>
      </c>
      <c r="F358" s="467">
        <f t="shared" si="51"/>
        <v>0</v>
      </c>
      <c r="G358" s="336">
        <f t="shared" si="49"/>
        <v>0</v>
      </c>
      <c r="H358" s="74"/>
    </row>
    <row r="359" spans="1:10" x14ac:dyDescent="0.2">
      <c r="A359" s="331">
        <v>54203</v>
      </c>
      <c r="B359" s="332" t="s">
        <v>51</v>
      </c>
      <c r="C359" s="465">
        <f t="shared" ref="C359:F359" si="52">C143+C251</f>
        <v>0</v>
      </c>
      <c r="D359" s="466">
        <f t="shared" si="52"/>
        <v>0</v>
      </c>
      <c r="E359" s="466">
        <f t="shared" si="52"/>
        <v>0</v>
      </c>
      <c r="F359" s="467">
        <f t="shared" si="52"/>
        <v>0</v>
      </c>
      <c r="G359" s="336">
        <f t="shared" si="49"/>
        <v>0</v>
      </c>
      <c r="H359" s="74"/>
    </row>
    <row r="360" spans="1:10" ht="12.75" hidden="1" customHeight="1" x14ac:dyDescent="0.2">
      <c r="A360" s="331">
        <v>54204</v>
      </c>
      <c r="B360" s="332" t="s">
        <v>52</v>
      </c>
      <c r="C360" s="465">
        <f t="shared" ref="C360:F360" si="53">C144+C252</f>
        <v>0</v>
      </c>
      <c r="D360" s="466">
        <f t="shared" si="53"/>
        <v>0</v>
      </c>
      <c r="E360" s="466">
        <f t="shared" si="53"/>
        <v>0</v>
      </c>
      <c r="F360" s="467">
        <f t="shared" si="53"/>
        <v>0</v>
      </c>
      <c r="G360" s="336">
        <f t="shared" si="49"/>
        <v>0</v>
      </c>
    </row>
    <row r="361" spans="1:10" x14ac:dyDescent="0.2">
      <c r="A361" s="331">
        <v>54205</v>
      </c>
      <c r="B361" s="332" t="s">
        <v>53</v>
      </c>
      <c r="C361" s="465">
        <f t="shared" ref="C361:F361" si="54">C145+C253</f>
        <v>0</v>
      </c>
      <c r="D361" s="466">
        <f t="shared" si="54"/>
        <v>0</v>
      </c>
      <c r="E361" s="466">
        <f t="shared" si="54"/>
        <v>0</v>
      </c>
      <c r="F361" s="467">
        <f t="shared" si="54"/>
        <v>0</v>
      </c>
      <c r="G361" s="336">
        <f t="shared" si="49"/>
        <v>0</v>
      </c>
      <c r="H361" s="74"/>
    </row>
    <row r="362" spans="1:10" x14ac:dyDescent="0.2">
      <c r="A362" s="326">
        <v>543</v>
      </c>
      <c r="B362" s="327" t="s">
        <v>54</v>
      </c>
      <c r="C362" s="468">
        <f>SUM(C363:C377)</f>
        <v>0</v>
      </c>
      <c r="D362" s="469">
        <f>SUM(D363:D377)</f>
        <v>0</v>
      </c>
      <c r="E362" s="469">
        <f>SUM(E363:E377)</f>
        <v>0</v>
      </c>
      <c r="F362" s="470">
        <f>SUM(F363:F377)</f>
        <v>0</v>
      </c>
      <c r="G362" s="329">
        <f>SUM(G363:G377)</f>
        <v>0</v>
      </c>
      <c r="H362" s="74"/>
    </row>
    <row r="363" spans="1:10" x14ac:dyDescent="0.2">
      <c r="A363" s="331">
        <v>54301</v>
      </c>
      <c r="B363" s="332" t="s">
        <v>55</v>
      </c>
      <c r="C363" s="465">
        <f t="shared" ref="C363:F363" si="55">C147+C255</f>
        <v>0</v>
      </c>
      <c r="D363" s="466">
        <f t="shared" si="55"/>
        <v>0</v>
      </c>
      <c r="E363" s="466">
        <f t="shared" si="55"/>
        <v>0</v>
      </c>
      <c r="F363" s="467">
        <f t="shared" si="55"/>
        <v>0</v>
      </c>
      <c r="G363" s="336">
        <f>SUM(C363:F363)</f>
        <v>0</v>
      </c>
      <c r="H363" s="74"/>
    </row>
    <row r="364" spans="1:10" x14ac:dyDescent="0.2">
      <c r="A364" s="331">
        <v>54302</v>
      </c>
      <c r="B364" s="332" t="s">
        <v>56</v>
      </c>
      <c r="C364" s="465">
        <f t="shared" ref="C364:F364" si="56">C148+C256</f>
        <v>0</v>
      </c>
      <c r="D364" s="466">
        <f t="shared" si="56"/>
        <v>0</v>
      </c>
      <c r="E364" s="466">
        <f t="shared" si="56"/>
        <v>0</v>
      </c>
      <c r="F364" s="467">
        <f t="shared" si="56"/>
        <v>0</v>
      </c>
      <c r="G364" s="336">
        <f t="shared" ref="G364:G365" si="57">SUM(C364:F364)</f>
        <v>0</v>
      </c>
      <c r="H364" s="74"/>
    </row>
    <row r="365" spans="1:10" hidden="1" x14ac:dyDescent="0.2">
      <c r="A365" s="331">
        <v>54303</v>
      </c>
      <c r="B365" s="332" t="s">
        <v>57</v>
      </c>
      <c r="C365" s="465">
        <f t="shared" ref="C365:F365" si="58">C149+C257</f>
        <v>0</v>
      </c>
      <c r="D365" s="466">
        <f t="shared" si="58"/>
        <v>0</v>
      </c>
      <c r="E365" s="466">
        <f t="shared" si="58"/>
        <v>0</v>
      </c>
      <c r="F365" s="467">
        <f t="shared" si="58"/>
        <v>0</v>
      </c>
      <c r="G365" s="336">
        <f t="shared" si="57"/>
        <v>0</v>
      </c>
      <c r="H365" s="74"/>
    </row>
    <row r="366" spans="1:10" x14ac:dyDescent="0.2">
      <c r="A366" s="331">
        <v>54304</v>
      </c>
      <c r="B366" s="332" t="s">
        <v>58</v>
      </c>
      <c r="C366" s="465">
        <f t="shared" ref="C366:F366" si="59">C150+C258</f>
        <v>0</v>
      </c>
      <c r="D366" s="466">
        <f t="shared" si="59"/>
        <v>0</v>
      </c>
      <c r="E366" s="466">
        <f t="shared" si="59"/>
        <v>0</v>
      </c>
      <c r="F366" s="467">
        <f t="shared" si="59"/>
        <v>0</v>
      </c>
      <c r="G366" s="336">
        <f>SUM(C366:F366)</f>
        <v>0</v>
      </c>
      <c r="H366" s="74"/>
    </row>
    <row r="367" spans="1:10" hidden="1" x14ac:dyDescent="0.2">
      <c r="A367" s="331">
        <v>54305</v>
      </c>
      <c r="B367" s="332" t="s">
        <v>59</v>
      </c>
      <c r="C367" s="465">
        <f t="shared" ref="C367:F367" si="60">C151+C259</f>
        <v>0</v>
      </c>
      <c r="D367" s="466">
        <f t="shared" si="60"/>
        <v>0</v>
      </c>
      <c r="E367" s="466">
        <f t="shared" si="60"/>
        <v>0</v>
      </c>
      <c r="F367" s="467">
        <f t="shared" si="60"/>
        <v>0</v>
      </c>
      <c r="G367" s="336">
        <f t="shared" ref="G367:G377" si="61">SUM(C367:F367)</f>
        <v>0</v>
      </c>
      <c r="H367" s="74"/>
    </row>
    <row r="368" spans="1:10" hidden="1" x14ac:dyDescent="0.2">
      <c r="A368" s="331">
        <v>54306</v>
      </c>
      <c r="B368" s="332" t="s">
        <v>60</v>
      </c>
      <c r="C368" s="465">
        <f t="shared" ref="C368:F368" si="62">C152+C260</f>
        <v>0</v>
      </c>
      <c r="D368" s="466">
        <f t="shared" si="62"/>
        <v>0</v>
      </c>
      <c r="E368" s="466">
        <f t="shared" si="62"/>
        <v>0</v>
      </c>
      <c r="F368" s="467">
        <f t="shared" si="62"/>
        <v>0</v>
      </c>
      <c r="G368" s="336">
        <f t="shared" si="61"/>
        <v>0</v>
      </c>
      <c r="H368" s="74"/>
    </row>
    <row r="369" spans="1:8" x14ac:dyDescent="0.2">
      <c r="A369" s="331">
        <v>54307</v>
      </c>
      <c r="B369" s="332" t="s">
        <v>61</v>
      </c>
      <c r="C369" s="465">
        <f t="shared" ref="C369:F369" si="63">C153+C261</f>
        <v>0</v>
      </c>
      <c r="D369" s="466">
        <f t="shared" si="63"/>
        <v>0</v>
      </c>
      <c r="E369" s="466">
        <f t="shared" si="63"/>
        <v>0</v>
      </c>
      <c r="F369" s="467">
        <f t="shared" si="63"/>
        <v>0</v>
      </c>
      <c r="G369" s="336">
        <f t="shared" si="61"/>
        <v>0</v>
      </c>
      <c r="H369" s="74"/>
    </row>
    <row r="370" spans="1:8" hidden="1" x14ac:dyDescent="0.2">
      <c r="A370" s="331">
        <v>54309</v>
      </c>
      <c r="B370" s="332" t="s">
        <v>62</v>
      </c>
      <c r="C370" s="465">
        <f t="shared" ref="C370:F370" si="64">C154+C262</f>
        <v>0</v>
      </c>
      <c r="D370" s="466">
        <f t="shared" si="64"/>
        <v>0</v>
      </c>
      <c r="E370" s="466">
        <f t="shared" si="64"/>
        <v>0</v>
      </c>
      <c r="F370" s="467">
        <f t="shared" si="64"/>
        <v>0</v>
      </c>
      <c r="G370" s="336">
        <f t="shared" si="61"/>
        <v>0</v>
      </c>
      <c r="H370" s="74"/>
    </row>
    <row r="371" spans="1:8" hidden="1" x14ac:dyDescent="0.2">
      <c r="A371" s="331">
        <v>54310</v>
      </c>
      <c r="B371" s="332" t="s">
        <v>63</v>
      </c>
      <c r="C371" s="465">
        <f t="shared" ref="C371:F371" si="65">C155+C263</f>
        <v>0</v>
      </c>
      <c r="D371" s="466">
        <f t="shared" si="65"/>
        <v>0</v>
      </c>
      <c r="E371" s="466">
        <f t="shared" si="65"/>
        <v>0</v>
      </c>
      <c r="F371" s="467">
        <f t="shared" si="65"/>
        <v>0</v>
      </c>
      <c r="G371" s="336">
        <f t="shared" si="61"/>
        <v>0</v>
      </c>
      <c r="H371" s="74"/>
    </row>
    <row r="372" spans="1:8" hidden="1" x14ac:dyDescent="0.2">
      <c r="A372" s="331">
        <v>54311</v>
      </c>
      <c r="B372" s="332" t="s">
        <v>64</v>
      </c>
      <c r="C372" s="465">
        <f t="shared" ref="C372:F372" si="66">C156+C264</f>
        <v>0</v>
      </c>
      <c r="D372" s="466">
        <f t="shared" si="66"/>
        <v>0</v>
      </c>
      <c r="E372" s="466">
        <f t="shared" si="66"/>
        <v>0</v>
      </c>
      <c r="F372" s="467">
        <f t="shared" si="66"/>
        <v>0</v>
      </c>
      <c r="G372" s="336">
        <f t="shared" si="61"/>
        <v>0</v>
      </c>
      <c r="H372" s="74"/>
    </row>
    <row r="373" spans="1:8" hidden="1" x14ac:dyDescent="0.2">
      <c r="A373" s="331">
        <v>54313</v>
      </c>
      <c r="B373" s="332" t="s">
        <v>65</v>
      </c>
      <c r="C373" s="465">
        <f t="shared" ref="C373:F373" si="67">C157+C265</f>
        <v>0</v>
      </c>
      <c r="D373" s="466">
        <f t="shared" si="67"/>
        <v>0</v>
      </c>
      <c r="E373" s="466">
        <f t="shared" si="67"/>
        <v>0</v>
      </c>
      <c r="F373" s="467">
        <f t="shared" si="67"/>
        <v>0</v>
      </c>
      <c r="G373" s="336">
        <f t="shared" si="61"/>
        <v>0</v>
      </c>
      <c r="H373" s="74"/>
    </row>
    <row r="374" spans="1:8" x14ac:dyDescent="0.2">
      <c r="A374" s="331">
        <v>54314</v>
      </c>
      <c r="B374" s="332" t="s">
        <v>66</v>
      </c>
      <c r="C374" s="465">
        <f t="shared" ref="C374:F374" si="68">C158+C266</f>
        <v>0</v>
      </c>
      <c r="D374" s="466">
        <f t="shared" si="68"/>
        <v>0</v>
      </c>
      <c r="E374" s="466">
        <f t="shared" si="68"/>
        <v>0</v>
      </c>
      <c r="F374" s="467">
        <f t="shared" si="68"/>
        <v>0</v>
      </c>
      <c r="G374" s="336">
        <f t="shared" si="61"/>
        <v>0</v>
      </c>
      <c r="H374" s="74"/>
    </row>
    <row r="375" spans="1:8" hidden="1" x14ac:dyDescent="0.2">
      <c r="A375" s="331">
        <v>54316</v>
      </c>
      <c r="B375" s="332" t="s">
        <v>67</v>
      </c>
      <c r="C375" s="465">
        <f t="shared" ref="C375:F375" si="69">C159+C267</f>
        <v>0</v>
      </c>
      <c r="D375" s="466">
        <f t="shared" si="69"/>
        <v>0</v>
      </c>
      <c r="E375" s="466">
        <f t="shared" si="69"/>
        <v>0</v>
      </c>
      <c r="F375" s="467">
        <f t="shared" si="69"/>
        <v>0</v>
      </c>
      <c r="G375" s="336">
        <f t="shared" si="61"/>
        <v>0</v>
      </c>
      <c r="H375" s="74"/>
    </row>
    <row r="376" spans="1:8" x14ac:dyDescent="0.2">
      <c r="A376" s="331">
        <v>54317</v>
      </c>
      <c r="B376" s="332" t="s">
        <v>68</v>
      </c>
      <c r="C376" s="465">
        <f t="shared" ref="C376:F376" si="70">C160+C268</f>
        <v>0</v>
      </c>
      <c r="D376" s="466">
        <f t="shared" si="70"/>
        <v>0</v>
      </c>
      <c r="E376" s="466">
        <f t="shared" si="70"/>
        <v>0</v>
      </c>
      <c r="F376" s="467">
        <f t="shared" si="70"/>
        <v>0</v>
      </c>
      <c r="G376" s="336">
        <f t="shared" si="61"/>
        <v>0</v>
      </c>
      <c r="H376" s="74"/>
    </row>
    <row r="377" spans="1:8" x14ac:dyDescent="0.2">
      <c r="A377" s="331">
        <v>54399</v>
      </c>
      <c r="B377" s="332" t="s">
        <v>69</v>
      </c>
      <c r="C377" s="465">
        <f t="shared" ref="C377:F377" si="71">C161+C269</f>
        <v>0</v>
      </c>
      <c r="D377" s="466">
        <f t="shared" si="71"/>
        <v>0</v>
      </c>
      <c r="E377" s="466">
        <f t="shared" si="71"/>
        <v>0</v>
      </c>
      <c r="F377" s="467">
        <f t="shared" si="71"/>
        <v>0</v>
      </c>
      <c r="G377" s="336">
        <f t="shared" si="61"/>
        <v>0</v>
      </c>
      <c r="H377" s="74"/>
    </row>
    <row r="378" spans="1:8" x14ac:dyDescent="0.2">
      <c r="A378" s="326">
        <v>544</v>
      </c>
      <c r="B378" s="327" t="s">
        <v>70</v>
      </c>
      <c r="C378" s="468">
        <f>SUM(C379:C382)</f>
        <v>0</v>
      </c>
      <c r="D378" s="469">
        <f>SUM(D379:D382)</f>
        <v>0</v>
      </c>
      <c r="E378" s="469">
        <f>SUM(E379:E382)</f>
        <v>0</v>
      </c>
      <c r="F378" s="470">
        <f>SUM(F379:F382)</f>
        <v>0</v>
      </c>
      <c r="G378" s="329">
        <f>SUM(G379:G382)</f>
        <v>0</v>
      </c>
      <c r="H378" s="74"/>
    </row>
    <row r="379" spans="1:8" x14ac:dyDescent="0.2">
      <c r="A379" s="331">
        <v>54401</v>
      </c>
      <c r="B379" s="332" t="s">
        <v>71</v>
      </c>
      <c r="C379" s="465">
        <f t="shared" ref="C379:F379" si="72">C163+C271</f>
        <v>0</v>
      </c>
      <c r="D379" s="466">
        <f t="shared" si="72"/>
        <v>0</v>
      </c>
      <c r="E379" s="466">
        <f t="shared" si="72"/>
        <v>0</v>
      </c>
      <c r="F379" s="467">
        <f t="shared" si="72"/>
        <v>0</v>
      </c>
      <c r="G379" s="336">
        <f>SUM(C379:F379)</f>
        <v>0</v>
      </c>
      <c r="H379" s="74"/>
    </row>
    <row r="380" spans="1:8" x14ac:dyDescent="0.2">
      <c r="A380" s="331">
        <v>54402</v>
      </c>
      <c r="B380" s="332" t="s">
        <v>72</v>
      </c>
      <c r="C380" s="465">
        <f t="shared" ref="C380:F380" si="73">C164+C272</f>
        <v>0</v>
      </c>
      <c r="D380" s="466">
        <f t="shared" si="73"/>
        <v>0</v>
      </c>
      <c r="E380" s="466">
        <f t="shared" si="73"/>
        <v>0</v>
      </c>
      <c r="F380" s="467">
        <f t="shared" si="73"/>
        <v>0</v>
      </c>
      <c r="G380" s="336">
        <f t="shared" ref="G380" si="74">+C380+F380</f>
        <v>0</v>
      </c>
      <c r="H380" s="74"/>
    </row>
    <row r="381" spans="1:8" x14ac:dyDescent="0.2">
      <c r="A381" s="331">
        <v>54403</v>
      </c>
      <c r="B381" s="332" t="s">
        <v>73</v>
      </c>
      <c r="C381" s="465">
        <f t="shared" ref="C381:F381" si="75">C165+C273</f>
        <v>0</v>
      </c>
      <c r="D381" s="466">
        <f t="shared" si="75"/>
        <v>0</v>
      </c>
      <c r="E381" s="466">
        <f t="shared" si="75"/>
        <v>0</v>
      </c>
      <c r="F381" s="467">
        <f t="shared" si="75"/>
        <v>0</v>
      </c>
      <c r="G381" s="336">
        <f>SUM(C381:F381)</f>
        <v>0</v>
      </c>
      <c r="H381" s="74"/>
    </row>
    <row r="382" spans="1:8" x14ac:dyDescent="0.2">
      <c r="A382" s="331">
        <v>54404</v>
      </c>
      <c r="B382" s="332" t="s">
        <v>74</v>
      </c>
      <c r="C382" s="532">
        <f t="shared" ref="C382:F382" si="76">C166+C274</f>
        <v>0</v>
      </c>
      <c r="D382" s="533">
        <f t="shared" si="76"/>
        <v>0</v>
      </c>
      <c r="E382" s="533">
        <f t="shared" si="76"/>
        <v>0</v>
      </c>
      <c r="F382" s="534">
        <f t="shared" si="76"/>
        <v>0</v>
      </c>
      <c r="G382" s="533">
        <v>0</v>
      </c>
      <c r="H382" s="74"/>
    </row>
    <row r="383" spans="1:8" hidden="1" x14ac:dyDescent="0.2">
      <c r="A383" s="326">
        <v>545</v>
      </c>
      <c r="B383" s="327" t="s">
        <v>75</v>
      </c>
      <c r="C383" s="328">
        <f>+C385</f>
        <v>0</v>
      </c>
      <c r="D383" s="329">
        <v>0</v>
      </c>
      <c r="E383" s="329">
        <v>0</v>
      </c>
      <c r="F383" s="330">
        <v>0</v>
      </c>
      <c r="G383" s="329">
        <f>+G385</f>
        <v>0</v>
      </c>
      <c r="H383" s="74"/>
    </row>
    <row r="384" spans="1:8" hidden="1" x14ac:dyDescent="0.2">
      <c r="A384" s="331">
        <v>54501</v>
      </c>
      <c r="B384" s="332" t="s">
        <v>76</v>
      </c>
      <c r="C384" s="333"/>
      <c r="D384" s="334">
        <v>0</v>
      </c>
      <c r="E384" s="334">
        <v>0</v>
      </c>
      <c r="F384" s="335">
        <v>0</v>
      </c>
      <c r="G384" s="336">
        <f t="shared" ref="G384:G390" si="77">+C384+F384</f>
        <v>0</v>
      </c>
      <c r="H384" s="74"/>
    </row>
    <row r="385" spans="1:8" hidden="1" x14ac:dyDescent="0.2">
      <c r="A385" s="331">
        <v>54503</v>
      </c>
      <c r="B385" s="332" t="s">
        <v>77</v>
      </c>
      <c r="C385" s="333">
        <v>0</v>
      </c>
      <c r="D385" s="334">
        <v>0</v>
      </c>
      <c r="E385" s="334">
        <v>0</v>
      </c>
      <c r="F385" s="335">
        <v>0</v>
      </c>
      <c r="G385" s="336">
        <f t="shared" si="77"/>
        <v>0</v>
      </c>
      <c r="H385" s="74"/>
    </row>
    <row r="386" spans="1:8" hidden="1" x14ac:dyDescent="0.2">
      <c r="A386" s="331">
        <v>54504</v>
      </c>
      <c r="B386" s="332" t="s">
        <v>78</v>
      </c>
      <c r="C386" s="333"/>
      <c r="D386" s="334"/>
      <c r="E386" s="334"/>
      <c r="F386" s="335"/>
      <c r="G386" s="336">
        <f t="shared" si="77"/>
        <v>0</v>
      </c>
      <c r="H386" s="74"/>
    </row>
    <row r="387" spans="1:8" hidden="1" x14ac:dyDescent="0.2">
      <c r="A387" s="331">
        <v>54505</v>
      </c>
      <c r="B387" s="332" t="s">
        <v>79</v>
      </c>
      <c r="C387" s="333"/>
      <c r="D387" s="334"/>
      <c r="E387" s="334"/>
      <c r="F387" s="335"/>
      <c r="G387" s="336">
        <f t="shared" si="77"/>
        <v>0</v>
      </c>
      <c r="H387" s="74"/>
    </row>
    <row r="388" spans="1:8" hidden="1" x14ac:dyDescent="0.2">
      <c r="A388" s="331">
        <v>54507</v>
      </c>
      <c r="B388" s="332" t="s">
        <v>80</v>
      </c>
      <c r="C388" s="333"/>
      <c r="D388" s="334"/>
      <c r="E388" s="334"/>
      <c r="F388" s="335"/>
      <c r="G388" s="336">
        <f t="shared" si="77"/>
        <v>0</v>
      </c>
      <c r="H388" s="74"/>
    </row>
    <row r="389" spans="1:8" hidden="1" x14ac:dyDescent="0.2">
      <c r="A389" s="331">
        <v>54508</v>
      </c>
      <c r="B389" s="332" t="s">
        <v>81</v>
      </c>
      <c r="C389" s="333"/>
      <c r="D389" s="334"/>
      <c r="E389" s="334"/>
      <c r="F389" s="335"/>
      <c r="G389" s="336">
        <f t="shared" si="77"/>
        <v>0</v>
      </c>
      <c r="H389" s="74"/>
    </row>
    <row r="390" spans="1:8" hidden="1" x14ac:dyDescent="0.2">
      <c r="A390" s="331">
        <v>54599</v>
      </c>
      <c r="B390" s="332" t="s">
        <v>82</v>
      </c>
      <c r="C390" s="333"/>
      <c r="D390" s="334"/>
      <c r="E390" s="334"/>
      <c r="F390" s="335"/>
      <c r="G390" s="336">
        <f t="shared" si="77"/>
        <v>0</v>
      </c>
      <c r="H390" s="74"/>
    </row>
    <row r="391" spans="1:8" x14ac:dyDescent="0.2">
      <c r="A391" s="331"/>
      <c r="B391" s="332"/>
      <c r="C391" s="333"/>
      <c r="D391" s="334"/>
      <c r="E391" s="334"/>
      <c r="F391" s="335"/>
      <c r="G391" s="336"/>
      <c r="H391" s="74"/>
    </row>
    <row r="392" spans="1:8" x14ac:dyDescent="0.2">
      <c r="A392" s="326">
        <v>55</v>
      </c>
      <c r="B392" s="327" t="s">
        <v>83</v>
      </c>
      <c r="C392" s="328">
        <f>C397+C399</f>
        <v>0</v>
      </c>
      <c r="D392" s="329">
        <f t="shared" ref="D392:F392" si="78">D397+D399</f>
        <v>0</v>
      </c>
      <c r="E392" s="329">
        <f t="shared" si="78"/>
        <v>0</v>
      </c>
      <c r="F392" s="330">
        <f t="shared" si="78"/>
        <v>0</v>
      </c>
      <c r="G392" s="329">
        <f>F392+D392+C392</f>
        <v>0</v>
      </c>
      <c r="H392" s="128"/>
    </row>
    <row r="393" spans="1:8" hidden="1" x14ac:dyDescent="0.2">
      <c r="A393" s="326">
        <v>553</v>
      </c>
      <c r="B393" s="327" t="s">
        <v>84</v>
      </c>
      <c r="C393" s="333"/>
      <c r="D393" s="334"/>
      <c r="E393" s="334"/>
      <c r="F393" s="335"/>
      <c r="G393" s="329">
        <f>+C393+F393</f>
        <v>0</v>
      </c>
      <c r="H393" s="128"/>
    </row>
    <row r="394" spans="1:8" hidden="1" x14ac:dyDescent="0.2">
      <c r="A394" s="331">
        <v>55303</v>
      </c>
      <c r="B394" s="332" t="s">
        <v>85</v>
      </c>
      <c r="C394" s="333"/>
      <c r="D394" s="334"/>
      <c r="E394" s="334"/>
      <c r="F394" s="335"/>
      <c r="G394" s="336">
        <f>+C394+F394</f>
        <v>0</v>
      </c>
      <c r="H394" s="128"/>
    </row>
    <row r="395" spans="1:8" hidden="1" x14ac:dyDescent="0.2">
      <c r="A395" s="331">
        <v>55304</v>
      </c>
      <c r="B395" s="332" t="s">
        <v>86</v>
      </c>
      <c r="C395" s="333"/>
      <c r="D395" s="334"/>
      <c r="E395" s="334"/>
      <c r="F395" s="335"/>
      <c r="G395" s="336">
        <f>+C395+F395</f>
        <v>0</v>
      </c>
      <c r="H395" s="128"/>
    </row>
    <row r="396" spans="1:8" hidden="1" x14ac:dyDescent="0.2">
      <c r="A396" s="331">
        <v>55308</v>
      </c>
      <c r="B396" s="332" t="s">
        <v>87</v>
      </c>
      <c r="C396" s="333"/>
      <c r="D396" s="334"/>
      <c r="E396" s="334"/>
      <c r="F396" s="335"/>
      <c r="G396" s="336">
        <f>+C396+F396</f>
        <v>0</v>
      </c>
      <c r="H396" s="128"/>
    </row>
    <row r="397" spans="1:8" s="46" customFormat="1" x14ac:dyDescent="0.2">
      <c r="A397" s="326">
        <v>555</v>
      </c>
      <c r="B397" s="327" t="s">
        <v>438</v>
      </c>
      <c r="C397" s="328">
        <f>C398</f>
        <v>0</v>
      </c>
      <c r="D397" s="329">
        <f t="shared" ref="D397:F397" si="79">D398</f>
        <v>0</v>
      </c>
      <c r="E397" s="329">
        <f t="shared" si="79"/>
        <v>0</v>
      </c>
      <c r="F397" s="330">
        <f t="shared" si="79"/>
        <v>0</v>
      </c>
      <c r="G397" s="329">
        <f>G398</f>
        <v>0</v>
      </c>
      <c r="H397" s="139"/>
    </row>
    <row r="398" spans="1:8" x14ac:dyDescent="0.2">
      <c r="A398" s="331">
        <v>55508</v>
      </c>
      <c r="B398" s="337" t="s">
        <v>329</v>
      </c>
      <c r="C398" s="465">
        <f t="shared" ref="C398:F398" si="80">C182+C290</f>
        <v>0</v>
      </c>
      <c r="D398" s="466">
        <f t="shared" si="80"/>
        <v>0</v>
      </c>
      <c r="E398" s="466">
        <f t="shared" si="80"/>
        <v>0</v>
      </c>
      <c r="F398" s="467">
        <f t="shared" si="80"/>
        <v>0</v>
      </c>
      <c r="G398" s="336">
        <f t="shared" ref="G398" si="81">+C398+F398</f>
        <v>0</v>
      </c>
      <c r="H398" s="128"/>
    </row>
    <row r="399" spans="1:8" x14ac:dyDescent="0.2">
      <c r="A399" s="326">
        <v>556</v>
      </c>
      <c r="B399" s="327" t="s">
        <v>88</v>
      </c>
      <c r="C399" s="468">
        <f>SUM(C400:C402)</f>
        <v>0</v>
      </c>
      <c r="D399" s="469">
        <f>SUM(D400:D402)</f>
        <v>0</v>
      </c>
      <c r="E399" s="469">
        <f t="shared" ref="E399:F399" si="82">SUM(E400:E402)</f>
        <v>0</v>
      </c>
      <c r="F399" s="471">
        <f t="shared" si="82"/>
        <v>0</v>
      </c>
      <c r="G399" s="329">
        <f>C399+D399+F399</f>
        <v>0</v>
      </c>
      <c r="H399" s="128"/>
    </row>
    <row r="400" spans="1:8" x14ac:dyDescent="0.2">
      <c r="A400" s="331">
        <v>55601</v>
      </c>
      <c r="B400" s="332" t="s">
        <v>89</v>
      </c>
      <c r="C400" s="465">
        <f t="shared" ref="C400:F400" si="83">C184+C292</f>
        <v>0</v>
      </c>
      <c r="D400" s="472">
        <f t="shared" si="83"/>
        <v>0</v>
      </c>
      <c r="E400" s="466">
        <f t="shared" si="83"/>
        <v>0</v>
      </c>
      <c r="F400" s="467">
        <f t="shared" si="83"/>
        <v>0</v>
      </c>
      <c r="G400" s="336">
        <f t="shared" ref="G400:G401" si="84">SUM(C400:F400)</f>
        <v>0</v>
      </c>
      <c r="H400" s="128"/>
    </row>
    <row r="401" spans="1:8" x14ac:dyDescent="0.2">
      <c r="A401" s="331">
        <v>55602</v>
      </c>
      <c r="B401" s="332" t="s">
        <v>90</v>
      </c>
      <c r="C401" s="473">
        <f t="shared" ref="C401:F401" si="85">C185+C293</f>
        <v>0</v>
      </c>
      <c r="D401" s="466">
        <f t="shared" si="85"/>
        <v>0</v>
      </c>
      <c r="E401" s="466">
        <f t="shared" si="85"/>
        <v>0</v>
      </c>
      <c r="F401" s="467">
        <f t="shared" si="85"/>
        <v>0</v>
      </c>
      <c r="G401" s="336">
        <f t="shared" si="84"/>
        <v>0</v>
      </c>
      <c r="H401" s="128"/>
    </row>
    <row r="402" spans="1:8" x14ac:dyDescent="0.2">
      <c r="A402" s="331">
        <v>55603</v>
      </c>
      <c r="B402" s="332" t="s">
        <v>91</v>
      </c>
      <c r="C402" s="465">
        <f t="shared" ref="C402:F402" si="86">C186+C294</f>
        <v>0</v>
      </c>
      <c r="D402" s="466">
        <f t="shared" si="86"/>
        <v>0</v>
      </c>
      <c r="E402" s="466">
        <f t="shared" si="86"/>
        <v>0</v>
      </c>
      <c r="F402" s="467">
        <f t="shared" si="86"/>
        <v>0</v>
      </c>
      <c r="G402" s="336">
        <f>SUM(C402:F402)</f>
        <v>0</v>
      </c>
      <c r="H402" s="128"/>
    </row>
    <row r="403" spans="1:8" hidden="1" x14ac:dyDescent="0.2">
      <c r="A403" s="326">
        <v>557</v>
      </c>
      <c r="B403" s="327" t="s">
        <v>92</v>
      </c>
      <c r="C403" s="468"/>
      <c r="D403" s="469">
        <f>SUM(D404:D406)</f>
        <v>0</v>
      </c>
      <c r="E403" s="469"/>
      <c r="F403" s="470"/>
      <c r="G403" s="329">
        <f>+C403+D403+F403</f>
        <v>0</v>
      </c>
      <c r="H403" s="128"/>
    </row>
    <row r="404" spans="1:8" ht="13.5" hidden="1" thickBot="1" x14ac:dyDescent="0.25">
      <c r="A404" s="338">
        <v>55701</v>
      </c>
      <c r="B404" s="339" t="s">
        <v>93</v>
      </c>
      <c r="C404" s="474"/>
      <c r="D404" s="475"/>
      <c r="E404" s="475"/>
      <c r="F404" s="476"/>
      <c r="G404" s="340"/>
      <c r="H404" s="128"/>
    </row>
    <row r="405" spans="1:8" ht="12.75" hidden="1" customHeight="1" x14ac:dyDescent="0.2">
      <c r="A405" s="341">
        <v>55702</v>
      </c>
      <c r="B405" s="342" t="s">
        <v>94</v>
      </c>
      <c r="C405" s="477"/>
      <c r="D405" s="478"/>
      <c r="E405" s="478"/>
      <c r="F405" s="479"/>
      <c r="G405" s="343"/>
      <c r="H405" s="128"/>
    </row>
    <row r="406" spans="1:8" ht="12.75" hidden="1" customHeight="1" x14ac:dyDescent="0.2">
      <c r="A406" s="341">
        <v>55799</v>
      </c>
      <c r="B406" s="342" t="s">
        <v>95</v>
      </c>
      <c r="C406" s="477"/>
      <c r="D406" s="478"/>
      <c r="E406" s="478"/>
      <c r="F406" s="479"/>
      <c r="G406" s="343"/>
      <c r="H406" s="128"/>
    </row>
    <row r="407" spans="1:8" ht="12.75" hidden="1" customHeight="1" x14ac:dyDescent="0.2">
      <c r="A407" s="344"/>
      <c r="B407" s="345"/>
      <c r="C407" s="480"/>
      <c r="D407" s="481"/>
      <c r="E407" s="481"/>
      <c r="F407" s="482"/>
      <c r="G407" s="346"/>
      <c r="H407" s="128"/>
    </row>
    <row r="408" spans="1:8" ht="12.75" customHeight="1" x14ac:dyDescent="0.2">
      <c r="A408" s="331"/>
      <c r="B408" s="332"/>
      <c r="C408" s="465"/>
      <c r="D408" s="466"/>
      <c r="E408" s="466"/>
      <c r="F408" s="467"/>
      <c r="G408" s="336"/>
      <c r="H408" s="128"/>
    </row>
    <row r="409" spans="1:8" x14ac:dyDescent="0.2">
      <c r="A409" s="347">
        <v>56</v>
      </c>
      <c r="B409" s="348" t="s">
        <v>96</v>
      </c>
      <c r="C409" s="483">
        <f>C410+C413</f>
        <v>0</v>
      </c>
      <c r="D409" s="484">
        <f>D410+D413</f>
        <v>0</v>
      </c>
      <c r="E409" s="484"/>
      <c r="F409" s="485">
        <f>F410+F413</f>
        <v>0</v>
      </c>
      <c r="G409" s="349">
        <f>+C409+F409</f>
        <v>0</v>
      </c>
      <c r="H409" s="128"/>
    </row>
    <row r="410" spans="1:8" x14ac:dyDescent="0.2">
      <c r="A410" s="326">
        <v>562</v>
      </c>
      <c r="B410" s="327" t="s">
        <v>97</v>
      </c>
      <c r="C410" s="468">
        <f>C412</f>
        <v>0</v>
      </c>
      <c r="D410" s="469">
        <f>SUM(D411:D412)</f>
        <v>0</v>
      </c>
      <c r="E410" s="469"/>
      <c r="F410" s="470"/>
      <c r="G410" s="329">
        <f t="shared" ref="G410:G415" si="87">+C410+F410</f>
        <v>0</v>
      </c>
      <c r="H410" s="128"/>
    </row>
    <row r="411" spans="1:8" x14ac:dyDescent="0.2">
      <c r="A411" s="331">
        <v>56201</v>
      </c>
      <c r="B411" s="337" t="s">
        <v>440</v>
      </c>
      <c r="C411" s="465"/>
      <c r="D411" s="466"/>
      <c r="E411" s="466"/>
      <c r="F411" s="467"/>
      <c r="G411" s="336">
        <f t="shared" si="87"/>
        <v>0</v>
      </c>
      <c r="H411" s="128"/>
    </row>
    <row r="412" spans="1:8" x14ac:dyDescent="0.2">
      <c r="A412" s="331">
        <v>56201</v>
      </c>
      <c r="B412" s="337" t="s">
        <v>587</v>
      </c>
      <c r="C412" s="465">
        <f t="shared" ref="C412:F412" si="88">C196+C304</f>
        <v>0</v>
      </c>
      <c r="D412" s="466">
        <f t="shared" si="88"/>
        <v>0</v>
      </c>
      <c r="E412" s="466">
        <f t="shared" si="88"/>
        <v>0</v>
      </c>
      <c r="F412" s="467">
        <f t="shared" si="88"/>
        <v>0</v>
      </c>
      <c r="G412" s="336">
        <f t="shared" si="87"/>
        <v>0</v>
      </c>
      <c r="H412" s="128"/>
    </row>
    <row r="413" spans="1:8" x14ac:dyDescent="0.2">
      <c r="A413" s="326">
        <v>563</v>
      </c>
      <c r="B413" s="327" t="s">
        <v>99</v>
      </c>
      <c r="C413" s="468">
        <f>SUM(C414:C415)</f>
        <v>0</v>
      </c>
      <c r="D413" s="469">
        <f>SUM(D414:D415)</f>
        <v>0</v>
      </c>
      <c r="E413" s="469">
        <f t="shared" ref="E413:F413" si="89">SUM(E414:E415)</f>
        <v>0</v>
      </c>
      <c r="F413" s="471">
        <f t="shared" si="89"/>
        <v>0</v>
      </c>
      <c r="G413" s="329">
        <f t="shared" si="87"/>
        <v>0</v>
      </c>
      <c r="H413" s="128"/>
    </row>
    <row r="414" spans="1:8" x14ac:dyDescent="0.2">
      <c r="A414" s="331">
        <v>56303</v>
      </c>
      <c r="B414" s="332" t="s">
        <v>98</v>
      </c>
      <c r="C414" s="465"/>
      <c r="D414" s="466"/>
      <c r="E414" s="466"/>
      <c r="F414" s="467"/>
      <c r="G414" s="336">
        <f t="shared" si="87"/>
        <v>0</v>
      </c>
      <c r="H414" s="128"/>
    </row>
    <row r="415" spans="1:8" x14ac:dyDescent="0.2">
      <c r="A415" s="331">
        <v>56304</v>
      </c>
      <c r="B415" s="332" t="s">
        <v>100</v>
      </c>
      <c r="C415" s="465">
        <v>0</v>
      </c>
      <c r="D415" s="466">
        <v>0</v>
      </c>
      <c r="E415" s="466">
        <v>0</v>
      </c>
      <c r="F415" s="467">
        <v>0</v>
      </c>
      <c r="G415" s="336">
        <f t="shared" si="87"/>
        <v>0</v>
      </c>
      <c r="H415" s="128"/>
    </row>
    <row r="416" spans="1:8" x14ac:dyDescent="0.2">
      <c r="A416" s="331"/>
      <c r="B416" s="332"/>
      <c r="C416" s="465"/>
      <c r="D416" s="466"/>
      <c r="E416" s="466"/>
      <c r="F416" s="467"/>
      <c r="G416" s="336"/>
      <c r="H416" s="128"/>
    </row>
    <row r="417" spans="1:8" x14ac:dyDescent="0.2">
      <c r="A417" s="326">
        <v>64</v>
      </c>
      <c r="B417" s="327" t="s">
        <v>161</v>
      </c>
      <c r="C417" s="468">
        <f>SUM(C418:C422)</f>
        <v>468</v>
      </c>
      <c r="D417" s="469">
        <f>SUM(D418:D422)</f>
        <v>0</v>
      </c>
      <c r="E417" s="469">
        <f>SUM(E418:E422)</f>
        <v>0</v>
      </c>
      <c r="F417" s="470">
        <f>SUM(F418:F422)</f>
        <v>0</v>
      </c>
      <c r="G417" s="329">
        <f t="shared" ref="G417:G419" si="90">SUM(C417:F417)</f>
        <v>468</v>
      </c>
      <c r="H417" s="128"/>
    </row>
    <row r="418" spans="1:8" x14ac:dyDescent="0.2">
      <c r="A418" s="326">
        <v>614</v>
      </c>
      <c r="B418" s="327" t="s">
        <v>866</v>
      </c>
      <c r="C418" s="468">
        <f t="shared" ref="C418:F418" si="91">C202+C310</f>
        <v>0</v>
      </c>
      <c r="D418" s="469">
        <f t="shared" si="91"/>
        <v>0</v>
      </c>
      <c r="E418" s="469">
        <f t="shared" si="91"/>
        <v>0</v>
      </c>
      <c r="F418" s="470">
        <f t="shared" si="91"/>
        <v>0</v>
      </c>
      <c r="G418" s="329">
        <f t="shared" si="90"/>
        <v>0</v>
      </c>
      <c r="H418" s="128"/>
    </row>
    <row r="419" spans="1:8" x14ac:dyDescent="0.2">
      <c r="A419" s="331">
        <v>61403</v>
      </c>
      <c r="B419" s="337" t="s">
        <v>867</v>
      </c>
      <c r="C419" s="465">
        <v>468</v>
      </c>
      <c r="D419" s="466">
        <f t="shared" ref="D419:F419" si="92">D203+D311</f>
        <v>0</v>
      </c>
      <c r="E419" s="466">
        <f t="shared" si="92"/>
        <v>0</v>
      </c>
      <c r="F419" s="467">
        <f t="shared" si="92"/>
        <v>0</v>
      </c>
      <c r="G419" s="336">
        <f t="shared" si="90"/>
        <v>468</v>
      </c>
      <c r="H419" s="128"/>
    </row>
    <row r="420" spans="1:8" x14ac:dyDescent="0.2">
      <c r="A420" s="331"/>
      <c r="B420" s="332"/>
      <c r="C420" s="465"/>
      <c r="D420" s="466"/>
      <c r="E420" s="466"/>
      <c r="F420" s="467"/>
      <c r="G420" s="336"/>
      <c r="H420" s="128"/>
    </row>
    <row r="421" spans="1:8" s="46" customFormat="1" x14ac:dyDescent="0.2">
      <c r="A421" s="326">
        <v>72</v>
      </c>
      <c r="B421" s="327" t="s">
        <v>13</v>
      </c>
      <c r="C421" s="468">
        <f>C422</f>
        <v>0</v>
      </c>
      <c r="D421" s="469">
        <f t="shared" ref="D421:G422" si="93">D422</f>
        <v>0</v>
      </c>
      <c r="E421" s="469">
        <f t="shared" si="93"/>
        <v>0</v>
      </c>
      <c r="F421" s="486">
        <f t="shared" si="93"/>
        <v>0</v>
      </c>
      <c r="G421" s="329">
        <f t="shared" si="93"/>
        <v>0</v>
      </c>
      <c r="H421" s="129"/>
    </row>
    <row r="422" spans="1:8" s="46" customFormat="1" x14ac:dyDescent="0.2">
      <c r="A422" s="326">
        <v>721</v>
      </c>
      <c r="B422" s="327" t="s">
        <v>180</v>
      </c>
      <c r="C422" s="468">
        <f>C423</f>
        <v>0</v>
      </c>
      <c r="D422" s="469">
        <f t="shared" si="93"/>
        <v>0</v>
      </c>
      <c r="E422" s="469">
        <f t="shared" si="93"/>
        <v>0</v>
      </c>
      <c r="F422" s="486">
        <f t="shared" si="93"/>
        <v>0</v>
      </c>
      <c r="G422" s="329">
        <f t="shared" si="93"/>
        <v>0</v>
      </c>
      <c r="H422" s="129"/>
    </row>
    <row r="423" spans="1:8" ht="13.5" thickBot="1" x14ac:dyDescent="0.25">
      <c r="A423" s="331">
        <v>72101</v>
      </c>
      <c r="B423" s="332" t="s">
        <v>180</v>
      </c>
      <c r="C423" s="522">
        <f t="shared" ref="C423:F423" si="94">C203+C311</f>
        <v>0</v>
      </c>
      <c r="D423" s="466">
        <f t="shared" si="94"/>
        <v>0</v>
      </c>
      <c r="E423" s="466">
        <f t="shared" si="94"/>
        <v>0</v>
      </c>
      <c r="F423" s="487">
        <f t="shared" si="94"/>
        <v>0</v>
      </c>
      <c r="G423" s="352">
        <f>C423+D423+E423+F423</f>
        <v>0</v>
      </c>
      <c r="H423" s="74"/>
    </row>
    <row r="424" spans="1:8" ht="13.5" hidden="1" thickBot="1" x14ac:dyDescent="0.25">
      <c r="A424" s="353" t="s">
        <v>160</v>
      </c>
      <c r="B424" s="354" t="s">
        <v>161</v>
      </c>
      <c r="C424" s="488">
        <f t="shared" ref="C424:G425" si="95">C425</f>
        <v>0</v>
      </c>
      <c r="D424" s="489">
        <f t="shared" si="95"/>
        <v>0</v>
      </c>
      <c r="E424" s="489">
        <f t="shared" si="95"/>
        <v>0</v>
      </c>
      <c r="F424" s="489">
        <f t="shared" si="95"/>
        <v>0</v>
      </c>
      <c r="G424" s="357">
        <f t="shared" si="95"/>
        <v>0</v>
      </c>
      <c r="H424" s="74"/>
    </row>
    <row r="425" spans="1:8" ht="13.5" hidden="1" thickBot="1" x14ac:dyDescent="0.25">
      <c r="A425" s="353" t="s">
        <v>245</v>
      </c>
      <c r="B425" s="354" t="s">
        <v>197</v>
      </c>
      <c r="C425" s="488">
        <f t="shared" si="95"/>
        <v>0</v>
      </c>
      <c r="D425" s="489">
        <f t="shared" si="95"/>
        <v>0</v>
      </c>
      <c r="E425" s="489">
        <f t="shared" si="95"/>
        <v>0</v>
      </c>
      <c r="F425" s="489">
        <f t="shared" si="95"/>
        <v>0</v>
      </c>
      <c r="G425" s="357">
        <f t="shared" si="95"/>
        <v>0</v>
      </c>
      <c r="H425" s="74"/>
    </row>
    <row r="426" spans="1:8" ht="13.5" hidden="1" thickBot="1" x14ac:dyDescent="0.25">
      <c r="A426" s="358" t="s">
        <v>246</v>
      </c>
      <c r="B426" s="807" t="s">
        <v>780</v>
      </c>
      <c r="C426" s="490"/>
      <c r="D426" s="491"/>
      <c r="E426" s="491"/>
      <c r="F426" s="491"/>
      <c r="G426" s="361">
        <f>+C426+F426</f>
        <v>0</v>
      </c>
      <c r="H426" s="74"/>
    </row>
    <row r="427" spans="1:8" ht="13.5" thickBot="1" x14ac:dyDescent="0.25">
      <c r="A427" s="362"/>
      <c r="B427" s="363" t="s">
        <v>25</v>
      </c>
      <c r="C427" s="492">
        <f>C335+C392+C409+C417+C421</f>
        <v>11660.419999999998</v>
      </c>
      <c r="D427" s="492">
        <f>D335+D392+D409+D421</f>
        <v>0</v>
      </c>
      <c r="E427" s="492">
        <f t="shared" ref="E427:F427" si="96">E335+E392+E409+E421</f>
        <v>0</v>
      </c>
      <c r="F427" s="492">
        <f t="shared" si="96"/>
        <v>0</v>
      </c>
      <c r="G427" s="492">
        <f>G335+G392+G409+G417+G421</f>
        <v>11660.419999999998</v>
      </c>
      <c r="H427" s="76"/>
    </row>
    <row r="429" spans="1:8" hidden="1" x14ac:dyDescent="0.2"/>
    <row r="430" spans="1:8" hidden="1" x14ac:dyDescent="0.2"/>
    <row r="431" spans="1:8" hidden="1" x14ac:dyDescent="0.2"/>
    <row r="432" spans="1:8" hidden="1" x14ac:dyDescent="0.2"/>
    <row r="433" spans="1:9" hidden="1" x14ac:dyDescent="0.2"/>
    <row r="434" spans="1:9" hidden="1" x14ac:dyDescent="0.2"/>
    <row r="435" spans="1:9" hidden="1" x14ac:dyDescent="0.2"/>
    <row r="436" spans="1:9" hidden="1" x14ac:dyDescent="0.2"/>
    <row r="439" spans="1:9" x14ac:dyDescent="0.2">
      <c r="A439" s="1466" t="s">
        <v>778</v>
      </c>
      <c r="B439" s="1466"/>
      <c r="C439" s="1466"/>
      <c r="D439" s="1466"/>
      <c r="E439" s="1466"/>
      <c r="F439" s="1466"/>
      <c r="G439" s="1466"/>
    </row>
    <row r="440" spans="1:9" x14ac:dyDescent="0.2">
      <c r="A440" s="1466" t="s">
        <v>101</v>
      </c>
      <c r="B440" s="1466"/>
      <c r="C440" s="1466"/>
      <c r="D440" s="1466"/>
      <c r="E440" s="1466"/>
      <c r="F440" s="1466"/>
      <c r="G440" s="1466"/>
    </row>
    <row r="441" spans="1:9" x14ac:dyDescent="0.2">
      <c r="A441" s="1466" t="s">
        <v>102</v>
      </c>
      <c r="B441" s="1466"/>
      <c r="C441" s="1466"/>
      <c r="D441" s="1466"/>
      <c r="E441" s="1466"/>
      <c r="F441" s="1466"/>
      <c r="G441" s="1466"/>
    </row>
    <row r="442" spans="1:9" x14ac:dyDescent="0.2">
      <c r="A442" s="1466" t="s">
        <v>413</v>
      </c>
      <c r="B442" s="1466"/>
      <c r="C442" s="1466"/>
      <c r="D442" s="1466"/>
      <c r="E442" s="1466"/>
      <c r="F442" s="1466"/>
      <c r="G442" s="1466"/>
    </row>
    <row r="443" spans="1:9" x14ac:dyDescent="0.2">
      <c r="A443" s="1466" t="s">
        <v>847</v>
      </c>
      <c r="B443" s="1466"/>
      <c r="C443" s="1466"/>
      <c r="D443" s="1466"/>
      <c r="E443" s="1466"/>
      <c r="F443" s="1466"/>
      <c r="G443" s="1466"/>
    </row>
    <row r="444" spans="1:9" ht="13.5" thickBot="1" x14ac:dyDescent="0.25"/>
    <row r="445" spans="1:9" ht="13.5" thickBot="1" x14ac:dyDescent="0.25">
      <c r="A445" s="1469" t="s">
        <v>511</v>
      </c>
      <c r="B445" s="1469" t="s">
        <v>14</v>
      </c>
      <c r="C445" s="1472" t="s">
        <v>512</v>
      </c>
      <c r="D445" s="1473"/>
      <c r="E445" s="1473"/>
      <c r="F445" s="1473"/>
      <c r="G445" s="1474"/>
    </row>
    <row r="446" spans="1:9" x14ac:dyDescent="0.2">
      <c r="A446" s="1470"/>
      <c r="B446" s="1470"/>
      <c r="C446" s="1467" t="s">
        <v>779</v>
      </c>
      <c r="D446" s="1467" t="s">
        <v>453</v>
      </c>
      <c r="E446" s="1467" t="s">
        <v>105</v>
      </c>
      <c r="F446" s="1467" t="s">
        <v>184</v>
      </c>
      <c r="G446" s="1467" t="s">
        <v>4</v>
      </c>
    </row>
    <row r="447" spans="1:9" ht="38.25" customHeight="1" thickBot="1" x14ac:dyDescent="0.25">
      <c r="A447" s="1471"/>
      <c r="B447" s="1471"/>
      <c r="C447" s="1468"/>
      <c r="D447" s="1468"/>
      <c r="E447" s="1468"/>
      <c r="F447" s="1468"/>
      <c r="G447" s="1468"/>
    </row>
    <row r="448" spans="1:9" x14ac:dyDescent="0.2">
      <c r="A448" s="321">
        <v>54</v>
      </c>
      <c r="B448" s="322" t="s">
        <v>27</v>
      </c>
      <c r="C448" s="324">
        <f>C449+C469+C475+C491+C496</f>
        <v>108259.6</v>
      </c>
      <c r="D448" s="324">
        <f>D449+D469+D475+D491</f>
        <v>9273</v>
      </c>
      <c r="E448" s="324">
        <f>E449+E469+E475+E491</f>
        <v>1165</v>
      </c>
      <c r="F448" s="324">
        <f>F449+F469+F475+F491</f>
        <v>186520</v>
      </c>
      <c r="G448" s="366">
        <f>G449+G469+G475+G491+G496</f>
        <v>305617.59999999998</v>
      </c>
      <c r="H448" s="74"/>
      <c r="I448" s="493"/>
    </row>
    <row r="449" spans="1:9" x14ac:dyDescent="0.2">
      <c r="A449" s="326">
        <v>541</v>
      </c>
      <c r="B449" s="327" t="s">
        <v>28</v>
      </c>
      <c r="C449" s="329">
        <f>SUM(C450:C468)</f>
        <v>24839</v>
      </c>
      <c r="D449" s="329">
        <f>SUM(D450:D468)</f>
        <v>4845</v>
      </c>
      <c r="E449" s="329">
        <f>SUM(E450:E468)</f>
        <v>865</v>
      </c>
      <c r="F449" s="329">
        <f>SUM(F450:F468)</f>
        <v>18095</v>
      </c>
      <c r="G449" s="350">
        <f>SUM(G450:G468)</f>
        <v>48644</v>
      </c>
      <c r="H449" s="74"/>
      <c r="I449" s="493"/>
    </row>
    <row r="450" spans="1:9" x14ac:dyDescent="0.2">
      <c r="A450" s="331">
        <v>54101</v>
      </c>
      <c r="B450" s="332" t="s">
        <v>29</v>
      </c>
      <c r="C450" s="334">
        <f>700+6000</f>
        <v>6700</v>
      </c>
      <c r="D450" s="334">
        <v>0</v>
      </c>
      <c r="E450" s="334">
        <v>0</v>
      </c>
      <c r="F450" s="334">
        <v>0</v>
      </c>
      <c r="G450" s="352">
        <f>SUM(C450:F450)</f>
        <v>6700</v>
      </c>
      <c r="H450" s="74"/>
    </row>
    <row r="451" spans="1:9" hidden="1" x14ac:dyDescent="0.2">
      <c r="A451" s="331">
        <v>54103</v>
      </c>
      <c r="B451" s="332" t="s">
        <v>30</v>
      </c>
      <c r="C451" s="334">
        <v>0</v>
      </c>
      <c r="D451" s="334">
        <v>0</v>
      </c>
      <c r="E451" s="334">
        <v>0</v>
      </c>
      <c r="F451" s="334">
        <v>0</v>
      </c>
      <c r="G451" s="352">
        <f t="shared" ref="G451:G468" si="97">SUM(C451:F451)</f>
        <v>0</v>
      </c>
      <c r="H451" s="74"/>
    </row>
    <row r="452" spans="1:9" x14ac:dyDescent="0.2">
      <c r="A452" s="331">
        <v>54104</v>
      </c>
      <c r="B452" s="332" t="s">
        <v>31</v>
      </c>
      <c r="C452" s="334">
        <v>0</v>
      </c>
      <c r="D452" s="334">
        <v>0</v>
      </c>
      <c r="E452" s="334">
        <v>0</v>
      </c>
      <c r="F452" s="334">
        <v>0</v>
      </c>
      <c r="G452" s="352">
        <f t="shared" si="97"/>
        <v>0</v>
      </c>
      <c r="H452" s="74"/>
    </row>
    <row r="453" spans="1:9" x14ac:dyDescent="0.2">
      <c r="A453" s="331">
        <v>54105</v>
      </c>
      <c r="B453" s="332" t="s">
        <v>32</v>
      </c>
      <c r="C453" s="334">
        <v>1500</v>
      </c>
      <c r="D453" s="334">
        <v>550</v>
      </c>
      <c r="E453" s="334">
        <v>0</v>
      </c>
      <c r="F453" s="334">
        <v>0</v>
      </c>
      <c r="G453" s="352">
        <f t="shared" si="97"/>
        <v>2050</v>
      </c>
      <c r="H453" s="74"/>
    </row>
    <row r="454" spans="1:9" x14ac:dyDescent="0.2">
      <c r="A454" s="331">
        <v>54106</v>
      </c>
      <c r="B454" s="332" t="s">
        <v>33</v>
      </c>
      <c r="C454" s="334">
        <v>0</v>
      </c>
      <c r="D454" s="334">
        <v>0</v>
      </c>
      <c r="E454" s="334">
        <v>0</v>
      </c>
      <c r="F454" s="334">
        <v>200</v>
      </c>
      <c r="G454" s="352">
        <f t="shared" si="97"/>
        <v>200</v>
      </c>
      <c r="H454" s="74"/>
    </row>
    <row r="455" spans="1:9" x14ac:dyDescent="0.2">
      <c r="A455" s="331">
        <v>54107</v>
      </c>
      <c r="B455" s="332" t="s">
        <v>34</v>
      </c>
      <c r="C455" s="334">
        <v>700</v>
      </c>
      <c r="D455" s="334">
        <v>15</v>
      </c>
      <c r="E455" s="334">
        <v>55</v>
      </c>
      <c r="F455" s="334">
        <v>1050</v>
      </c>
      <c r="G455" s="352">
        <f t="shared" si="97"/>
        <v>1820</v>
      </c>
      <c r="H455" s="74"/>
    </row>
    <row r="456" spans="1:9" hidden="1" x14ac:dyDescent="0.2">
      <c r="A456" s="331">
        <v>54108</v>
      </c>
      <c r="B456" s="332" t="s">
        <v>35</v>
      </c>
      <c r="C456" s="334">
        <v>0</v>
      </c>
      <c r="D456" s="334">
        <v>0</v>
      </c>
      <c r="E456" s="334">
        <v>0</v>
      </c>
      <c r="F456" s="334">
        <v>0</v>
      </c>
      <c r="G456" s="352">
        <f t="shared" si="97"/>
        <v>0</v>
      </c>
      <c r="H456" s="74"/>
    </row>
    <row r="457" spans="1:9" x14ac:dyDescent="0.2">
      <c r="A457" s="331">
        <v>54109</v>
      </c>
      <c r="B457" s="332" t="s">
        <v>36</v>
      </c>
      <c r="C457" s="334">
        <v>520</v>
      </c>
      <c r="D457" s="334">
        <v>0</v>
      </c>
      <c r="E457" s="334">
        <v>0</v>
      </c>
      <c r="F457" s="334">
        <v>180</v>
      </c>
      <c r="G457" s="352">
        <f t="shared" si="97"/>
        <v>700</v>
      </c>
      <c r="H457" s="74"/>
    </row>
    <row r="458" spans="1:9" x14ac:dyDescent="0.2">
      <c r="A458" s="331">
        <v>54110</v>
      </c>
      <c r="B458" s="332" t="s">
        <v>37</v>
      </c>
      <c r="C458" s="334">
        <f>450*12</f>
        <v>5400</v>
      </c>
      <c r="D458" s="334">
        <v>0</v>
      </c>
      <c r="E458" s="334">
        <v>0</v>
      </c>
      <c r="F458" s="334">
        <f>1000*12+1500</f>
        <v>13500</v>
      </c>
      <c r="G458" s="352">
        <f t="shared" si="97"/>
        <v>18900</v>
      </c>
      <c r="H458" s="74"/>
    </row>
    <row r="459" spans="1:9" x14ac:dyDescent="0.2">
      <c r="A459" s="331">
        <v>54111</v>
      </c>
      <c r="B459" s="332" t="s">
        <v>38</v>
      </c>
      <c r="C459" s="334">
        <v>0</v>
      </c>
      <c r="D459" s="334">
        <v>0</v>
      </c>
      <c r="E459" s="334">
        <v>0</v>
      </c>
      <c r="F459" s="334">
        <v>300</v>
      </c>
      <c r="G459" s="352">
        <f t="shared" si="97"/>
        <v>300</v>
      </c>
      <c r="H459" s="74"/>
    </row>
    <row r="460" spans="1:9" x14ac:dyDescent="0.2">
      <c r="A460" s="331">
        <v>54112</v>
      </c>
      <c r="B460" s="332" t="s">
        <v>39</v>
      </c>
      <c r="C460" s="334">
        <v>100</v>
      </c>
      <c r="D460" s="334">
        <v>0</v>
      </c>
      <c r="E460" s="334">
        <v>0</v>
      </c>
      <c r="F460" s="334">
        <v>100</v>
      </c>
      <c r="G460" s="352">
        <f t="shared" si="97"/>
        <v>200</v>
      </c>
      <c r="H460" s="74"/>
    </row>
    <row r="461" spans="1:9" x14ac:dyDescent="0.2">
      <c r="A461" s="331">
        <v>54114</v>
      </c>
      <c r="B461" s="332" t="s">
        <v>40</v>
      </c>
      <c r="C461" s="334">
        <v>200</v>
      </c>
      <c r="D461" s="334">
        <v>100</v>
      </c>
      <c r="E461" s="334">
        <v>50</v>
      </c>
      <c r="F461" s="334">
        <v>0</v>
      </c>
      <c r="G461" s="352">
        <f t="shared" si="97"/>
        <v>350</v>
      </c>
      <c r="H461" s="74"/>
    </row>
    <row r="462" spans="1:9" x14ac:dyDescent="0.2">
      <c r="A462" s="331">
        <v>54115</v>
      </c>
      <c r="B462" s="332" t="s">
        <v>41</v>
      </c>
      <c r="C462" s="334">
        <v>300</v>
      </c>
      <c r="D462" s="334">
        <v>150</v>
      </c>
      <c r="E462" s="334">
        <v>400</v>
      </c>
      <c r="F462" s="334">
        <v>0</v>
      </c>
      <c r="G462" s="352">
        <f t="shared" si="97"/>
        <v>850</v>
      </c>
      <c r="H462" s="74"/>
    </row>
    <row r="463" spans="1:9" x14ac:dyDescent="0.2">
      <c r="A463" s="331">
        <v>54116</v>
      </c>
      <c r="B463" s="332" t="s">
        <v>42</v>
      </c>
      <c r="C463" s="334">
        <v>175</v>
      </c>
      <c r="D463" s="334">
        <v>10</v>
      </c>
      <c r="E463" s="334">
        <v>0</v>
      </c>
      <c r="F463" s="334">
        <v>0</v>
      </c>
      <c r="G463" s="352">
        <f t="shared" si="97"/>
        <v>185</v>
      </c>
      <c r="H463" s="74"/>
    </row>
    <row r="464" spans="1:9" hidden="1" x14ac:dyDescent="0.2">
      <c r="A464" s="331">
        <v>54117</v>
      </c>
      <c r="B464" s="332" t="s">
        <v>43</v>
      </c>
      <c r="C464" s="334">
        <v>0</v>
      </c>
      <c r="D464" s="334">
        <v>0</v>
      </c>
      <c r="E464" s="334">
        <v>0</v>
      </c>
      <c r="F464" s="334">
        <v>0</v>
      </c>
      <c r="G464" s="352">
        <f t="shared" si="97"/>
        <v>0</v>
      </c>
      <c r="H464" s="74"/>
    </row>
    <row r="465" spans="1:11" x14ac:dyDescent="0.2">
      <c r="A465" s="331">
        <v>54118</v>
      </c>
      <c r="B465" s="332" t="s">
        <v>44</v>
      </c>
      <c r="C465" s="334">
        <v>20</v>
      </c>
      <c r="D465" s="334">
        <v>10</v>
      </c>
      <c r="E465" s="334">
        <v>10</v>
      </c>
      <c r="F465" s="334">
        <v>1400</v>
      </c>
      <c r="G465" s="352">
        <f t="shared" si="97"/>
        <v>1440</v>
      </c>
      <c r="H465" s="74"/>
    </row>
    <row r="466" spans="1:11" x14ac:dyDescent="0.2">
      <c r="A466" s="331">
        <v>54119</v>
      </c>
      <c r="B466" s="332" t="s">
        <v>45</v>
      </c>
      <c r="C466" s="334">
        <v>10</v>
      </c>
      <c r="D466" s="334">
        <v>0</v>
      </c>
      <c r="E466" s="334">
        <v>0</v>
      </c>
      <c r="F466" s="334">
        <v>1050</v>
      </c>
      <c r="G466" s="352">
        <f t="shared" si="97"/>
        <v>1060</v>
      </c>
      <c r="H466" s="74"/>
    </row>
    <row r="467" spans="1:11" x14ac:dyDescent="0.2">
      <c r="A467" s="331">
        <v>54121</v>
      </c>
      <c r="B467" s="332" t="s">
        <v>46</v>
      </c>
      <c r="C467" s="334">
        <v>0</v>
      </c>
      <c r="D467" s="334">
        <v>4000</v>
      </c>
      <c r="E467" s="334">
        <v>0</v>
      </c>
      <c r="F467" s="334">
        <v>0</v>
      </c>
      <c r="G467" s="352">
        <f t="shared" si="97"/>
        <v>4000</v>
      </c>
      <c r="H467" s="74"/>
      <c r="K467" s="74"/>
    </row>
    <row r="468" spans="1:11" x14ac:dyDescent="0.2">
      <c r="A468" s="331">
        <v>54199</v>
      </c>
      <c r="B468" s="332" t="s">
        <v>47</v>
      </c>
      <c r="C468" s="533">
        <f>5000+21924.61-7000-1500-10000+75+280+300+134.39</f>
        <v>9214</v>
      </c>
      <c r="D468" s="334">
        <v>10</v>
      </c>
      <c r="E468" s="334">
        <v>350</v>
      </c>
      <c r="F468" s="334">
        <v>315</v>
      </c>
      <c r="G468" s="352">
        <f t="shared" si="97"/>
        <v>9889</v>
      </c>
      <c r="H468" s="74"/>
      <c r="K468" s="74"/>
    </row>
    <row r="469" spans="1:11" x14ac:dyDescent="0.2">
      <c r="A469" s="326">
        <v>542</v>
      </c>
      <c r="B469" s="327" t="s">
        <v>48</v>
      </c>
      <c r="C469" s="329">
        <f>SUM(C470:C474)</f>
        <v>22220.6</v>
      </c>
      <c r="D469" s="329">
        <f>SUM(D470:D474)</f>
        <v>4068</v>
      </c>
      <c r="E469" s="329">
        <f>SUM(E470:E474)</f>
        <v>0</v>
      </c>
      <c r="F469" s="329">
        <f>SUM(F470:F474)</f>
        <v>146300</v>
      </c>
      <c r="G469" s="350">
        <f>SUM(G470:G474)</f>
        <v>172588.6</v>
      </c>
      <c r="H469" s="74"/>
      <c r="K469" s="74"/>
    </row>
    <row r="470" spans="1:11" x14ac:dyDescent="0.2">
      <c r="A470" s="331">
        <v>54201</v>
      </c>
      <c r="B470" s="332" t="s">
        <v>49</v>
      </c>
      <c r="C470" s="533">
        <v>1600</v>
      </c>
      <c r="D470" s="334">
        <v>0</v>
      </c>
      <c r="E470" s="334">
        <v>0</v>
      </c>
      <c r="F470" s="533">
        <f>195000-54000</f>
        <v>141000</v>
      </c>
      <c r="G470" s="352">
        <f>SUM(C470:F470)</f>
        <v>142600</v>
      </c>
      <c r="H470" s="74"/>
      <c r="K470" s="74"/>
    </row>
    <row r="471" spans="1:11" x14ac:dyDescent="0.2">
      <c r="A471" s="331">
        <v>54202</v>
      </c>
      <c r="B471" s="332" t="s">
        <v>50</v>
      </c>
      <c r="C471" s="533">
        <v>2200</v>
      </c>
      <c r="D471" s="334">
        <v>0</v>
      </c>
      <c r="E471" s="334">
        <v>0</v>
      </c>
      <c r="F471" s="334">
        <v>300</v>
      </c>
      <c r="G471" s="352">
        <f>SUM(C471:F471)</f>
        <v>2500</v>
      </c>
      <c r="H471" s="74"/>
    </row>
    <row r="472" spans="1:11" x14ac:dyDescent="0.2">
      <c r="A472" s="331">
        <v>54203</v>
      </c>
      <c r="B472" s="332" t="s">
        <v>51</v>
      </c>
      <c r="C472" s="523">
        <f>761*12+(774.05*12)</f>
        <v>18420.599999999999</v>
      </c>
      <c r="D472" s="523">
        <f>339*12</f>
        <v>4068</v>
      </c>
      <c r="E472" s="523">
        <v>0</v>
      </c>
      <c r="F472" s="523">
        <v>0</v>
      </c>
      <c r="G472" s="336">
        <f>SUM(C472:F472)</f>
        <v>22488.6</v>
      </c>
      <c r="H472" s="74"/>
    </row>
    <row r="473" spans="1:11" hidden="1" x14ac:dyDescent="0.2">
      <c r="A473" s="331">
        <v>54204</v>
      </c>
      <c r="B473" s="332" t="s">
        <v>52</v>
      </c>
      <c r="C473" s="334">
        <v>0</v>
      </c>
      <c r="D473" s="334">
        <v>0</v>
      </c>
      <c r="E473" s="334">
        <v>0</v>
      </c>
      <c r="F473" s="334">
        <v>0</v>
      </c>
      <c r="G473" s="352">
        <f>SUM(C473:F473)</f>
        <v>0</v>
      </c>
      <c r="H473" s="74"/>
    </row>
    <row r="474" spans="1:11" x14ac:dyDescent="0.2">
      <c r="A474" s="331">
        <v>54205</v>
      </c>
      <c r="B474" s="332" t="s">
        <v>53</v>
      </c>
      <c r="C474" s="334">
        <v>0</v>
      </c>
      <c r="D474" s="334">
        <v>0</v>
      </c>
      <c r="E474" s="334">
        <v>0</v>
      </c>
      <c r="F474" s="533">
        <v>5000</v>
      </c>
      <c r="G474" s="352">
        <f>SUM(C474:F474)</f>
        <v>5000</v>
      </c>
      <c r="H474" s="74"/>
    </row>
    <row r="475" spans="1:11" x14ac:dyDescent="0.2">
      <c r="A475" s="326">
        <v>543</v>
      </c>
      <c r="B475" s="327" t="s">
        <v>54</v>
      </c>
      <c r="C475" s="329">
        <f>SUM(C476:C490)</f>
        <v>58250</v>
      </c>
      <c r="D475" s="329">
        <f>SUM(D476:D490)</f>
        <v>260</v>
      </c>
      <c r="E475" s="329">
        <f>SUM(E476:E490)</f>
        <v>200</v>
      </c>
      <c r="F475" s="329">
        <f>SUM(F476:F490)</f>
        <v>21925</v>
      </c>
      <c r="G475" s="350">
        <f>SUM(G476:G490)</f>
        <v>80635</v>
      </c>
      <c r="H475" s="74"/>
    </row>
    <row r="476" spans="1:11" x14ac:dyDescent="0.2">
      <c r="A476" s="331">
        <v>54301</v>
      </c>
      <c r="B476" s="332" t="s">
        <v>55</v>
      </c>
      <c r="C476" s="334">
        <v>200</v>
      </c>
      <c r="D476" s="334">
        <v>210</v>
      </c>
      <c r="E476" s="334">
        <v>200</v>
      </c>
      <c r="F476" s="533">
        <v>75</v>
      </c>
      <c r="G476" s="352">
        <f>SUM(C476:F476)</f>
        <v>685</v>
      </c>
      <c r="H476" s="74"/>
    </row>
    <row r="477" spans="1:11" x14ac:dyDescent="0.2">
      <c r="A477" s="331">
        <v>54302</v>
      </c>
      <c r="B477" s="332" t="s">
        <v>56</v>
      </c>
      <c r="C477" s="334">
        <v>550</v>
      </c>
      <c r="D477" s="334">
        <v>0</v>
      </c>
      <c r="E477" s="334">
        <v>0</v>
      </c>
      <c r="F477" s="334">
        <v>2050</v>
      </c>
      <c r="G477" s="352">
        <f t="shared" ref="G477:G489" si="98">SUM(C477:F477)</f>
        <v>2600</v>
      </c>
      <c r="H477" s="74"/>
    </row>
    <row r="478" spans="1:11" x14ac:dyDescent="0.2">
      <c r="A478" s="331">
        <v>54303</v>
      </c>
      <c r="B478" s="332" t="s">
        <v>57</v>
      </c>
      <c r="C478" s="334">
        <v>100</v>
      </c>
      <c r="D478" s="334">
        <v>0</v>
      </c>
      <c r="E478" s="334">
        <v>0</v>
      </c>
      <c r="F478" s="334">
        <v>0</v>
      </c>
      <c r="G478" s="352">
        <f t="shared" si="98"/>
        <v>100</v>
      </c>
      <c r="H478" s="74"/>
    </row>
    <row r="479" spans="1:11" x14ac:dyDescent="0.2">
      <c r="A479" s="331">
        <v>54304</v>
      </c>
      <c r="B479" s="332" t="s">
        <v>58</v>
      </c>
      <c r="C479" s="334">
        <v>800</v>
      </c>
      <c r="D479" s="334">
        <v>0</v>
      </c>
      <c r="E479" s="334">
        <v>0</v>
      </c>
      <c r="F479" s="334">
        <v>0</v>
      </c>
      <c r="G479" s="352">
        <f t="shared" si="98"/>
        <v>800</v>
      </c>
      <c r="H479" s="74"/>
    </row>
    <row r="480" spans="1:11" x14ac:dyDescent="0.2">
      <c r="A480" s="331">
        <v>54305</v>
      </c>
      <c r="B480" s="332" t="s">
        <v>59</v>
      </c>
      <c r="C480" s="334">
        <v>500</v>
      </c>
      <c r="D480" s="334">
        <v>0</v>
      </c>
      <c r="E480" s="334">
        <v>0</v>
      </c>
      <c r="F480" s="334">
        <v>0</v>
      </c>
      <c r="G480" s="352">
        <f t="shared" si="98"/>
        <v>500</v>
      </c>
      <c r="H480" s="74"/>
    </row>
    <row r="481" spans="1:8" hidden="1" x14ac:dyDescent="0.2">
      <c r="A481" s="331">
        <v>54306</v>
      </c>
      <c r="B481" s="332" t="s">
        <v>60</v>
      </c>
      <c r="C481" s="334">
        <v>0</v>
      </c>
      <c r="D481" s="334">
        <v>0</v>
      </c>
      <c r="E481" s="334">
        <v>0</v>
      </c>
      <c r="F481" s="334">
        <v>0</v>
      </c>
      <c r="G481" s="352">
        <f t="shared" si="98"/>
        <v>0</v>
      </c>
      <c r="H481" s="74"/>
    </row>
    <row r="482" spans="1:8" x14ac:dyDescent="0.2">
      <c r="A482" s="331">
        <v>54307</v>
      </c>
      <c r="B482" s="332" t="s">
        <v>61</v>
      </c>
      <c r="C482" s="334">
        <v>500</v>
      </c>
      <c r="D482" s="334">
        <v>0</v>
      </c>
      <c r="E482" s="334">
        <v>0</v>
      </c>
      <c r="F482" s="334">
        <v>0</v>
      </c>
      <c r="G482" s="352">
        <f>SUM(C482:F482)</f>
        <v>500</v>
      </c>
      <c r="H482" s="74"/>
    </row>
    <row r="483" spans="1:8" hidden="1" x14ac:dyDescent="0.2">
      <c r="A483" s="331">
        <v>54309</v>
      </c>
      <c r="B483" s="332" t="s">
        <v>62</v>
      </c>
      <c r="C483" s="334">
        <v>0</v>
      </c>
      <c r="D483" s="334">
        <v>0</v>
      </c>
      <c r="E483" s="334">
        <v>0</v>
      </c>
      <c r="F483" s="334">
        <v>0</v>
      </c>
      <c r="G483" s="352">
        <f t="shared" si="98"/>
        <v>0</v>
      </c>
      <c r="H483" s="74"/>
    </row>
    <row r="484" spans="1:8" hidden="1" x14ac:dyDescent="0.2">
      <c r="A484" s="331">
        <v>54310</v>
      </c>
      <c r="B484" s="332" t="s">
        <v>63</v>
      </c>
      <c r="C484" s="334">
        <v>0</v>
      </c>
      <c r="D484" s="334">
        <v>0</v>
      </c>
      <c r="E484" s="334">
        <v>0</v>
      </c>
      <c r="F484" s="334">
        <v>0</v>
      </c>
      <c r="G484" s="352">
        <f t="shared" si="98"/>
        <v>0</v>
      </c>
      <c r="H484" s="74"/>
    </row>
    <row r="485" spans="1:8" hidden="1" x14ac:dyDescent="0.2">
      <c r="A485" s="331">
        <v>54311</v>
      </c>
      <c r="B485" s="332" t="s">
        <v>64</v>
      </c>
      <c r="C485" s="334">
        <v>0</v>
      </c>
      <c r="D485" s="334">
        <v>0</v>
      </c>
      <c r="E485" s="334">
        <v>0</v>
      </c>
      <c r="F485" s="334">
        <v>0</v>
      </c>
      <c r="G485" s="352">
        <f t="shared" si="98"/>
        <v>0</v>
      </c>
      <c r="H485" s="74"/>
    </row>
    <row r="486" spans="1:8" x14ac:dyDescent="0.2">
      <c r="A486" s="331">
        <v>54313</v>
      </c>
      <c r="B486" s="332" t="s">
        <v>65</v>
      </c>
      <c r="C486" s="334">
        <v>100</v>
      </c>
      <c r="D486" s="334">
        <v>50</v>
      </c>
      <c r="E486" s="334">
        <v>0</v>
      </c>
      <c r="F486" s="334">
        <v>0</v>
      </c>
      <c r="G486" s="352">
        <f t="shared" si="98"/>
        <v>150</v>
      </c>
      <c r="H486" s="74"/>
    </row>
    <row r="487" spans="1:8" x14ac:dyDescent="0.2">
      <c r="A487" s="331">
        <v>54314</v>
      </c>
      <c r="B487" s="332" t="s">
        <v>66</v>
      </c>
      <c r="C487" s="334">
        <v>1000</v>
      </c>
      <c r="D487" s="334">
        <v>0</v>
      </c>
      <c r="E487" s="334">
        <v>0</v>
      </c>
      <c r="F487" s="334">
        <v>0</v>
      </c>
      <c r="G487" s="352">
        <f t="shared" si="98"/>
        <v>1000</v>
      </c>
      <c r="H487" s="74"/>
    </row>
    <row r="488" spans="1:8" x14ac:dyDescent="0.2">
      <c r="A488" s="331">
        <v>54316</v>
      </c>
      <c r="B488" s="332" t="s">
        <v>67</v>
      </c>
      <c r="C488" s="334">
        <v>500</v>
      </c>
      <c r="D488" s="334">
        <v>0</v>
      </c>
      <c r="E488" s="334">
        <v>0</v>
      </c>
      <c r="F488" s="334">
        <v>0</v>
      </c>
      <c r="G488" s="352">
        <f t="shared" si="98"/>
        <v>500</v>
      </c>
      <c r="H488" s="74"/>
    </row>
    <row r="489" spans="1:8" x14ac:dyDescent="0.2">
      <c r="A489" s="331">
        <v>54317</v>
      </c>
      <c r="B489" s="332" t="s">
        <v>68</v>
      </c>
      <c r="C489" s="334">
        <v>0</v>
      </c>
      <c r="D489" s="334">
        <v>0</v>
      </c>
      <c r="E489" s="334">
        <v>0</v>
      </c>
      <c r="F489" s="334">
        <f>150*12</f>
        <v>1800</v>
      </c>
      <c r="G489" s="352">
        <f t="shared" si="98"/>
        <v>1800</v>
      </c>
      <c r="H489" s="74"/>
    </row>
    <row r="490" spans="1:8" x14ac:dyDescent="0.2">
      <c r="A490" s="331">
        <v>54399</v>
      </c>
      <c r="B490" s="332" t="s">
        <v>69</v>
      </c>
      <c r="C490" s="334">
        <f>500+44500+9000</f>
        <v>54000</v>
      </c>
      <c r="D490" s="334">
        <v>0</v>
      </c>
      <c r="E490" s="334">
        <v>0</v>
      </c>
      <c r="F490" s="334">
        <f>15000+3000</f>
        <v>18000</v>
      </c>
      <c r="G490" s="352">
        <f>SUM(C490:F490)</f>
        <v>72000</v>
      </c>
      <c r="H490" s="74"/>
    </row>
    <row r="491" spans="1:8" x14ac:dyDescent="0.2">
      <c r="A491" s="326">
        <v>544</v>
      </c>
      <c r="B491" s="327" t="s">
        <v>70</v>
      </c>
      <c r="C491" s="329">
        <f>SUM(C492:C495)</f>
        <v>2850</v>
      </c>
      <c r="D491" s="329">
        <f>SUM(D492:D494)</f>
        <v>100</v>
      </c>
      <c r="E491" s="329">
        <f>SUM(E492:E494)</f>
        <v>100</v>
      </c>
      <c r="F491" s="329">
        <f>SUM(F492:F494)</f>
        <v>200</v>
      </c>
      <c r="G491" s="350">
        <f>SUM(C491:F491)</f>
        <v>3250</v>
      </c>
      <c r="H491" s="74"/>
    </row>
    <row r="492" spans="1:8" x14ac:dyDescent="0.2">
      <c r="A492" s="331">
        <v>54401</v>
      </c>
      <c r="B492" s="332" t="s">
        <v>71</v>
      </c>
      <c r="C492" s="334">
        <v>50</v>
      </c>
      <c r="D492" s="334">
        <v>50</v>
      </c>
      <c r="E492" s="334">
        <v>50</v>
      </c>
      <c r="F492" s="334">
        <v>50</v>
      </c>
      <c r="G492" s="352">
        <f>SUM(C492:F492)</f>
        <v>200</v>
      </c>
      <c r="H492" s="74"/>
    </row>
    <row r="493" spans="1:8" x14ac:dyDescent="0.2">
      <c r="A493" s="331">
        <v>54402</v>
      </c>
      <c r="B493" s="332" t="s">
        <v>72</v>
      </c>
      <c r="C493" s="334">
        <v>1100</v>
      </c>
      <c r="D493" s="334">
        <v>0</v>
      </c>
      <c r="E493" s="334">
        <v>0</v>
      </c>
      <c r="F493" s="334">
        <v>0</v>
      </c>
      <c r="G493" s="352">
        <f t="shared" ref="G493:G509" si="99">+C493+F493</f>
        <v>1100</v>
      </c>
      <c r="H493" s="74"/>
    </row>
    <row r="494" spans="1:8" x14ac:dyDescent="0.2">
      <c r="A494" s="331">
        <v>54403</v>
      </c>
      <c r="B494" s="332" t="s">
        <v>73</v>
      </c>
      <c r="C494" s="334">
        <v>200</v>
      </c>
      <c r="D494" s="334">
        <v>50</v>
      </c>
      <c r="E494" s="334">
        <v>50</v>
      </c>
      <c r="F494" s="334">
        <v>150</v>
      </c>
      <c r="G494" s="352">
        <f>SUM(C494:F494)</f>
        <v>450</v>
      </c>
      <c r="H494" s="74"/>
    </row>
    <row r="495" spans="1:8" x14ac:dyDescent="0.2">
      <c r="A495" s="331">
        <v>54404</v>
      </c>
      <c r="B495" s="332" t="s">
        <v>74</v>
      </c>
      <c r="C495" s="334">
        <v>1500</v>
      </c>
      <c r="D495" s="334">
        <v>0</v>
      </c>
      <c r="E495" s="334">
        <v>0</v>
      </c>
      <c r="F495" s="334">
        <v>0</v>
      </c>
      <c r="G495" s="352">
        <f t="shared" si="99"/>
        <v>1500</v>
      </c>
      <c r="H495" s="74"/>
    </row>
    <row r="496" spans="1:8" x14ac:dyDescent="0.2">
      <c r="A496" s="326">
        <v>545</v>
      </c>
      <c r="B496" s="327" t="s">
        <v>75</v>
      </c>
      <c r="C496" s="329">
        <f>SUM(C497:C503)</f>
        <v>100</v>
      </c>
      <c r="D496" s="329">
        <f>SUM(D497:D503)</f>
        <v>400</v>
      </c>
      <c r="E496" s="329"/>
      <c r="F496" s="329">
        <f>SUM(F497:F503)</f>
        <v>0</v>
      </c>
      <c r="G496" s="350">
        <f>SUM(C496:F496)</f>
        <v>500</v>
      </c>
      <c r="H496" s="74"/>
    </row>
    <row r="497" spans="1:8" hidden="1" x14ac:dyDescent="0.2">
      <c r="A497" s="331">
        <v>54501</v>
      </c>
      <c r="B497" s="332" t="s">
        <v>76</v>
      </c>
      <c r="C497" s="334">
        <v>0</v>
      </c>
      <c r="D497" s="334"/>
      <c r="E497" s="334"/>
      <c r="F497" s="334"/>
      <c r="G497" s="352">
        <f t="shared" si="99"/>
        <v>0</v>
      </c>
      <c r="H497" s="74"/>
    </row>
    <row r="498" spans="1:8" hidden="1" x14ac:dyDescent="0.2">
      <c r="A498" s="331">
        <v>54503</v>
      </c>
      <c r="B498" s="332" t="s">
        <v>77</v>
      </c>
      <c r="C498" s="334">
        <v>0</v>
      </c>
      <c r="D498" s="334">
        <v>0</v>
      </c>
      <c r="E498" s="334">
        <v>0</v>
      </c>
      <c r="F498" s="334">
        <v>0</v>
      </c>
      <c r="G498" s="352">
        <f t="shared" si="99"/>
        <v>0</v>
      </c>
      <c r="H498" s="74"/>
    </row>
    <row r="499" spans="1:8" hidden="1" x14ac:dyDescent="0.2">
      <c r="A499" s="331">
        <v>54504</v>
      </c>
      <c r="B499" s="332" t="s">
        <v>78</v>
      </c>
      <c r="C499" s="334">
        <v>0</v>
      </c>
      <c r="D499" s="334">
        <v>0</v>
      </c>
      <c r="E499" s="334">
        <v>0</v>
      </c>
      <c r="F499" s="334">
        <v>0</v>
      </c>
      <c r="G499" s="352">
        <f t="shared" si="99"/>
        <v>0</v>
      </c>
      <c r="H499" s="74"/>
    </row>
    <row r="500" spans="1:8" x14ac:dyDescent="0.2">
      <c r="A500" s="331">
        <v>54505</v>
      </c>
      <c r="B500" s="332" t="s">
        <v>79</v>
      </c>
      <c r="C500" s="334">
        <v>100</v>
      </c>
      <c r="D500" s="334">
        <v>0</v>
      </c>
      <c r="E500" s="334">
        <v>0</v>
      </c>
      <c r="F500" s="334">
        <v>0</v>
      </c>
      <c r="G500" s="352">
        <f>+C500+D500+E500+F500</f>
        <v>100</v>
      </c>
      <c r="H500" s="74"/>
    </row>
    <row r="501" spans="1:8" x14ac:dyDescent="0.2">
      <c r="A501" s="331">
        <v>54507</v>
      </c>
      <c r="B501" s="332" t="s">
        <v>80</v>
      </c>
      <c r="C501" s="334">
        <v>0</v>
      </c>
      <c r="D501" s="334">
        <v>400</v>
      </c>
      <c r="E501" s="334">
        <v>0</v>
      </c>
      <c r="F501" s="334">
        <v>0</v>
      </c>
      <c r="G501" s="352">
        <f>+C501+D501+E501+F501</f>
        <v>400</v>
      </c>
      <c r="H501" s="74"/>
    </row>
    <row r="502" spans="1:8" x14ac:dyDescent="0.2">
      <c r="A502" s="331">
        <v>54508</v>
      </c>
      <c r="B502" s="332" t="s">
        <v>81</v>
      </c>
      <c r="C502" s="334">
        <v>0</v>
      </c>
      <c r="D502" s="334">
        <v>0</v>
      </c>
      <c r="E502" s="334">
        <v>0</v>
      </c>
      <c r="F502" s="334">
        <v>0</v>
      </c>
      <c r="G502" s="352">
        <f t="shared" si="99"/>
        <v>0</v>
      </c>
      <c r="H502" s="74"/>
    </row>
    <row r="503" spans="1:8" x14ac:dyDescent="0.2">
      <c r="A503" s="331">
        <v>54599</v>
      </c>
      <c r="B503" s="332" t="s">
        <v>82</v>
      </c>
      <c r="C503" s="334">
        <v>0</v>
      </c>
      <c r="D503" s="334">
        <v>0</v>
      </c>
      <c r="E503" s="334">
        <v>0</v>
      </c>
      <c r="F503" s="334">
        <v>0</v>
      </c>
      <c r="G503" s="352">
        <f t="shared" si="99"/>
        <v>0</v>
      </c>
      <c r="H503" s="74"/>
    </row>
    <row r="504" spans="1:8" x14ac:dyDescent="0.2">
      <c r="A504" s="367" t="s">
        <v>419</v>
      </c>
      <c r="B504" s="332"/>
      <c r="C504" s="334"/>
      <c r="D504" s="334"/>
      <c r="E504" s="334"/>
      <c r="F504" s="334"/>
      <c r="G504" s="352"/>
      <c r="H504" s="74"/>
    </row>
    <row r="505" spans="1:8" x14ac:dyDescent="0.2">
      <c r="A505" s="326">
        <v>55</v>
      </c>
      <c r="B505" s="327" t="s">
        <v>83</v>
      </c>
      <c r="C505" s="329">
        <f>C506+C510+C513</f>
        <v>10653.44</v>
      </c>
      <c r="D505" s="329">
        <f>D506+D510+D513</f>
        <v>700</v>
      </c>
      <c r="E505" s="329">
        <f>E506+E510+E513</f>
        <v>0</v>
      </c>
      <c r="F505" s="329">
        <f>F506+F510+F513</f>
        <v>0</v>
      </c>
      <c r="G505" s="350">
        <f>G506+G510+G513</f>
        <v>11353.44</v>
      </c>
      <c r="H505" s="74"/>
    </row>
    <row r="506" spans="1:8" hidden="1" x14ac:dyDescent="0.2">
      <c r="A506" s="326">
        <v>553</v>
      </c>
      <c r="B506" s="327" t="s">
        <v>84</v>
      </c>
      <c r="C506" s="334">
        <v>0</v>
      </c>
      <c r="D506" s="334">
        <v>0</v>
      </c>
      <c r="E506" s="334">
        <v>0</v>
      </c>
      <c r="F506" s="334">
        <v>0</v>
      </c>
      <c r="G506" s="350">
        <f t="shared" si="99"/>
        <v>0</v>
      </c>
      <c r="H506" s="74"/>
    </row>
    <row r="507" spans="1:8" hidden="1" x14ac:dyDescent="0.2">
      <c r="A507" s="331">
        <v>55303</v>
      </c>
      <c r="B507" s="332" t="s">
        <v>85</v>
      </c>
      <c r="C507" s="334">
        <v>0</v>
      </c>
      <c r="D507" s="334">
        <v>0</v>
      </c>
      <c r="E507" s="334">
        <v>0</v>
      </c>
      <c r="F507" s="334">
        <v>0</v>
      </c>
      <c r="G507" s="352">
        <f t="shared" si="99"/>
        <v>0</v>
      </c>
      <c r="H507" s="74"/>
    </row>
    <row r="508" spans="1:8" hidden="1" x14ac:dyDescent="0.2">
      <c r="A508" s="331">
        <v>55304</v>
      </c>
      <c r="B508" s="332" t="s">
        <v>86</v>
      </c>
      <c r="C508" s="334">
        <v>0</v>
      </c>
      <c r="D508" s="334">
        <v>0</v>
      </c>
      <c r="E508" s="334">
        <v>0</v>
      </c>
      <c r="F508" s="334">
        <v>0</v>
      </c>
      <c r="G508" s="352">
        <f t="shared" si="99"/>
        <v>0</v>
      </c>
      <c r="H508" s="74"/>
    </row>
    <row r="509" spans="1:8" hidden="1" x14ac:dyDescent="0.2">
      <c r="A509" s="331">
        <v>55308</v>
      </c>
      <c r="B509" s="332" t="s">
        <v>87</v>
      </c>
      <c r="C509" s="334">
        <v>0</v>
      </c>
      <c r="D509" s="334">
        <v>0</v>
      </c>
      <c r="E509" s="334">
        <v>0</v>
      </c>
      <c r="F509" s="334">
        <v>0</v>
      </c>
      <c r="G509" s="352">
        <f t="shared" si="99"/>
        <v>0</v>
      </c>
      <c r="H509" s="74"/>
    </row>
    <row r="510" spans="1:8" s="46" customFormat="1" x14ac:dyDescent="0.2">
      <c r="A510" s="326">
        <v>555</v>
      </c>
      <c r="B510" s="327" t="s">
        <v>438</v>
      </c>
      <c r="C510" s="329">
        <f>C511</f>
        <v>153.44</v>
      </c>
      <c r="D510" s="329">
        <f>D511</f>
        <v>0</v>
      </c>
      <c r="E510" s="329">
        <f>E511</f>
        <v>0</v>
      </c>
      <c r="F510" s="329">
        <f>F511</f>
        <v>0</v>
      </c>
      <c r="G510" s="350">
        <f>+C510+D510+E510+F510</f>
        <v>153.44</v>
      </c>
      <c r="H510" s="129"/>
    </row>
    <row r="511" spans="1:8" x14ac:dyDescent="0.2">
      <c r="A511" s="331">
        <v>55508</v>
      </c>
      <c r="B511" s="337" t="s">
        <v>329</v>
      </c>
      <c r="C511" s="334">
        <v>153.44</v>
      </c>
      <c r="D511" s="334">
        <v>0</v>
      </c>
      <c r="E511" s="334">
        <v>0</v>
      </c>
      <c r="F511" s="334"/>
      <c r="G511" s="351">
        <f>+C511+D511+E511+F511</f>
        <v>153.44</v>
      </c>
      <c r="H511" s="74"/>
    </row>
    <row r="512" spans="1:8" x14ac:dyDescent="0.2">
      <c r="A512" s="331">
        <v>55508</v>
      </c>
      <c r="B512" s="337" t="s">
        <v>329</v>
      </c>
      <c r="C512" s="334">
        <v>10</v>
      </c>
      <c r="D512" s="334">
        <v>0</v>
      </c>
      <c r="E512" s="334">
        <v>0</v>
      </c>
      <c r="F512" s="334">
        <v>0</v>
      </c>
      <c r="G512" s="351">
        <f>+C512+D512+E512+F512</f>
        <v>10</v>
      </c>
      <c r="H512" s="74"/>
    </row>
    <row r="513" spans="1:8" x14ac:dyDescent="0.2">
      <c r="A513" s="326">
        <v>556</v>
      </c>
      <c r="B513" s="327" t="s">
        <v>88</v>
      </c>
      <c r="C513" s="329">
        <f>SUM(C514:C516)</f>
        <v>10500</v>
      </c>
      <c r="D513" s="329">
        <f>SUM(D514:D516)</f>
        <v>700</v>
      </c>
      <c r="E513" s="329">
        <v>0</v>
      </c>
      <c r="F513" s="329">
        <v>0</v>
      </c>
      <c r="G513" s="350">
        <f>+C513+D513+F513</f>
        <v>11200</v>
      </c>
      <c r="H513" s="74"/>
    </row>
    <row r="514" spans="1:8" x14ac:dyDescent="0.2">
      <c r="A514" s="331">
        <v>55601</v>
      </c>
      <c r="B514" s="332" t="s">
        <v>89</v>
      </c>
      <c r="C514" s="533">
        <v>0</v>
      </c>
      <c r="D514" s="533">
        <v>600</v>
      </c>
      <c r="E514" s="533">
        <v>0</v>
      </c>
      <c r="F514" s="533">
        <v>0</v>
      </c>
      <c r="G514" s="352">
        <f t="shared" ref="G514:G515" si="100">+C514+D514+E514+F514</f>
        <v>600</v>
      </c>
      <c r="H514" s="74"/>
    </row>
    <row r="515" spans="1:8" x14ac:dyDescent="0.2">
      <c r="A515" s="331">
        <v>55602</v>
      </c>
      <c r="B515" s="332" t="s">
        <v>90</v>
      </c>
      <c r="C515" s="533">
        <v>10500</v>
      </c>
      <c r="D515" s="533">
        <v>0</v>
      </c>
      <c r="E515" s="533">
        <v>0</v>
      </c>
      <c r="F515" s="533">
        <v>0</v>
      </c>
      <c r="G515" s="352">
        <f t="shared" si="100"/>
        <v>10500</v>
      </c>
      <c r="H515" s="74"/>
    </row>
    <row r="516" spans="1:8" x14ac:dyDescent="0.2">
      <c r="A516" s="331">
        <v>55603</v>
      </c>
      <c r="B516" s="332" t="s">
        <v>91</v>
      </c>
      <c r="C516" s="334">
        <v>0</v>
      </c>
      <c r="D516" s="334">
        <v>100</v>
      </c>
      <c r="E516" s="334">
        <v>0</v>
      </c>
      <c r="F516" s="334">
        <v>0</v>
      </c>
      <c r="G516" s="352">
        <f>+C516+D516+E516+F516</f>
        <v>100</v>
      </c>
      <c r="H516" s="74"/>
    </row>
    <row r="517" spans="1:8" hidden="1" x14ac:dyDescent="0.2">
      <c r="A517" s="326">
        <v>557</v>
      </c>
      <c r="B517" s="327" t="s">
        <v>92</v>
      </c>
      <c r="C517" s="469">
        <f>SUM(C518:C520)</f>
        <v>0</v>
      </c>
      <c r="D517" s="469">
        <f>SUM(D518:D520)</f>
        <v>0</v>
      </c>
      <c r="E517" s="469">
        <f>SUM(E518:E520)</f>
        <v>0</v>
      </c>
      <c r="F517" s="469">
        <f>SUM(F518:F520)</f>
        <v>0</v>
      </c>
      <c r="G517" s="350">
        <f t="shared" ref="G517:G528" si="101">+C517+F517</f>
        <v>0</v>
      </c>
      <c r="H517" s="74"/>
    </row>
    <row r="518" spans="1:8" hidden="1" x14ac:dyDescent="0.2">
      <c r="A518" s="331">
        <v>55701</v>
      </c>
      <c r="B518" s="332" t="s">
        <v>93</v>
      </c>
      <c r="C518" s="466">
        <v>0</v>
      </c>
      <c r="D518" s="466">
        <v>0</v>
      </c>
      <c r="E518" s="466">
        <v>0</v>
      </c>
      <c r="F518" s="466">
        <v>0</v>
      </c>
      <c r="G518" s="352">
        <f t="shared" si="101"/>
        <v>0</v>
      </c>
      <c r="H518" s="74"/>
    </row>
    <row r="519" spans="1:8" hidden="1" x14ac:dyDescent="0.2">
      <c r="A519" s="331">
        <v>55702</v>
      </c>
      <c r="B519" s="332" t="s">
        <v>94</v>
      </c>
      <c r="C519" s="466">
        <v>0</v>
      </c>
      <c r="D519" s="466">
        <v>0</v>
      </c>
      <c r="E519" s="466">
        <v>0</v>
      </c>
      <c r="F519" s="466">
        <v>0</v>
      </c>
      <c r="G519" s="352">
        <f t="shared" si="101"/>
        <v>0</v>
      </c>
      <c r="H519" s="74"/>
    </row>
    <row r="520" spans="1:8" hidden="1" x14ac:dyDescent="0.2">
      <c r="A520" s="331">
        <v>55799</v>
      </c>
      <c r="B520" s="332" t="s">
        <v>95</v>
      </c>
      <c r="C520" s="466">
        <v>0</v>
      </c>
      <c r="D520" s="466">
        <v>0</v>
      </c>
      <c r="E520" s="466">
        <v>0</v>
      </c>
      <c r="F520" s="466">
        <v>0</v>
      </c>
      <c r="G520" s="352">
        <f t="shared" si="101"/>
        <v>0</v>
      </c>
      <c r="H520" s="74"/>
    </row>
    <row r="521" spans="1:8" x14ac:dyDescent="0.2">
      <c r="A521" s="367" t="s">
        <v>419</v>
      </c>
      <c r="B521" s="332"/>
      <c r="C521" s="466"/>
      <c r="D521" s="466"/>
      <c r="E521" s="466"/>
      <c r="F521" s="466"/>
      <c r="G521" s="352"/>
      <c r="H521" s="74"/>
    </row>
    <row r="522" spans="1:8" x14ac:dyDescent="0.2">
      <c r="A522" s="326">
        <v>56</v>
      </c>
      <c r="B522" s="327" t="s">
        <v>96</v>
      </c>
      <c r="C522" s="469">
        <f>C523+C526</f>
        <v>10300</v>
      </c>
      <c r="D522" s="469">
        <f>D523+D526</f>
        <v>0</v>
      </c>
      <c r="E522" s="469">
        <v>0</v>
      </c>
      <c r="F522" s="469">
        <v>0</v>
      </c>
      <c r="G522" s="350">
        <f>+C522+F522</f>
        <v>10300</v>
      </c>
      <c r="H522" s="74"/>
    </row>
    <row r="523" spans="1:8" x14ac:dyDescent="0.2">
      <c r="A523" s="326">
        <v>562</v>
      </c>
      <c r="B523" s="327" t="s">
        <v>97</v>
      </c>
      <c r="C523" s="469">
        <f>C525</f>
        <v>0</v>
      </c>
      <c r="D523" s="469">
        <f>SUM(D524:D525)</f>
        <v>0</v>
      </c>
      <c r="E523" s="469">
        <v>0</v>
      </c>
      <c r="F523" s="469">
        <v>0</v>
      </c>
      <c r="G523" s="350">
        <f t="shared" si="101"/>
        <v>0</v>
      </c>
      <c r="H523" s="74"/>
    </row>
    <row r="524" spans="1:8" hidden="1" x14ac:dyDescent="0.2">
      <c r="A524" s="331">
        <v>56201</v>
      </c>
      <c r="B524" s="337" t="s">
        <v>445</v>
      </c>
      <c r="C524" s="466">
        <v>0</v>
      </c>
      <c r="D524" s="466">
        <v>0</v>
      </c>
      <c r="E524" s="466">
        <v>0</v>
      </c>
      <c r="F524" s="466">
        <v>0</v>
      </c>
      <c r="G524" s="352">
        <f t="shared" si="101"/>
        <v>0</v>
      </c>
      <c r="H524" s="74"/>
    </row>
    <row r="525" spans="1:8" x14ac:dyDescent="0.2">
      <c r="A525" s="331">
        <v>56201</v>
      </c>
      <c r="B525" s="337" t="s">
        <v>441</v>
      </c>
      <c r="C525" s="466">
        <v>0</v>
      </c>
      <c r="D525" s="466">
        <v>0</v>
      </c>
      <c r="E525" s="466">
        <v>0</v>
      </c>
      <c r="F525" s="466">
        <v>0</v>
      </c>
      <c r="G525" s="352">
        <f>+C525+F525</f>
        <v>0</v>
      </c>
      <c r="H525" s="74"/>
    </row>
    <row r="526" spans="1:8" x14ac:dyDescent="0.2">
      <c r="A526" s="326">
        <v>563</v>
      </c>
      <c r="B526" s="327" t="s">
        <v>99</v>
      </c>
      <c r="C526" s="469">
        <f>SUM(C527:C528)</f>
        <v>10300</v>
      </c>
      <c r="D526" s="469">
        <f>SUM(D527:D528)</f>
        <v>0</v>
      </c>
      <c r="E526" s="469">
        <v>0</v>
      </c>
      <c r="F526" s="469">
        <v>0</v>
      </c>
      <c r="G526" s="350">
        <f>+C526+F526</f>
        <v>10300</v>
      </c>
      <c r="H526" s="74"/>
    </row>
    <row r="527" spans="1:8" x14ac:dyDescent="0.2">
      <c r="A527" s="331">
        <v>56303</v>
      </c>
      <c r="B527" s="332" t="s">
        <v>98</v>
      </c>
      <c r="C527" s="466">
        <v>1500</v>
      </c>
      <c r="D527" s="466">
        <v>0</v>
      </c>
      <c r="E527" s="466">
        <v>0</v>
      </c>
      <c r="F527" s="466">
        <v>0</v>
      </c>
      <c r="G527" s="352">
        <f t="shared" si="101"/>
        <v>1500</v>
      </c>
      <c r="H527" s="74"/>
    </row>
    <row r="528" spans="1:8" x14ac:dyDescent="0.2">
      <c r="A528" s="331">
        <v>56304</v>
      </c>
      <c r="B528" s="332" t="s">
        <v>107</v>
      </c>
      <c r="C528" s="466">
        <f>7800+1000</f>
        <v>8800</v>
      </c>
      <c r="D528" s="466">
        <v>0</v>
      </c>
      <c r="E528" s="466">
        <v>0</v>
      </c>
      <c r="F528" s="466">
        <v>0</v>
      </c>
      <c r="G528" s="352">
        <f t="shared" si="101"/>
        <v>8800</v>
      </c>
      <c r="H528" s="74"/>
    </row>
    <row r="529" spans="1:9" x14ac:dyDescent="0.2">
      <c r="A529" s="331"/>
      <c r="B529" s="332"/>
      <c r="C529" s="466"/>
      <c r="D529" s="466"/>
      <c r="E529" s="466"/>
      <c r="F529" s="466"/>
      <c r="G529" s="336"/>
      <c r="H529" s="74"/>
    </row>
    <row r="530" spans="1:9" s="46" customFormat="1" x14ac:dyDescent="0.2">
      <c r="A530" s="326">
        <v>61</v>
      </c>
      <c r="B530" s="327" t="s">
        <v>161</v>
      </c>
      <c r="C530" s="469">
        <f>C531+C535</f>
        <v>300</v>
      </c>
      <c r="D530" s="469">
        <f t="shared" ref="D530:F530" si="102">D531</f>
        <v>0</v>
      </c>
      <c r="E530" s="469">
        <f t="shared" si="102"/>
        <v>0</v>
      </c>
      <c r="F530" s="469">
        <f t="shared" si="102"/>
        <v>0</v>
      </c>
      <c r="G530" s="350">
        <f>+C530+F530</f>
        <v>300</v>
      </c>
      <c r="H530" s="129"/>
    </row>
    <row r="531" spans="1:9" s="46" customFormat="1" hidden="1" x14ac:dyDescent="0.2">
      <c r="A531" s="326">
        <v>611</v>
      </c>
      <c r="B531" s="327" t="s">
        <v>163</v>
      </c>
      <c r="C531" s="469">
        <f>C532+C533</f>
        <v>0</v>
      </c>
      <c r="D531" s="469">
        <f t="shared" ref="D531:F531" si="103">D532+D533</f>
        <v>0</v>
      </c>
      <c r="E531" s="469">
        <f t="shared" si="103"/>
        <v>0</v>
      </c>
      <c r="F531" s="469">
        <f t="shared" si="103"/>
        <v>0</v>
      </c>
      <c r="G531" s="329">
        <f>G532+G533</f>
        <v>0</v>
      </c>
      <c r="H531" s="129"/>
    </row>
    <row r="532" spans="1:9" hidden="1" x14ac:dyDescent="0.2">
      <c r="A532" s="331">
        <v>61101</v>
      </c>
      <c r="B532" s="337" t="s">
        <v>163</v>
      </c>
      <c r="C532" s="523">
        <v>0</v>
      </c>
      <c r="D532" s="466">
        <v>0</v>
      </c>
      <c r="E532" s="466">
        <v>0</v>
      </c>
      <c r="F532" s="466">
        <v>0</v>
      </c>
      <c r="G532" s="352">
        <f>C532+D532+E532+F532</f>
        <v>0</v>
      </c>
      <c r="H532" s="74"/>
    </row>
    <row r="533" spans="1:9" hidden="1" x14ac:dyDescent="0.2">
      <c r="A533" s="331">
        <v>61199</v>
      </c>
      <c r="B533" s="337" t="s">
        <v>179</v>
      </c>
      <c r="C533" s="523">
        <v>0</v>
      </c>
      <c r="D533" s="466">
        <v>0</v>
      </c>
      <c r="E533" s="466">
        <v>0</v>
      </c>
      <c r="F533" s="466">
        <v>0</v>
      </c>
      <c r="G533" s="352">
        <f>C533+D533+E533+F533</f>
        <v>0</v>
      </c>
      <c r="H533" s="74"/>
    </row>
    <row r="534" spans="1:9" hidden="1" x14ac:dyDescent="0.2">
      <c r="A534" s="331"/>
      <c r="B534" s="332"/>
      <c r="C534" s="466"/>
      <c r="D534" s="466"/>
      <c r="E534" s="466"/>
      <c r="F534" s="466"/>
      <c r="G534" s="336"/>
      <c r="H534" s="74"/>
    </row>
    <row r="535" spans="1:9" s="46" customFormat="1" x14ac:dyDescent="0.2">
      <c r="A535" s="326">
        <v>614</v>
      </c>
      <c r="B535" s="327" t="s">
        <v>866</v>
      </c>
      <c r="C535" s="469">
        <f>C536+C537</f>
        <v>300</v>
      </c>
      <c r="D535" s="469">
        <f t="shared" ref="D535:G535" si="104">D536+D537</f>
        <v>0</v>
      </c>
      <c r="E535" s="469">
        <f t="shared" si="104"/>
        <v>0</v>
      </c>
      <c r="F535" s="469">
        <f t="shared" si="104"/>
        <v>0</v>
      </c>
      <c r="G535" s="329">
        <f t="shared" si="104"/>
        <v>300</v>
      </c>
      <c r="H535" s="129"/>
    </row>
    <row r="536" spans="1:9" x14ac:dyDescent="0.2">
      <c r="A536" s="331">
        <v>61403</v>
      </c>
      <c r="B536" s="337" t="s">
        <v>867</v>
      </c>
      <c r="C536" s="523">
        <v>300</v>
      </c>
      <c r="D536" s="466">
        <v>0</v>
      </c>
      <c r="E536" s="466">
        <v>0</v>
      </c>
      <c r="F536" s="466">
        <v>0</v>
      </c>
      <c r="G536" s="352">
        <f>C536+D536+E536+F536</f>
        <v>300</v>
      </c>
      <c r="H536" s="74"/>
    </row>
    <row r="537" spans="1:9" x14ac:dyDescent="0.2">
      <c r="A537" s="331"/>
      <c r="B537" s="332"/>
      <c r="C537" s="466"/>
      <c r="D537" s="466"/>
      <c r="E537" s="466"/>
      <c r="F537" s="466"/>
      <c r="G537" s="336"/>
      <c r="H537" s="74"/>
    </row>
    <row r="538" spans="1:9" s="46" customFormat="1" x14ac:dyDescent="0.2">
      <c r="A538" s="326">
        <v>72</v>
      </c>
      <c r="B538" s="327" t="s">
        <v>13</v>
      </c>
      <c r="C538" s="469">
        <f>C539</f>
        <v>61546.59</v>
      </c>
      <c r="D538" s="469">
        <f t="shared" ref="D538:F539" si="105">D539</f>
        <v>0</v>
      </c>
      <c r="E538" s="469">
        <f t="shared" si="105"/>
        <v>0</v>
      </c>
      <c r="F538" s="469">
        <f t="shared" si="105"/>
        <v>0</v>
      </c>
      <c r="G538" s="329">
        <f>G539</f>
        <v>61546.59</v>
      </c>
      <c r="H538" s="129"/>
    </row>
    <row r="539" spans="1:9" s="46" customFormat="1" x14ac:dyDescent="0.2">
      <c r="A539" s="326">
        <v>721</v>
      </c>
      <c r="B539" s="327" t="s">
        <v>180</v>
      </c>
      <c r="C539" s="469">
        <f>C540</f>
        <v>61546.59</v>
      </c>
      <c r="D539" s="469">
        <f t="shared" si="105"/>
        <v>0</v>
      </c>
      <c r="E539" s="469">
        <f t="shared" si="105"/>
        <v>0</v>
      </c>
      <c r="F539" s="469">
        <f t="shared" si="105"/>
        <v>0</v>
      </c>
      <c r="G539" s="329">
        <f>G540</f>
        <v>61546.59</v>
      </c>
      <c r="H539" s="129"/>
    </row>
    <row r="540" spans="1:9" ht="13.5" thickBot="1" x14ac:dyDescent="0.25">
      <c r="A540" s="331">
        <v>72101</v>
      </c>
      <c r="B540" s="332" t="s">
        <v>180</v>
      </c>
      <c r="C540" s="533">
        <f>62296.59-750</f>
        <v>61546.59</v>
      </c>
      <c r="D540" s="466">
        <v>0</v>
      </c>
      <c r="E540" s="466">
        <v>0</v>
      </c>
      <c r="F540" s="466">
        <v>0</v>
      </c>
      <c r="G540" s="352">
        <f>C540+D540+E540+F540</f>
        <v>61546.59</v>
      </c>
      <c r="H540" s="46"/>
      <c r="I540" s="46"/>
    </row>
    <row r="541" spans="1:9" ht="13.5" hidden="1" thickBot="1" x14ac:dyDescent="0.25">
      <c r="A541" s="368" t="s">
        <v>160</v>
      </c>
      <c r="B541" s="369" t="s">
        <v>161</v>
      </c>
      <c r="C541" s="355">
        <f>C542</f>
        <v>0</v>
      </c>
      <c r="D541" s="356">
        <f t="shared" ref="D541:F542" si="106">D542</f>
        <v>0</v>
      </c>
      <c r="E541" s="356">
        <f t="shared" si="106"/>
        <v>0</v>
      </c>
      <c r="F541" s="357">
        <f t="shared" si="106"/>
        <v>0</v>
      </c>
      <c r="G541" s="350">
        <f>G542</f>
        <v>0</v>
      </c>
      <c r="H541" s="46"/>
      <c r="I541" s="46"/>
    </row>
    <row r="542" spans="1:9" ht="13.5" hidden="1" thickBot="1" x14ac:dyDescent="0.25">
      <c r="A542" s="368" t="s">
        <v>245</v>
      </c>
      <c r="B542" s="369" t="s">
        <v>197</v>
      </c>
      <c r="C542" s="355">
        <f>C543</f>
        <v>0</v>
      </c>
      <c r="D542" s="356">
        <f t="shared" si="106"/>
        <v>0</v>
      </c>
      <c r="E542" s="356">
        <f t="shared" si="106"/>
        <v>0</v>
      </c>
      <c r="F542" s="357">
        <f t="shared" si="106"/>
        <v>0</v>
      </c>
      <c r="G542" s="350">
        <f>G543</f>
        <v>0</v>
      </c>
      <c r="H542" s="46"/>
      <c r="I542" s="46"/>
    </row>
    <row r="543" spans="1:9" ht="13.5" hidden="1" thickBot="1" x14ac:dyDescent="0.25">
      <c r="A543" s="370" t="s">
        <v>246</v>
      </c>
      <c r="B543" s="808" t="s">
        <v>780</v>
      </c>
      <c r="C543" s="359">
        <v>0</v>
      </c>
      <c r="D543" s="360">
        <v>0</v>
      </c>
      <c r="E543" s="360">
        <v>0</v>
      </c>
      <c r="F543" s="371">
        <v>0</v>
      </c>
      <c r="G543" s="372">
        <f>+C543+F543</f>
        <v>0</v>
      </c>
      <c r="H543" s="46"/>
      <c r="I543" s="46"/>
    </row>
    <row r="544" spans="1:9" ht="13.5" thickBot="1" x14ac:dyDescent="0.25">
      <c r="A544" s="373"/>
      <c r="B544" s="374" t="s">
        <v>25</v>
      </c>
      <c r="C544" s="364">
        <f>+C522+C505+C448+C530+C538</f>
        <v>191059.63</v>
      </c>
      <c r="D544" s="364">
        <f>+D522+D505+D448+D530+D538</f>
        <v>9973</v>
      </c>
      <c r="E544" s="364">
        <f>+E522+E505+E448+E530+E538</f>
        <v>1165</v>
      </c>
      <c r="F544" s="364">
        <f>+F522+F505+F448+F530+F538</f>
        <v>186520</v>
      </c>
      <c r="G544" s="719">
        <f>+G522+G505+G448+G530+G538</f>
        <v>389117.63</v>
      </c>
      <c r="H544" s="46"/>
      <c r="I544" s="46"/>
    </row>
    <row r="552" spans="4:8" x14ac:dyDescent="0.2">
      <c r="H552" s="162"/>
    </row>
    <row r="558" spans="4:8" x14ac:dyDescent="0.2">
      <c r="D558"/>
      <c r="E558"/>
      <c r="F558"/>
      <c r="G558"/>
      <c r="H558"/>
    </row>
    <row r="559" spans="4:8" x14ac:dyDescent="0.2">
      <c r="D559"/>
      <c r="E559"/>
      <c r="F559"/>
      <c r="G559"/>
      <c r="H559"/>
    </row>
    <row r="560" spans="4:8" x14ac:dyDescent="0.2">
      <c r="D560"/>
      <c r="E560"/>
      <c r="F560"/>
      <c r="G560"/>
      <c r="H560"/>
    </row>
    <row r="561" customFormat="1" x14ac:dyDescent="0.2"/>
  </sheetData>
  <autoFilter ref="A445:G544" xr:uid="{00000000-0009-0000-0000-000006000000}">
    <filterColumn colId="2" showButton="0"/>
    <filterColumn colId="3" showButton="0"/>
    <filterColumn colId="4" showButton="0"/>
    <filterColumn colId="5" showButton="0"/>
  </autoFilter>
  <mergeCells count="65">
    <mergeCell ref="A332:A334"/>
    <mergeCell ref="B332:B334"/>
    <mergeCell ref="C332:G332"/>
    <mergeCell ref="C333:C334"/>
    <mergeCell ref="D333:D334"/>
    <mergeCell ref="E333:E334"/>
    <mergeCell ref="F333:F334"/>
    <mergeCell ref="G333:G334"/>
    <mergeCell ref="A326:G326"/>
    <mergeCell ref="A327:G327"/>
    <mergeCell ref="A328:G328"/>
    <mergeCell ref="A329:G329"/>
    <mergeCell ref="A330:G330"/>
    <mergeCell ref="A224:A226"/>
    <mergeCell ref="B224:B226"/>
    <mergeCell ref="C224:G224"/>
    <mergeCell ref="C225:C226"/>
    <mergeCell ref="D225:D226"/>
    <mergeCell ref="E225:E226"/>
    <mergeCell ref="F225:F226"/>
    <mergeCell ref="G225:G226"/>
    <mergeCell ref="A218:G218"/>
    <mergeCell ref="A219:G219"/>
    <mergeCell ref="A220:G220"/>
    <mergeCell ref="A221:G221"/>
    <mergeCell ref="A222:G222"/>
    <mergeCell ref="A116:A118"/>
    <mergeCell ref="B116:B118"/>
    <mergeCell ref="C116:G116"/>
    <mergeCell ref="C117:C118"/>
    <mergeCell ref="D117:D118"/>
    <mergeCell ref="E117:E118"/>
    <mergeCell ref="F117:F118"/>
    <mergeCell ref="G117:G118"/>
    <mergeCell ref="A110:G110"/>
    <mergeCell ref="A111:G111"/>
    <mergeCell ref="A112:G112"/>
    <mergeCell ref="A113:G113"/>
    <mergeCell ref="A114:G114"/>
    <mergeCell ref="G446:G447"/>
    <mergeCell ref="E446:E447"/>
    <mergeCell ref="A443:G443"/>
    <mergeCell ref="A439:G439"/>
    <mergeCell ref="A440:G440"/>
    <mergeCell ref="A441:G441"/>
    <mergeCell ref="A442:G442"/>
    <mergeCell ref="A445:A447"/>
    <mergeCell ref="B445:B447"/>
    <mergeCell ref="C445:G445"/>
    <mergeCell ref="C446:C447"/>
    <mergeCell ref="D446:D447"/>
    <mergeCell ref="F446:F447"/>
    <mergeCell ref="A2:G2"/>
    <mergeCell ref="A3:G3"/>
    <mergeCell ref="A4:G4"/>
    <mergeCell ref="A5:G5"/>
    <mergeCell ref="G9:G10"/>
    <mergeCell ref="E9:E10"/>
    <mergeCell ref="A6:G6"/>
    <mergeCell ref="A8:A10"/>
    <mergeCell ref="B8:B10"/>
    <mergeCell ref="C8:G8"/>
    <mergeCell ref="C9:C10"/>
    <mergeCell ref="D9:D10"/>
    <mergeCell ref="F9:F10"/>
  </mergeCells>
  <phoneticPr fontId="8" type="noConversion"/>
  <printOptions horizontalCentered="1"/>
  <pageMargins left="0.31496062992125984" right="0.31496062992125984" top="0.43307086614173229" bottom="0.51181102362204722" header="0" footer="0"/>
  <pageSetup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8" tint="0.39997558519241921"/>
  </sheetPr>
  <dimension ref="A1:S163"/>
  <sheetViews>
    <sheetView showGridLines="0" zoomScale="115" zoomScaleNormal="115" workbookViewId="0">
      <selection activeCell="K162" sqref="K162"/>
    </sheetView>
  </sheetViews>
  <sheetFormatPr baseColWidth="10" defaultRowHeight="11.25" x14ac:dyDescent="0.2"/>
  <cols>
    <col min="1" max="1" width="7.28515625" style="1221" customWidth="1"/>
    <col min="2" max="2" width="43.5703125" style="1221" customWidth="1"/>
    <col min="3" max="3" width="12" style="1346" hidden="1" customWidth="1"/>
    <col min="4" max="4" width="14.140625" style="1346" hidden="1" customWidth="1"/>
    <col min="5" max="5" width="3.5703125" style="1346" hidden="1" customWidth="1"/>
    <col min="6" max="6" width="12" style="1346" customWidth="1"/>
    <col min="7" max="7" width="12" style="1347" customWidth="1"/>
    <col min="8" max="8" width="12.28515625" style="1221" hidden="1" customWidth="1"/>
    <col min="9" max="10" width="11.42578125" style="1221" hidden="1" customWidth="1"/>
    <col min="11" max="11" width="12" style="1221" customWidth="1"/>
    <col min="12" max="12" width="15.28515625" style="1221" hidden="1" customWidth="1"/>
    <col min="13" max="13" width="13.5703125" style="246" hidden="1" customWidth="1"/>
    <col min="14" max="14" width="12.85546875" style="246" hidden="1" customWidth="1"/>
    <col min="15" max="15" width="7.85546875" style="246" customWidth="1"/>
    <col min="16" max="16" width="12.28515625" style="1221" bestFit="1" customWidth="1"/>
    <col min="17" max="17" width="12.5703125" style="1221" customWidth="1"/>
    <col min="18" max="16384" width="11.42578125" style="1221"/>
  </cols>
  <sheetData>
    <row r="1" spans="1:19" x14ac:dyDescent="0.2">
      <c r="A1" s="1217" t="s">
        <v>403</v>
      </c>
      <c r="B1" s="1218"/>
      <c r="C1" s="1219"/>
      <c r="D1" s="1219"/>
      <c r="E1" s="1219"/>
      <c r="F1" s="1219"/>
      <c r="G1" s="1220"/>
      <c r="H1" s="1218"/>
      <c r="I1" s="1218"/>
      <c r="J1" s="1218"/>
      <c r="K1" s="1218"/>
    </row>
    <row r="2" spans="1:19" x14ac:dyDescent="0.2">
      <c r="A2" s="1217" t="s">
        <v>848</v>
      </c>
      <c r="B2" s="1218"/>
      <c r="C2" s="1219"/>
      <c r="D2" s="1219"/>
      <c r="E2" s="1219"/>
      <c r="F2" s="1219"/>
      <c r="G2" s="1220"/>
      <c r="H2" s="1218"/>
      <c r="I2" s="1218"/>
      <c r="J2" s="1218"/>
      <c r="K2" s="1218"/>
    </row>
    <row r="4" spans="1:19" x14ac:dyDescent="0.2">
      <c r="A4" s="1217" t="s">
        <v>108</v>
      </c>
      <c r="B4" s="1217"/>
      <c r="C4" s="1217"/>
      <c r="D4" s="1217"/>
      <c r="E4" s="1217"/>
      <c r="F4" s="1217"/>
      <c r="G4" s="1217"/>
      <c r="H4" s="1217"/>
      <c r="I4" s="1217"/>
      <c r="J4" s="1217"/>
      <c r="K4" s="1217"/>
      <c r="L4" s="1217"/>
    </row>
    <row r="5" spans="1:19" x14ac:dyDescent="0.2">
      <c r="A5" s="1217" t="s">
        <v>109</v>
      </c>
      <c r="B5" s="1217"/>
      <c r="C5" s="1217"/>
      <c r="D5" s="1217"/>
      <c r="E5" s="1217"/>
      <c r="F5" s="1217"/>
      <c r="G5" s="1217"/>
      <c r="H5" s="1217"/>
      <c r="I5" s="1217"/>
      <c r="J5" s="1217"/>
      <c r="K5" s="1217"/>
      <c r="L5" s="1217"/>
    </row>
    <row r="6" spans="1:19" x14ac:dyDescent="0.2">
      <c r="A6" s="1217" t="s">
        <v>523</v>
      </c>
      <c r="B6" s="1217"/>
      <c r="C6" s="1217"/>
      <c r="D6" s="1217"/>
      <c r="E6" s="1217"/>
      <c r="F6" s="1217"/>
      <c r="G6" s="1217"/>
      <c r="H6" s="1217"/>
      <c r="I6" s="1217"/>
      <c r="J6" s="1217"/>
      <c r="K6" s="1217"/>
      <c r="L6" s="1217"/>
    </row>
    <row r="7" spans="1:19" x14ac:dyDescent="0.2">
      <c r="A7" s="1222"/>
      <c r="B7" s="1222"/>
      <c r="C7" s="1223"/>
      <c r="D7" s="1223"/>
      <c r="E7" s="1223"/>
      <c r="F7" s="1223"/>
      <c r="G7" s="1222"/>
      <c r="H7" s="1222"/>
      <c r="I7" s="1222"/>
      <c r="J7" s="1222"/>
      <c r="K7" s="1222"/>
      <c r="L7" s="1222"/>
    </row>
    <row r="8" spans="1:19" x14ac:dyDescent="0.2">
      <c r="A8" s="1224" t="s">
        <v>110</v>
      </c>
      <c r="B8" s="1224"/>
      <c r="C8" s="1224"/>
      <c r="D8" s="1224"/>
      <c r="E8" s="1224"/>
      <c r="F8" s="1224"/>
      <c r="G8" s="1224"/>
      <c r="H8" s="1224"/>
      <c r="I8" s="1224"/>
      <c r="J8" s="1224"/>
      <c r="K8" s="1224"/>
      <c r="L8" s="1224"/>
    </row>
    <row r="9" spans="1:19" x14ac:dyDescent="0.2">
      <c r="A9" s="1224" t="s">
        <v>111</v>
      </c>
      <c r="B9" s="1224"/>
      <c r="C9" s="1224"/>
      <c r="D9" s="1224"/>
      <c r="E9" s="1224"/>
      <c r="F9" s="1224"/>
      <c r="G9" s="1224"/>
      <c r="H9" s="1224"/>
      <c r="I9" s="1224"/>
      <c r="J9" s="1224"/>
      <c r="K9" s="1224"/>
      <c r="L9" s="1224"/>
    </row>
    <row r="10" spans="1:19" ht="12" thickBot="1" x14ac:dyDescent="0.25">
      <c r="A10" s="1225" t="s">
        <v>112</v>
      </c>
      <c r="B10" s="1225"/>
      <c r="C10" s="1225"/>
      <c r="D10" s="1225"/>
      <c r="E10" s="1225"/>
      <c r="F10" s="1225"/>
      <c r="G10" s="1225"/>
      <c r="H10" s="1225"/>
      <c r="I10" s="1225"/>
      <c r="J10" s="1225"/>
      <c r="K10" s="1225"/>
      <c r="L10" s="1224"/>
    </row>
    <row r="11" spans="1:19" ht="12" thickBot="1" x14ac:dyDescent="0.25">
      <c r="A11" s="1491" t="s">
        <v>113</v>
      </c>
      <c r="B11" s="1491"/>
      <c r="C11" s="1226" t="s">
        <v>114</v>
      </c>
      <c r="D11" s="1227"/>
      <c r="E11" s="1227"/>
      <c r="F11" s="1227"/>
      <c r="G11" s="1227"/>
      <c r="H11" s="1227"/>
      <c r="I11" s="1227"/>
      <c r="J11" s="1228"/>
      <c r="K11" s="1492" t="s">
        <v>25</v>
      </c>
      <c r="L11" s="809"/>
    </row>
    <row r="12" spans="1:19" ht="31.5" customHeight="1" thickBot="1" x14ac:dyDescent="0.25">
      <c r="A12" s="376" t="s">
        <v>115</v>
      </c>
      <c r="B12" s="377" t="s">
        <v>116</v>
      </c>
      <c r="C12" s="378" t="s">
        <v>117</v>
      </c>
      <c r="D12" s="378" t="s">
        <v>701</v>
      </c>
      <c r="E12" s="378" t="s">
        <v>702</v>
      </c>
      <c r="F12" s="1216" t="s">
        <v>697</v>
      </c>
      <c r="G12" s="379" t="s">
        <v>118</v>
      </c>
      <c r="H12" s="380" t="s">
        <v>2</v>
      </c>
      <c r="I12" s="380" t="s">
        <v>3</v>
      </c>
      <c r="J12" s="380" t="s">
        <v>119</v>
      </c>
      <c r="K12" s="1493"/>
    </row>
    <row r="13" spans="1:19" x14ac:dyDescent="0.2">
      <c r="A13" s="321">
        <v>51</v>
      </c>
      <c r="B13" s="943" t="s">
        <v>120</v>
      </c>
      <c r="C13" s="1229">
        <f>C14+C26+C29+C32+C35+C38+C43</f>
        <v>0</v>
      </c>
      <c r="D13" s="1229">
        <f>D14+D26+D29+D32+D35+D38+D43</f>
        <v>0</v>
      </c>
      <c r="E13" s="1229">
        <f>E14+E26+E29+E32+E35+E38+E43</f>
        <v>0</v>
      </c>
      <c r="F13" s="1230">
        <f>F14+F21+F26+F29+F32+F35+F38+F43</f>
        <v>367760.61599999998</v>
      </c>
      <c r="G13" s="1231">
        <f>G14+G21+G26+G29+G32+G35+G38+G43</f>
        <v>152442.89000000001</v>
      </c>
      <c r="H13" s="1232"/>
      <c r="I13" s="1232"/>
      <c r="J13" s="1233"/>
      <c r="K13" s="1234">
        <f t="shared" ref="K13:K45" si="0">SUM(F13:J13)</f>
        <v>520203.50599999999</v>
      </c>
      <c r="L13" s="1235">
        <f>'PLLA DIETAS'!Q20+'PLLA MUNICIPAL LEY SAL'!X73</f>
        <v>486173.50599999994</v>
      </c>
      <c r="M13" s="246">
        <f>'PLLA MUNICIPAL LEY SAL'!X73+'PLLA DIETAS'!Q20+'PLLA MUNICIPAL HONORARIOS'!J26-6900</f>
        <v>491273.50599999994</v>
      </c>
      <c r="N13" s="246">
        <f>F13-M13</f>
        <v>-123512.88999999996</v>
      </c>
      <c r="P13" s="246"/>
      <c r="Q13" s="1236"/>
      <c r="S13" s="1237"/>
    </row>
    <row r="14" spans="1:19" x14ac:dyDescent="0.2">
      <c r="A14" s="326">
        <v>511</v>
      </c>
      <c r="B14" s="944" t="s">
        <v>121</v>
      </c>
      <c r="C14" s="1238">
        <f>C15+C17+C19+C20</f>
        <v>0</v>
      </c>
      <c r="D14" s="1238">
        <f>SUM(D15:D20)</f>
        <v>0</v>
      </c>
      <c r="E14" s="1238">
        <f>SUM(E15:E20)</f>
        <v>0</v>
      </c>
      <c r="F14" s="1239">
        <f>SUM(F15:F20)</f>
        <v>315896.41599999997</v>
      </c>
      <c r="G14" s="1240">
        <f>G15+G17+G19+G20</f>
        <v>112019.29000000001</v>
      </c>
      <c r="H14" s="1241"/>
      <c r="I14" s="1241"/>
      <c r="J14" s="1242"/>
      <c r="K14" s="1243">
        <f t="shared" si="0"/>
        <v>427915.70600000001</v>
      </c>
      <c r="L14" s="1244"/>
      <c r="P14" s="246"/>
    </row>
    <row r="15" spans="1:19" x14ac:dyDescent="0.2">
      <c r="A15" s="1245" t="s">
        <v>122</v>
      </c>
      <c r="B15" s="1246" t="s">
        <v>123</v>
      </c>
      <c r="C15" s="1247">
        <f>'PLLA MUNICIPAL LEY SAL'!AI73</f>
        <v>0</v>
      </c>
      <c r="D15" s="1248">
        <v>0</v>
      </c>
      <c r="E15" s="1248">
        <v>0</v>
      </c>
      <c r="F15" s="1249">
        <f>'PLLA MUNICIPAL LEY SAL'!AT73</f>
        <v>237241.47999999998</v>
      </c>
      <c r="G15" s="1250">
        <f>'PLLA MUNICIPAL LEY SAL'!AJ73</f>
        <v>72230</v>
      </c>
      <c r="H15" s="1251"/>
      <c r="I15" s="1251"/>
      <c r="J15" s="1252"/>
      <c r="K15" s="1253">
        <f t="shared" si="0"/>
        <v>309471.48</v>
      </c>
      <c r="L15" s="1254">
        <f>K15-'PLLA MUNICIPAL LEY SAL'!J73</f>
        <v>0</v>
      </c>
      <c r="P15" s="246"/>
      <c r="Q15" s="1236"/>
    </row>
    <row r="16" spans="1:19" x14ac:dyDescent="0.2">
      <c r="A16" s="367">
        <v>51102</v>
      </c>
      <c r="B16" s="948" t="s">
        <v>124</v>
      </c>
      <c r="C16" s="1247">
        <v>0</v>
      </c>
      <c r="D16" s="1248">
        <v>0</v>
      </c>
      <c r="E16" s="1248">
        <v>0</v>
      </c>
      <c r="F16" s="1249">
        <f t="shared" ref="F16:F73" si="1">D16+E16</f>
        <v>0</v>
      </c>
      <c r="G16" s="1250">
        <v>0</v>
      </c>
      <c r="H16" s="1251"/>
      <c r="I16" s="1251"/>
      <c r="J16" s="1252"/>
      <c r="K16" s="1253">
        <f t="shared" si="0"/>
        <v>0</v>
      </c>
      <c r="L16" s="1254"/>
      <c r="P16" s="246"/>
      <c r="Q16" s="246"/>
    </row>
    <row r="17" spans="1:17" x14ac:dyDescent="0.2">
      <c r="A17" s="367">
        <v>51103</v>
      </c>
      <c r="B17" s="1246" t="s">
        <v>125</v>
      </c>
      <c r="C17" s="1247">
        <v>0</v>
      </c>
      <c r="D17" s="1248">
        <v>0</v>
      </c>
      <c r="E17" s="1248">
        <f>'PLLA MUNICIPAL LEY SAL'!AZ73</f>
        <v>0</v>
      </c>
      <c r="F17" s="1249">
        <f>'PLLA MUNICIPAL LEY SAL'!AZ73</f>
        <v>0</v>
      </c>
      <c r="G17" s="1250">
        <f>'PLLA MUNICIPAL LEY SAL'!AP73</f>
        <v>25789.29</v>
      </c>
      <c r="H17" s="1255"/>
      <c r="I17" s="1255"/>
      <c r="J17" s="1256"/>
      <c r="K17" s="1253">
        <f t="shared" si="0"/>
        <v>25789.29</v>
      </c>
      <c r="L17" s="1254">
        <f>K17-'PLLA MUNICIPAL LEY SAL'!M73</f>
        <v>0</v>
      </c>
      <c r="P17" s="246"/>
    </row>
    <row r="18" spans="1:17" x14ac:dyDescent="0.2">
      <c r="A18" s="367">
        <v>51104</v>
      </c>
      <c r="B18" s="1246" t="s">
        <v>126</v>
      </c>
      <c r="C18" s="1247"/>
      <c r="D18" s="1248"/>
      <c r="E18" s="1248"/>
      <c r="F18" s="1249">
        <f t="shared" si="1"/>
        <v>0</v>
      </c>
      <c r="G18" s="1250">
        <v>0</v>
      </c>
      <c r="H18" s="1251"/>
      <c r="I18" s="1251"/>
      <c r="J18" s="1252"/>
      <c r="K18" s="1253">
        <f t="shared" si="0"/>
        <v>0</v>
      </c>
      <c r="L18" s="1254"/>
      <c r="P18" s="246"/>
      <c r="Q18" s="1236"/>
    </row>
    <row r="19" spans="1:17" x14ac:dyDescent="0.2">
      <c r="A19" s="1245" t="s">
        <v>127</v>
      </c>
      <c r="B19" s="1246" t="s">
        <v>128</v>
      </c>
      <c r="C19" s="1247">
        <v>0</v>
      </c>
      <c r="D19" s="1248"/>
      <c r="E19" s="1248"/>
      <c r="F19" s="1249">
        <f>'PLLA DIETAS'!F20*11</f>
        <v>77000</v>
      </c>
      <c r="G19" s="1250">
        <f>'PLLA DIETAS'!F20*1</f>
        <v>7000</v>
      </c>
      <c r="H19" s="1251"/>
      <c r="I19" s="1251"/>
      <c r="J19" s="1252"/>
      <c r="K19" s="1253">
        <f t="shared" si="0"/>
        <v>84000</v>
      </c>
      <c r="L19" s="1254">
        <f>K19-'PLLA DIETAS'!G20</f>
        <v>0</v>
      </c>
      <c r="P19" s="246"/>
    </row>
    <row r="20" spans="1:17" x14ac:dyDescent="0.2">
      <c r="A20" s="1245" t="s">
        <v>129</v>
      </c>
      <c r="B20" s="1246" t="s">
        <v>130</v>
      </c>
      <c r="C20" s="1247">
        <v>0</v>
      </c>
      <c r="D20" s="1257"/>
      <c r="E20" s="1257"/>
      <c r="F20" s="1249">
        <f>'PLLA MUNICIPAL LEY SAL'!AV73</f>
        <v>1654.9359999999999</v>
      </c>
      <c r="G20" s="1258">
        <v>7000</v>
      </c>
      <c r="H20" s="1255"/>
      <c r="I20" s="1255"/>
      <c r="J20" s="1256"/>
      <c r="K20" s="1253">
        <f t="shared" si="0"/>
        <v>8654.9359999999997</v>
      </c>
      <c r="L20" s="1254">
        <f>K20-'PLLA MUNICIPAL LEY SAL'!L73</f>
        <v>7000</v>
      </c>
      <c r="N20" s="246">
        <v>5754.29</v>
      </c>
      <c r="P20" s="246"/>
    </row>
    <row r="21" spans="1:17" hidden="1" x14ac:dyDescent="0.2">
      <c r="A21" s="368" t="s">
        <v>131</v>
      </c>
      <c r="B21" s="945" t="s">
        <v>132</v>
      </c>
      <c r="C21" s="1259">
        <v>0</v>
      </c>
      <c r="D21" s="1260"/>
      <c r="E21" s="1260"/>
      <c r="F21" s="1261">
        <f t="shared" si="1"/>
        <v>0</v>
      </c>
      <c r="G21" s="1262">
        <f>SUM(G22:G25)</f>
        <v>0</v>
      </c>
      <c r="H21" s="1263"/>
      <c r="I21" s="1263"/>
      <c r="J21" s="1264"/>
      <c r="K21" s="1265">
        <f t="shared" si="0"/>
        <v>0</v>
      </c>
      <c r="L21" s="1266"/>
      <c r="N21" s="246">
        <f>+N20-F20</f>
        <v>4099.3540000000003</v>
      </c>
      <c r="P21" s="246"/>
    </row>
    <row r="22" spans="1:17" hidden="1" x14ac:dyDescent="0.2">
      <c r="A22" s="1245" t="s">
        <v>133</v>
      </c>
      <c r="B22" s="1246" t="s">
        <v>123</v>
      </c>
      <c r="C22" s="1247">
        <v>0</v>
      </c>
      <c r="D22" s="1248"/>
      <c r="E22" s="1248"/>
      <c r="F22" s="1249">
        <f t="shared" si="1"/>
        <v>0</v>
      </c>
      <c r="G22" s="1250">
        <v>0</v>
      </c>
      <c r="H22" s="1263"/>
      <c r="I22" s="1263"/>
      <c r="J22" s="1264"/>
      <c r="K22" s="1253">
        <f t="shared" si="0"/>
        <v>0</v>
      </c>
      <c r="L22" s="1254"/>
      <c r="P22" s="246"/>
    </row>
    <row r="23" spans="1:17" hidden="1" x14ac:dyDescent="0.2">
      <c r="A23" s="367">
        <v>51202</v>
      </c>
      <c r="B23" s="948" t="s">
        <v>134</v>
      </c>
      <c r="C23" s="1247">
        <v>0</v>
      </c>
      <c r="D23" s="1248"/>
      <c r="E23" s="1248"/>
      <c r="F23" s="1249">
        <f t="shared" si="1"/>
        <v>0</v>
      </c>
      <c r="G23" s="1250">
        <v>0</v>
      </c>
      <c r="H23" s="1267"/>
      <c r="I23" s="1267"/>
      <c r="J23" s="1268"/>
      <c r="K23" s="1253">
        <f t="shared" si="0"/>
        <v>0</v>
      </c>
      <c r="L23" s="1254"/>
      <c r="P23" s="246"/>
    </row>
    <row r="24" spans="1:17" hidden="1" x14ac:dyDescent="0.2">
      <c r="A24" s="1245" t="s">
        <v>135</v>
      </c>
      <c r="B24" s="1246" t="s">
        <v>125</v>
      </c>
      <c r="C24" s="1247">
        <v>0</v>
      </c>
      <c r="D24" s="1248"/>
      <c r="E24" s="1248"/>
      <c r="F24" s="1249">
        <f t="shared" si="1"/>
        <v>0</v>
      </c>
      <c r="G24" s="1250">
        <v>0</v>
      </c>
      <c r="H24" s="1251"/>
      <c r="I24" s="1251"/>
      <c r="J24" s="1252"/>
      <c r="K24" s="1253">
        <f t="shared" si="0"/>
        <v>0</v>
      </c>
      <c r="L24" s="1254"/>
      <c r="P24" s="246"/>
    </row>
    <row r="25" spans="1:17" hidden="1" x14ac:dyDescent="0.2">
      <c r="A25" s="1245" t="s">
        <v>136</v>
      </c>
      <c r="B25" s="1246" t="s">
        <v>130</v>
      </c>
      <c r="C25" s="1247">
        <v>0</v>
      </c>
      <c r="D25" s="1248"/>
      <c r="E25" s="1248"/>
      <c r="F25" s="1249">
        <f t="shared" si="1"/>
        <v>0</v>
      </c>
      <c r="G25" s="1250">
        <v>0</v>
      </c>
      <c r="H25" s="1255"/>
      <c r="I25" s="1255"/>
      <c r="J25" s="1256"/>
      <c r="K25" s="1253">
        <f t="shared" si="0"/>
        <v>0</v>
      </c>
      <c r="L25" s="1254"/>
      <c r="P25" s="246"/>
    </row>
    <row r="26" spans="1:17" x14ac:dyDescent="0.2">
      <c r="A26" s="368" t="s">
        <v>137</v>
      </c>
      <c r="B26" s="946" t="s">
        <v>138</v>
      </c>
      <c r="C26" s="1259">
        <f>SUM(C27:C28)</f>
        <v>0</v>
      </c>
      <c r="D26" s="1260"/>
      <c r="E26" s="1260"/>
      <c r="F26" s="1261">
        <f t="shared" si="1"/>
        <v>0</v>
      </c>
      <c r="G26" s="1262">
        <f>SUM(G27:G28)</f>
        <v>2000</v>
      </c>
      <c r="H26" s="1251"/>
      <c r="I26" s="1251"/>
      <c r="J26" s="1252"/>
      <c r="K26" s="1265">
        <f t="shared" si="0"/>
        <v>2000</v>
      </c>
      <c r="L26" s="1266"/>
      <c r="P26" s="246"/>
    </row>
    <row r="27" spans="1:17" x14ac:dyDescent="0.2">
      <c r="A27" s="367">
        <v>51301</v>
      </c>
      <c r="B27" s="948" t="s">
        <v>139</v>
      </c>
      <c r="C27" s="1247">
        <v>0</v>
      </c>
      <c r="D27" s="1248">
        <v>0</v>
      </c>
      <c r="E27" s="1248">
        <v>0</v>
      </c>
      <c r="F27" s="1249">
        <f t="shared" si="1"/>
        <v>0</v>
      </c>
      <c r="G27" s="1250">
        <v>2000</v>
      </c>
      <c r="H27" s="1255"/>
      <c r="I27" s="1255"/>
      <c r="J27" s="1256"/>
      <c r="K27" s="1253">
        <f t="shared" si="0"/>
        <v>2000</v>
      </c>
      <c r="L27" s="1254"/>
      <c r="P27" s="246"/>
    </row>
    <row r="28" spans="1:17" hidden="1" x14ac:dyDescent="0.2">
      <c r="A28" s="367">
        <v>51302</v>
      </c>
      <c r="B28" s="948" t="s">
        <v>140</v>
      </c>
      <c r="C28" s="1247">
        <v>0</v>
      </c>
      <c r="D28" s="1248">
        <v>0</v>
      </c>
      <c r="E28" s="1248">
        <v>0</v>
      </c>
      <c r="F28" s="1249">
        <f t="shared" si="1"/>
        <v>0</v>
      </c>
      <c r="G28" s="1250"/>
      <c r="H28" s="1263"/>
      <c r="I28" s="1263"/>
      <c r="J28" s="1264"/>
      <c r="K28" s="1253">
        <f t="shared" si="0"/>
        <v>0</v>
      </c>
      <c r="L28" s="1254"/>
      <c r="P28" s="246"/>
    </row>
    <row r="29" spans="1:17" x14ac:dyDescent="0.2">
      <c r="A29" s="326">
        <v>514</v>
      </c>
      <c r="B29" s="946" t="s">
        <v>141</v>
      </c>
      <c r="C29" s="1259">
        <f>SUM(C30:C31)</f>
        <v>0</v>
      </c>
      <c r="D29" s="1260">
        <f>SUM(D30:D31)</f>
        <v>0</v>
      </c>
      <c r="E29" s="1260">
        <f>SUM(E30:E31)</f>
        <v>0</v>
      </c>
      <c r="F29" s="1261">
        <f>SUM(F30:F31)</f>
        <v>26716.15</v>
      </c>
      <c r="G29" s="1262">
        <f>SUM(G30:G31)</f>
        <v>7182.05</v>
      </c>
      <c r="H29" s="1263"/>
      <c r="I29" s="1263"/>
      <c r="J29" s="1264"/>
      <c r="K29" s="1269">
        <f t="shared" si="0"/>
        <v>33898.200000000004</v>
      </c>
      <c r="L29" s="1270"/>
      <c r="P29" s="246"/>
    </row>
    <row r="30" spans="1:17" x14ac:dyDescent="0.2">
      <c r="A30" s="1245" t="s">
        <v>142</v>
      </c>
      <c r="B30" s="1246" t="s">
        <v>143</v>
      </c>
      <c r="C30" s="1271">
        <v>0</v>
      </c>
      <c r="D30" s="1272">
        <v>0</v>
      </c>
      <c r="E30" s="1272">
        <v>0</v>
      </c>
      <c r="F30" s="1249">
        <f>'PLLA MUNICIPAL LEY SAL'!AW73+'PLLA MUNICIPAL LEY SAL'!AX73+('PLLA DIETAS'!J20+'PLLA DIETAS'!K20)*11</f>
        <v>26716.15</v>
      </c>
      <c r="G30" s="1273">
        <f>'PLLA MUNICIPAL LEY SAL'!AM73+'PLLA MUNICIPAL LEY SAL'!AN73+('PLLA DIETAS'!J20+'PLLA DIETAS'!K20)*1+660</f>
        <v>7182.05</v>
      </c>
      <c r="H30" s="1267"/>
      <c r="I30" s="1267"/>
      <c r="J30" s="1268"/>
      <c r="K30" s="1253">
        <f t="shared" si="0"/>
        <v>33898.200000000004</v>
      </c>
      <c r="L30" s="1254">
        <f>K30-'PLLA DIETAS'!N20-'PLLA DIETAS'!O20-'PLLA MUNICIPAL LEY SAL'!U73-'PLLA MUNICIPAL LEY SAL'!V73-'PLLA MUNICIPAL LEY SAL'!T73</f>
        <v>660.00000000000455</v>
      </c>
      <c r="P30" s="246"/>
    </row>
    <row r="31" spans="1:17" hidden="1" x14ac:dyDescent="0.2">
      <c r="A31" s="1245" t="s">
        <v>144</v>
      </c>
      <c r="B31" s="1246" t="s">
        <v>145</v>
      </c>
      <c r="C31" s="1247">
        <v>0</v>
      </c>
      <c r="D31" s="1248">
        <v>0</v>
      </c>
      <c r="E31" s="1248">
        <v>0</v>
      </c>
      <c r="F31" s="1249">
        <v>0</v>
      </c>
      <c r="G31" s="1250"/>
      <c r="H31" s="1263"/>
      <c r="I31" s="1263"/>
      <c r="J31" s="1264"/>
      <c r="K31" s="1253">
        <f t="shared" si="0"/>
        <v>0</v>
      </c>
      <c r="L31" s="1254"/>
      <c r="P31" s="246"/>
    </row>
    <row r="32" spans="1:17" ht="22.5" x14ac:dyDescent="0.2">
      <c r="A32" s="326">
        <v>515</v>
      </c>
      <c r="B32" s="946" t="s">
        <v>146</v>
      </c>
      <c r="C32" s="1259">
        <f>SUM(C33:C34)</f>
        <v>0</v>
      </c>
      <c r="D32" s="1260">
        <f>SUM(D33:D34)</f>
        <v>0</v>
      </c>
      <c r="E32" s="1260">
        <f>SUM(E33:E34)</f>
        <v>0</v>
      </c>
      <c r="F32" s="1262">
        <f>SUM(F33:F34)</f>
        <v>25148.050000000003</v>
      </c>
      <c r="G32" s="1262">
        <f>SUM(G33:G34)</f>
        <v>7241.55</v>
      </c>
      <c r="H32" s="1263"/>
      <c r="I32" s="1263"/>
      <c r="J32" s="1264"/>
      <c r="K32" s="1274">
        <f t="shared" si="0"/>
        <v>32389.600000000002</v>
      </c>
      <c r="L32" s="1275"/>
      <c r="P32" s="246"/>
    </row>
    <row r="33" spans="1:17" x14ac:dyDescent="0.2">
      <c r="A33" s="1245" t="s">
        <v>147</v>
      </c>
      <c r="B33" s="1246" t="s">
        <v>143</v>
      </c>
      <c r="C33" s="1271">
        <v>0</v>
      </c>
      <c r="D33" s="1272">
        <v>0</v>
      </c>
      <c r="E33" s="1272"/>
      <c r="F33" s="1249">
        <f>'PLLA MUNICIPAL LEY SAL'!AY73+'PLLA DIETAS'!I20*11</f>
        <v>25148.050000000003</v>
      </c>
      <c r="G33" s="1273">
        <f>'PLLA MUNICIPAL LEY SAL'!AO73+('PLLA DIETAS'!I20)*1+370</f>
        <v>7241.55</v>
      </c>
      <c r="H33" s="1255"/>
      <c r="I33" s="1255"/>
      <c r="J33" s="1256"/>
      <c r="K33" s="1253">
        <f t="shared" si="0"/>
        <v>32389.600000000002</v>
      </c>
      <c r="L33" s="1254">
        <f>K33-'PLLA MUNICIPAL LEY SAL'!S73-'PLLA DIETAS'!M20</f>
        <v>370.00000000000364</v>
      </c>
      <c r="P33" s="246"/>
      <c r="Q33" s="1276"/>
    </row>
    <row r="34" spans="1:17" hidden="1" x14ac:dyDescent="0.2">
      <c r="A34" s="1245" t="s">
        <v>148</v>
      </c>
      <c r="B34" s="1246" t="s">
        <v>145</v>
      </c>
      <c r="C34" s="1247">
        <v>0</v>
      </c>
      <c r="D34" s="1248">
        <v>0</v>
      </c>
      <c r="E34" s="1248">
        <v>0</v>
      </c>
      <c r="F34" s="1249">
        <v>0</v>
      </c>
      <c r="G34" s="1250"/>
      <c r="H34" s="1267"/>
      <c r="I34" s="1267"/>
      <c r="J34" s="1268"/>
      <c r="K34" s="1253">
        <f t="shared" si="0"/>
        <v>0</v>
      </c>
      <c r="L34" s="1254"/>
      <c r="P34" s="246"/>
    </row>
    <row r="35" spans="1:17" x14ac:dyDescent="0.2">
      <c r="A35" s="368" t="s">
        <v>149</v>
      </c>
      <c r="B35" s="945" t="s">
        <v>150</v>
      </c>
      <c r="C35" s="1259">
        <f>SUM(C36:C37)</f>
        <v>0</v>
      </c>
      <c r="D35" s="1260">
        <f>SUM(D36:D37)</f>
        <v>0</v>
      </c>
      <c r="E35" s="1260">
        <f>SUM(E36:E37)</f>
        <v>0</v>
      </c>
      <c r="F35" s="1261">
        <f t="shared" si="1"/>
        <v>0</v>
      </c>
      <c r="G35" s="1262">
        <f>SUM(G36:G37)</f>
        <v>12000</v>
      </c>
      <c r="H35" s="1263"/>
      <c r="I35" s="1263"/>
      <c r="J35" s="1264"/>
      <c r="K35" s="1265">
        <f t="shared" si="0"/>
        <v>12000</v>
      </c>
      <c r="L35" s="1266"/>
      <c r="P35" s="246"/>
    </row>
    <row r="36" spans="1:17" x14ac:dyDescent="0.2">
      <c r="A36" s="367">
        <v>51601</v>
      </c>
      <c r="B36" s="948" t="s">
        <v>151</v>
      </c>
      <c r="C36" s="1247">
        <v>0</v>
      </c>
      <c r="D36" s="1248">
        <v>0</v>
      </c>
      <c r="E36" s="1248">
        <v>0</v>
      </c>
      <c r="F36" s="1249">
        <f t="shared" si="1"/>
        <v>0</v>
      </c>
      <c r="G36" s="1250">
        <f>1000*12</f>
        <v>12000</v>
      </c>
      <c r="H36" s="1263"/>
      <c r="I36" s="1263"/>
      <c r="J36" s="1264"/>
      <c r="K36" s="1253">
        <f t="shared" si="0"/>
        <v>12000</v>
      </c>
      <c r="L36" s="1254"/>
      <c r="P36" s="246"/>
    </row>
    <row r="37" spans="1:17" x14ac:dyDescent="0.2">
      <c r="A37" s="367">
        <v>51602</v>
      </c>
      <c r="B37" s="948" t="s">
        <v>152</v>
      </c>
      <c r="C37" s="1247"/>
      <c r="D37" s="1248"/>
      <c r="E37" s="1248"/>
      <c r="F37" s="1261">
        <f t="shared" si="1"/>
        <v>0</v>
      </c>
      <c r="G37" s="1250">
        <v>0</v>
      </c>
      <c r="H37" s="1263"/>
      <c r="I37" s="1263"/>
      <c r="J37" s="1264"/>
      <c r="K37" s="1253">
        <f t="shared" si="0"/>
        <v>0</v>
      </c>
      <c r="L37" s="1254"/>
      <c r="P37" s="246"/>
    </row>
    <row r="38" spans="1:17" x14ac:dyDescent="0.2">
      <c r="A38" s="326">
        <v>517</v>
      </c>
      <c r="B38" s="947" t="s">
        <v>153</v>
      </c>
      <c r="C38" s="1259">
        <f>SUM(C39:C40)</f>
        <v>0</v>
      </c>
      <c r="D38" s="1260">
        <f>SUM(D39:D40)</f>
        <v>0</v>
      </c>
      <c r="E38" s="1260">
        <f>SUM(E39:E40)</f>
        <v>0</v>
      </c>
      <c r="F38" s="1261">
        <f t="shared" si="1"/>
        <v>0</v>
      </c>
      <c r="G38" s="1260">
        <f>SUM(G39:G40)</f>
        <v>0</v>
      </c>
      <c r="H38" s="1277"/>
      <c r="I38" s="1263"/>
      <c r="J38" s="1264"/>
      <c r="K38" s="1265">
        <f t="shared" si="0"/>
        <v>0</v>
      </c>
      <c r="L38" s="1266"/>
      <c r="P38" s="246"/>
    </row>
    <row r="39" spans="1:17" x14ac:dyDescent="0.2">
      <c r="A39" s="367">
        <v>51701</v>
      </c>
      <c r="B39" s="948" t="s">
        <v>154</v>
      </c>
      <c r="C39" s="1247">
        <v>0</v>
      </c>
      <c r="D39" s="1247">
        <v>0</v>
      </c>
      <c r="E39" s="1247">
        <v>0</v>
      </c>
      <c r="F39" s="1249">
        <v>0</v>
      </c>
      <c r="G39" s="1248">
        <v>0</v>
      </c>
      <c r="H39" s="1277"/>
      <c r="I39" s="1263"/>
      <c r="J39" s="1264"/>
      <c r="K39" s="1253">
        <f t="shared" si="0"/>
        <v>0</v>
      </c>
      <c r="L39" s="1254"/>
      <c r="P39" s="246"/>
    </row>
    <row r="40" spans="1:17" hidden="1" x14ac:dyDescent="0.2">
      <c r="A40" s="367">
        <v>51702</v>
      </c>
      <c r="B40" s="948" t="s">
        <v>155</v>
      </c>
      <c r="C40" s="1247">
        <v>0</v>
      </c>
      <c r="D40" s="1248">
        <v>0</v>
      </c>
      <c r="E40" s="1248">
        <v>0</v>
      </c>
      <c r="F40" s="1249">
        <v>0</v>
      </c>
      <c r="G40" s="1248">
        <v>0</v>
      </c>
      <c r="H40" s="1277"/>
      <c r="I40" s="1263"/>
      <c r="J40" s="1264"/>
      <c r="K40" s="1253">
        <f t="shared" si="0"/>
        <v>0</v>
      </c>
      <c r="L40" s="1254"/>
      <c r="P40" s="246"/>
    </row>
    <row r="41" spans="1:17" hidden="1" x14ac:dyDescent="0.2">
      <c r="A41" s="326">
        <v>518</v>
      </c>
      <c r="B41" s="946" t="s">
        <v>156</v>
      </c>
      <c r="C41" s="1259">
        <f>SUM(C42:C42)</f>
        <v>0</v>
      </c>
      <c r="D41" s="1260">
        <f>SUM(D42:D42)</f>
        <v>0</v>
      </c>
      <c r="E41" s="1260">
        <f>SUM(E42:E42)</f>
        <v>0</v>
      </c>
      <c r="F41" s="1261">
        <f t="shared" si="1"/>
        <v>0</v>
      </c>
      <c r="G41" s="1260">
        <f>SUM(G42:G42)</f>
        <v>0</v>
      </c>
      <c r="H41" s="1277"/>
      <c r="I41" s="1263"/>
      <c r="J41" s="1264"/>
      <c r="K41" s="1253">
        <f t="shared" si="0"/>
        <v>0</v>
      </c>
      <c r="L41" s="1254"/>
      <c r="P41" s="246"/>
    </row>
    <row r="42" spans="1:17" hidden="1" x14ac:dyDescent="0.2">
      <c r="A42" s="367">
        <v>51803</v>
      </c>
      <c r="B42" s="948" t="s">
        <v>157</v>
      </c>
      <c r="C42" s="1247">
        <v>0</v>
      </c>
      <c r="D42" s="1248">
        <v>0</v>
      </c>
      <c r="E42" s="1248">
        <v>0</v>
      </c>
      <c r="F42" s="1249">
        <v>0</v>
      </c>
      <c r="G42" s="1248">
        <v>0</v>
      </c>
      <c r="H42" s="1277"/>
      <c r="I42" s="1263"/>
      <c r="J42" s="1264"/>
      <c r="K42" s="1253">
        <f t="shared" si="0"/>
        <v>0</v>
      </c>
      <c r="L42" s="1254"/>
      <c r="P42" s="246"/>
    </row>
    <row r="43" spans="1:17" x14ac:dyDescent="0.2">
      <c r="A43" s="326">
        <v>519</v>
      </c>
      <c r="B43" s="947" t="s">
        <v>158</v>
      </c>
      <c r="C43" s="1259">
        <f>SUM(C44:C45)</f>
        <v>0</v>
      </c>
      <c r="D43" s="1260">
        <f>SUM(D44:D45)</f>
        <v>0</v>
      </c>
      <c r="E43" s="1260">
        <f>SUM(E44:E45)</f>
        <v>0</v>
      </c>
      <c r="F43" s="1262">
        <f>SUM(F44:F45)</f>
        <v>0</v>
      </c>
      <c r="G43" s="1260">
        <f>SUM(G44:G45)</f>
        <v>12000</v>
      </c>
      <c r="H43" s="1277"/>
      <c r="I43" s="1263"/>
      <c r="J43" s="1264"/>
      <c r="K43" s="1265">
        <f t="shared" si="0"/>
        <v>12000</v>
      </c>
      <c r="L43" s="1266"/>
      <c r="P43" s="246"/>
    </row>
    <row r="44" spans="1:17" x14ac:dyDescent="0.2">
      <c r="A44" s="367">
        <v>51901</v>
      </c>
      <c r="B44" s="948" t="s">
        <v>159</v>
      </c>
      <c r="C44" s="1247">
        <f>'PLLA MUNICIPAL HONORARIOS'!I9/2</f>
        <v>0</v>
      </c>
      <c r="D44" s="1247"/>
      <c r="E44" s="1247">
        <v>0</v>
      </c>
      <c r="F44" s="1249">
        <v>0</v>
      </c>
      <c r="G44" s="1248">
        <f>1000*12</f>
        <v>12000</v>
      </c>
      <c r="H44" s="1277"/>
      <c r="I44" s="1263"/>
      <c r="J44" s="1264"/>
      <c r="K44" s="1253">
        <f t="shared" si="0"/>
        <v>12000</v>
      </c>
      <c r="L44" s="1254"/>
      <c r="P44" s="246"/>
    </row>
    <row r="45" spans="1:17" hidden="1" x14ac:dyDescent="0.2">
      <c r="A45" s="367">
        <v>51999</v>
      </c>
      <c r="B45" s="948" t="s">
        <v>158</v>
      </c>
      <c r="C45" s="1247">
        <v>0</v>
      </c>
      <c r="D45" s="1248">
        <v>0</v>
      </c>
      <c r="E45" s="1248">
        <v>0</v>
      </c>
      <c r="F45" s="1261">
        <f t="shared" si="1"/>
        <v>0</v>
      </c>
      <c r="G45" s="1248">
        <v>0</v>
      </c>
      <c r="H45" s="1277"/>
      <c r="I45" s="1263"/>
      <c r="J45" s="1264"/>
      <c r="K45" s="1253">
        <f t="shared" si="0"/>
        <v>0</v>
      </c>
      <c r="L45" s="1254"/>
      <c r="P45" s="246"/>
    </row>
    <row r="46" spans="1:17" x14ac:dyDescent="0.2">
      <c r="A46" s="367"/>
      <c r="B46" s="948"/>
      <c r="C46" s="1247"/>
      <c r="D46" s="1248"/>
      <c r="E46" s="1248"/>
      <c r="F46" s="1261">
        <f t="shared" si="1"/>
        <v>0</v>
      </c>
      <c r="G46" s="1248"/>
      <c r="H46" s="1277"/>
      <c r="I46" s="1263"/>
      <c r="J46" s="1264"/>
      <c r="K46" s="1253"/>
      <c r="L46" s="1254"/>
      <c r="P46" s="246"/>
    </row>
    <row r="47" spans="1:17" x14ac:dyDescent="0.2">
      <c r="A47" s="326">
        <v>54</v>
      </c>
      <c r="B47" s="947" t="s">
        <v>27</v>
      </c>
      <c r="C47" s="1278">
        <f>C48+C67+C73+C89+C94</f>
        <v>0</v>
      </c>
      <c r="D47" s="1279">
        <f>D48+D67+D73+D89+D94</f>
        <v>0</v>
      </c>
      <c r="E47" s="1279">
        <f>E48+E67+E73+E89+E94</f>
        <v>0</v>
      </c>
      <c r="F47" s="1261">
        <f>F48+F67+F73+F89+F94</f>
        <v>11192.419999999998</v>
      </c>
      <c r="G47" s="1279">
        <f>G48+G67+G73+G89+G94</f>
        <v>305617.59999999998</v>
      </c>
      <c r="H47" s="1280"/>
      <c r="I47" s="1281"/>
      <c r="J47" s="1282"/>
      <c r="K47" s="1283">
        <f t="shared" ref="K47:K84" si="2">SUM(F47:J47)</f>
        <v>316810.01999999996</v>
      </c>
      <c r="L47" s="1284"/>
      <c r="M47" s="246">
        <f>'F.P y DL'!G448</f>
        <v>305617.59999999998</v>
      </c>
      <c r="P47" s="246"/>
    </row>
    <row r="48" spans="1:17" x14ac:dyDescent="0.2">
      <c r="A48" s="326">
        <v>541</v>
      </c>
      <c r="B48" s="947" t="s">
        <v>28</v>
      </c>
      <c r="C48" s="1278">
        <f>SUM(C49:C66)</f>
        <v>0</v>
      </c>
      <c r="D48" s="1279">
        <f>SUM(D49:D66)</f>
        <v>0</v>
      </c>
      <c r="E48" s="1279">
        <f>SUM(E49:E66)</f>
        <v>0</v>
      </c>
      <c r="F48" s="1261">
        <f>SUM(F49:F66)</f>
        <v>11192.419999999998</v>
      </c>
      <c r="G48" s="1279">
        <f>SUM(G49:G66)</f>
        <v>48644</v>
      </c>
      <c r="H48" s="1280"/>
      <c r="I48" s="1281"/>
      <c r="J48" s="1282"/>
      <c r="K48" s="1283">
        <f t="shared" si="2"/>
        <v>59836.42</v>
      </c>
      <c r="L48" s="1284"/>
      <c r="M48" s="637">
        <f>G48-'F.P y DL'!G449</f>
        <v>0</v>
      </c>
      <c r="P48" s="246"/>
    </row>
    <row r="49" spans="1:16" x14ac:dyDescent="0.2">
      <c r="A49" s="367">
        <v>54101</v>
      </c>
      <c r="B49" s="948" t="s">
        <v>29</v>
      </c>
      <c r="C49" s="1285">
        <f>'F.P y DL'!F13</f>
        <v>0</v>
      </c>
      <c r="D49" s="1286">
        <f>'F.P y DL'!D450</f>
        <v>0</v>
      </c>
      <c r="E49" s="1286">
        <f>'F.P y DL'!E450</f>
        <v>0</v>
      </c>
      <c r="F49" s="1249">
        <f t="shared" si="1"/>
        <v>0</v>
      </c>
      <c r="G49" s="1286">
        <f>'F.P y DL'!G450</f>
        <v>6700</v>
      </c>
      <c r="H49" s="1280"/>
      <c r="I49" s="1281"/>
      <c r="J49" s="1282"/>
      <c r="K49" s="1287">
        <f t="shared" si="2"/>
        <v>6700</v>
      </c>
      <c r="L49" s="1288"/>
      <c r="P49" s="246"/>
    </row>
    <row r="50" spans="1:16" x14ac:dyDescent="0.2">
      <c r="A50" s="367">
        <v>54104</v>
      </c>
      <c r="B50" s="948" t="s">
        <v>31</v>
      </c>
      <c r="C50" s="1285">
        <f>'F.P y DL'!F15</f>
        <v>0</v>
      </c>
      <c r="D50" s="1286">
        <f>'F.P y DL'!D452</f>
        <v>0</v>
      </c>
      <c r="E50" s="1286">
        <v>0</v>
      </c>
      <c r="F50" s="1249">
        <f t="shared" si="1"/>
        <v>0</v>
      </c>
      <c r="G50" s="1286">
        <f>'F.P y DL'!G452</f>
        <v>0</v>
      </c>
      <c r="H50" s="1280"/>
      <c r="I50" s="1281"/>
      <c r="J50" s="1282"/>
      <c r="K50" s="1287">
        <f>SUM(F50:J50)</f>
        <v>0</v>
      </c>
      <c r="L50" s="1288"/>
      <c r="P50" s="246"/>
    </row>
    <row r="51" spans="1:16" x14ac:dyDescent="0.2">
      <c r="A51" s="367">
        <v>54105</v>
      </c>
      <c r="B51" s="948" t="s">
        <v>32</v>
      </c>
      <c r="C51" s="1285">
        <f>'F.P y DL'!F16</f>
        <v>0</v>
      </c>
      <c r="D51" s="1286">
        <f>'F.P y DL'!G124</f>
        <v>0</v>
      </c>
      <c r="E51" s="1286">
        <f>'F.P y DL'!G232</f>
        <v>0</v>
      </c>
      <c r="F51" s="1249">
        <f t="shared" si="1"/>
        <v>0</v>
      </c>
      <c r="G51" s="1286">
        <f>'F.P y DL'!G453</f>
        <v>2050</v>
      </c>
      <c r="H51" s="1280"/>
      <c r="I51" s="1281"/>
      <c r="J51" s="1282"/>
      <c r="K51" s="1287">
        <f t="shared" si="2"/>
        <v>2050</v>
      </c>
      <c r="L51" s="1288"/>
      <c r="P51" s="246"/>
    </row>
    <row r="52" spans="1:16" x14ac:dyDescent="0.2">
      <c r="A52" s="367">
        <v>54106</v>
      </c>
      <c r="B52" s="948" t="s">
        <v>554</v>
      </c>
      <c r="C52" s="1289">
        <v>0</v>
      </c>
      <c r="D52" s="1290">
        <f>'F.P y DL'!D454</f>
        <v>0</v>
      </c>
      <c r="E52" s="1290">
        <f>'F.P y DL'!E454</f>
        <v>0</v>
      </c>
      <c r="F52" s="1249">
        <f t="shared" si="1"/>
        <v>0</v>
      </c>
      <c r="G52" s="1290">
        <f>'F.P y DL'!G454</f>
        <v>200</v>
      </c>
      <c r="H52" s="1280"/>
      <c r="I52" s="1281"/>
      <c r="J52" s="1282"/>
      <c r="K52" s="1287">
        <f t="shared" si="2"/>
        <v>200</v>
      </c>
      <c r="L52" s="1288"/>
      <c r="P52" s="246"/>
    </row>
    <row r="53" spans="1:16" x14ac:dyDescent="0.2">
      <c r="A53" s="367">
        <v>54107</v>
      </c>
      <c r="B53" s="948" t="s">
        <v>34</v>
      </c>
      <c r="C53" s="1289">
        <f>'F.P y DL'!F18</f>
        <v>0</v>
      </c>
      <c r="D53" s="1290">
        <v>0</v>
      </c>
      <c r="E53" s="1290">
        <v>0</v>
      </c>
      <c r="F53" s="1249">
        <f t="shared" si="1"/>
        <v>0</v>
      </c>
      <c r="G53" s="1290">
        <f>'F.P y DL'!G455</f>
        <v>1820</v>
      </c>
      <c r="H53" s="1291"/>
      <c r="I53" s="1292"/>
      <c r="J53" s="1293"/>
      <c r="K53" s="1287">
        <f t="shared" si="2"/>
        <v>1820</v>
      </c>
      <c r="L53" s="1288"/>
      <c r="P53" s="246"/>
    </row>
    <row r="54" spans="1:16" x14ac:dyDescent="0.2">
      <c r="A54" s="367">
        <v>54108</v>
      </c>
      <c r="B54" s="948" t="s">
        <v>35</v>
      </c>
      <c r="C54" s="1289">
        <v>0</v>
      </c>
      <c r="D54" s="1290">
        <v>0</v>
      </c>
      <c r="E54" s="1290">
        <v>0</v>
      </c>
      <c r="F54" s="1249">
        <f t="shared" si="1"/>
        <v>0</v>
      </c>
      <c r="G54" s="1290">
        <v>0</v>
      </c>
      <c r="H54" s="1280"/>
      <c r="I54" s="1281"/>
      <c r="J54" s="1282"/>
      <c r="K54" s="1287">
        <f t="shared" si="2"/>
        <v>0</v>
      </c>
      <c r="L54" s="1288"/>
      <c r="P54" s="246"/>
    </row>
    <row r="55" spans="1:16" x14ac:dyDescent="0.2">
      <c r="A55" s="367">
        <v>54109</v>
      </c>
      <c r="B55" s="948" t="s">
        <v>36</v>
      </c>
      <c r="C55" s="1289">
        <f>'F.P y DL'!F20</f>
        <v>0</v>
      </c>
      <c r="D55" s="1290">
        <f>'F.P y DL'!D457</f>
        <v>0</v>
      </c>
      <c r="E55" s="1290">
        <f>'F.P y DL'!E457</f>
        <v>0</v>
      </c>
      <c r="F55" s="1249">
        <f t="shared" si="1"/>
        <v>0</v>
      </c>
      <c r="G55" s="1294">
        <f>'F.P y DL'!G457</f>
        <v>700</v>
      </c>
      <c r="H55" s="1281"/>
      <c r="I55" s="1281"/>
      <c r="J55" s="1282"/>
      <c r="K55" s="1287">
        <f t="shared" si="2"/>
        <v>700</v>
      </c>
      <c r="L55" s="1288"/>
      <c r="P55" s="246"/>
    </row>
    <row r="56" spans="1:16" x14ac:dyDescent="0.2">
      <c r="A56" s="367">
        <v>54110</v>
      </c>
      <c r="B56" s="948" t="s">
        <v>37</v>
      </c>
      <c r="C56" s="1289">
        <f>'F.P y DL'!F21</f>
        <v>0</v>
      </c>
      <c r="D56" s="1290">
        <f>'F.P y DL'!G129</f>
        <v>0</v>
      </c>
      <c r="E56" s="1290">
        <f>'F.P y DL'!G237</f>
        <v>0</v>
      </c>
      <c r="F56" s="1249">
        <f t="shared" si="1"/>
        <v>0</v>
      </c>
      <c r="G56" s="1294">
        <f>'F.P y DL'!G458</f>
        <v>18900</v>
      </c>
      <c r="H56" s="1281"/>
      <c r="I56" s="1281"/>
      <c r="J56" s="1282"/>
      <c r="K56" s="1287">
        <f>SUM(F56:J56)</f>
        <v>18900</v>
      </c>
      <c r="L56" s="1288"/>
      <c r="P56" s="246"/>
    </row>
    <row r="57" spans="1:16" x14ac:dyDescent="0.2">
      <c r="A57" s="367">
        <v>54111</v>
      </c>
      <c r="B57" s="948" t="s">
        <v>38</v>
      </c>
      <c r="C57" s="1289">
        <f>'F.P y DL'!F22</f>
        <v>0</v>
      </c>
      <c r="D57" s="1290">
        <f>'F.P y DL'!D459</f>
        <v>0</v>
      </c>
      <c r="E57" s="1290">
        <f>'F.P y DL'!E459</f>
        <v>0</v>
      </c>
      <c r="F57" s="1249">
        <f t="shared" si="1"/>
        <v>0</v>
      </c>
      <c r="G57" s="1294">
        <f>'F.P y DL'!G459</f>
        <v>300</v>
      </c>
      <c r="H57" s="1281"/>
      <c r="I57" s="1281"/>
      <c r="J57" s="1282"/>
      <c r="K57" s="1287">
        <f t="shared" si="2"/>
        <v>300</v>
      </c>
      <c r="L57" s="1288"/>
      <c r="P57" s="246"/>
    </row>
    <row r="58" spans="1:16" x14ac:dyDescent="0.2">
      <c r="A58" s="367">
        <v>54112</v>
      </c>
      <c r="B58" s="948" t="s">
        <v>39</v>
      </c>
      <c r="C58" s="1289">
        <f>'F.P y DL'!F23</f>
        <v>0</v>
      </c>
      <c r="D58" s="1290">
        <f>'F.P y DL'!D460</f>
        <v>0</v>
      </c>
      <c r="E58" s="1290">
        <f>'F.P y DL'!E460</f>
        <v>0</v>
      </c>
      <c r="F58" s="1249">
        <f t="shared" si="1"/>
        <v>0</v>
      </c>
      <c r="G58" s="1294">
        <f>'F.P y DL'!G460</f>
        <v>200</v>
      </c>
      <c r="H58" s="1292"/>
      <c r="I58" s="1292"/>
      <c r="J58" s="1293"/>
      <c r="K58" s="1287">
        <f t="shared" si="2"/>
        <v>200</v>
      </c>
      <c r="L58" s="1288"/>
      <c r="P58" s="246"/>
    </row>
    <row r="59" spans="1:16" x14ac:dyDescent="0.2">
      <c r="A59" s="367">
        <v>54114</v>
      </c>
      <c r="B59" s="948" t="s">
        <v>40</v>
      </c>
      <c r="C59" s="1289">
        <f>'F.P y DL'!F24</f>
        <v>0</v>
      </c>
      <c r="D59" s="1290">
        <f>'F.P y DL'!G132</f>
        <v>0</v>
      </c>
      <c r="E59" s="1290">
        <v>0</v>
      </c>
      <c r="F59" s="1249">
        <f t="shared" si="1"/>
        <v>0</v>
      </c>
      <c r="G59" s="1294">
        <f>'F.P y DL'!G461</f>
        <v>350</v>
      </c>
      <c r="H59" s="1281"/>
      <c r="I59" s="1281"/>
      <c r="J59" s="1282"/>
      <c r="K59" s="1287">
        <f t="shared" si="2"/>
        <v>350</v>
      </c>
      <c r="L59" s="1288"/>
      <c r="P59" s="246"/>
    </row>
    <row r="60" spans="1:16" x14ac:dyDescent="0.2">
      <c r="A60" s="367">
        <v>54115</v>
      </c>
      <c r="B60" s="948" t="s">
        <v>41</v>
      </c>
      <c r="C60" s="1289">
        <f>'F.P y DL'!F25</f>
        <v>0</v>
      </c>
      <c r="D60" s="1290">
        <f>'F.P y DL'!G133</f>
        <v>0</v>
      </c>
      <c r="E60" s="1290">
        <v>0</v>
      </c>
      <c r="F60" s="1249">
        <f t="shared" si="1"/>
        <v>0</v>
      </c>
      <c r="G60" s="1294">
        <f>'F.P y DL'!G462</f>
        <v>850</v>
      </c>
      <c r="H60" s="1281"/>
      <c r="I60" s="1281"/>
      <c r="J60" s="1282"/>
      <c r="K60" s="1287">
        <f t="shared" si="2"/>
        <v>850</v>
      </c>
      <c r="L60" s="1288"/>
      <c r="P60" s="246"/>
    </row>
    <row r="61" spans="1:16" x14ac:dyDescent="0.2">
      <c r="A61" s="367">
        <v>54116</v>
      </c>
      <c r="B61" s="950" t="s">
        <v>956</v>
      </c>
      <c r="C61" s="1289">
        <f>'F.P y DL'!F26</f>
        <v>0</v>
      </c>
      <c r="D61" s="1290">
        <v>0</v>
      </c>
      <c r="E61" s="1290">
        <f>'F.P y DL'!E463</f>
        <v>0</v>
      </c>
      <c r="F61" s="1249">
        <f t="shared" si="1"/>
        <v>0</v>
      </c>
      <c r="G61" s="1294">
        <f>'F.P y DL'!G463</f>
        <v>185</v>
      </c>
      <c r="H61" s="1281"/>
      <c r="I61" s="1281"/>
      <c r="J61" s="1282"/>
      <c r="K61" s="1287">
        <f t="shared" si="2"/>
        <v>185</v>
      </c>
      <c r="L61" s="1288"/>
      <c r="P61" s="246"/>
    </row>
    <row r="62" spans="1:16" hidden="1" x14ac:dyDescent="0.2">
      <c r="A62" s="367">
        <v>54117</v>
      </c>
      <c r="B62" s="950" t="s">
        <v>43</v>
      </c>
      <c r="C62" s="1289"/>
      <c r="D62" s="1290"/>
      <c r="E62" s="1290"/>
      <c r="F62" s="1249">
        <f t="shared" si="1"/>
        <v>0</v>
      </c>
      <c r="G62" s="1294"/>
      <c r="H62" s="1281"/>
      <c r="I62" s="1281"/>
      <c r="J62" s="1282"/>
      <c r="K62" s="1287">
        <f t="shared" si="2"/>
        <v>0</v>
      </c>
      <c r="L62" s="1288"/>
      <c r="P62" s="246"/>
    </row>
    <row r="63" spans="1:16" x14ac:dyDescent="0.2">
      <c r="A63" s="367">
        <v>54118</v>
      </c>
      <c r="B63" s="948" t="s">
        <v>44</v>
      </c>
      <c r="C63" s="1289">
        <f>'F.P y DL'!F28</f>
        <v>0</v>
      </c>
      <c r="D63" s="1290">
        <v>0</v>
      </c>
      <c r="E63" s="1290">
        <v>0</v>
      </c>
      <c r="F63" s="1249">
        <f t="shared" si="1"/>
        <v>0</v>
      </c>
      <c r="G63" s="1294">
        <f>'F.P y DL'!G465</f>
        <v>1440</v>
      </c>
      <c r="H63" s="1281"/>
      <c r="I63" s="1281"/>
      <c r="J63" s="1282"/>
      <c r="K63" s="1287">
        <f t="shared" si="2"/>
        <v>1440</v>
      </c>
      <c r="L63" s="1288"/>
      <c r="P63" s="246"/>
    </row>
    <row r="64" spans="1:16" x14ac:dyDescent="0.2">
      <c r="A64" s="367">
        <v>54119</v>
      </c>
      <c r="B64" s="948" t="s">
        <v>45</v>
      </c>
      <c r="C64" s="1289">
        <f>'F.P y DL'!F29</f>
        <v>0</v>
      </c>
      <c r="D64" s="1290">
        <f>'F.P y DL'!D466</f>
        <v>0</v>
      </c>
      <c r="E64" s="1290">
        <f>'F.P y DL'!E466</f>
        <v>0</v>
      </c>
      <c r="F64" s="1249">
        <f t="shared" si="1"/>
        <v>0</v>
      </c>
      <c r="G64" s="1294">
        <f>'F.P y DL'!G466</f>
        <v>1060</v>
      </c>
      <c r="H64" s="1281"/>
      <c r="I64" s="1281"/>
      <c r="J64" s="1282"/>
      <c r="K64" s="1287">
        <f t="shared" si="2"/>
        <v>1060</v>
      </c>
      <c r="L64" s="1288"/>
      <c r="P64" s="246"/>
    </row>
    <row r="65" spans="1:16" x14ac:dyDescent="0.2">
      <c r="A65" s="367">
        <v>54121</v>
      </c>
      <c r="B65" s="948" t="s">
        <v>46</v>
      </c>
      <c r="C65" s="1289">
        <f>'F.P y DL'!F30</f>
        <v>0</v>
      </c>
      <c r="D65" s="1290">
        <v>0</v>
      </c>
      <c r="E65" s="1290">
        <v>0</v>
      </c>
      <c r="F65" s="1249">
        <f t="shared" si="1"/>
        <v>0</v>
      </c>
      <c r="G65" s="1294">
        <f>'F.P y DL'!G467</f>
        <v>4000</v>
      </c>
      <c r="H65" s="1281"/>
      <c r="I65" s="1281"/>
      <c r="J65" s="1282"/>
      <c r="K65" s="1287">
        <f t="shared" si="2"/>
        <v>4000</v>
      </c>
      <c r="L65" s="1288"/>
      <c r="P65" s="246"/>
    </row>
    <row r="66" spans="1:16" x14ac:dyDescent="0.2">
      <c r="A66" s="367">
        <v>54199</v>
      </c>
      <c r="B66" s="948" t="s">
        <v>47</v>
      </c>
      <c r="C66" s="1289">
        <f>'F.P y DL'!F31</f>
        <v>0</v>
      </c>
      <c r="D66" s="1290">
        <v>0</v>
      </c>
      <c r="E66" s="1290">
        <v>0</v>
      </c>
      <c r="F66" s="1249">
        <f>'F.P y DL'!G355</f>
        <v>11192.419999999998</v>
      </c>
      <c r="G66" s="1294">
        <f>'F.P y DL'!G468</f>
        <v>9889</v>
      </c>
      <c r="H66" s="1281"/>
      <c r="I66" s="1281"/>
      <c r="J66" s="1282"/>
      <c r="K66" s="1287">
        <f t="shared" si="2"/>
        <v>21081.42</v>
      </c>
      <c r="L66" s="1288"/>
      <c r="P66" s="246"/>
    </row>
    <row r="67" spans="1:16" x14ac:dyDescent="0.2">
      <c r="A67" s="326">
        <v>542</v>
      </c>
      <c r="B67" s="947" t="s">
        <v>48</v>
      </c>
      <c r="C67" s="1295">
        <f>SUM(C68:C72)</f>
        <v>0</v>
      </c>
      <c r="D67" s="1296">
        <f>SUM(D68:D72)</f>
        <v>0</v>
      </c>
      <c r="E67" s="1296">
        <f>SUM(E68:E72)</f>
        <v>0</v>
      </c>
      <c r="F67" s="1261">
        <f t="shared" si="1"/>
        <v>0</v>
      </c>
      <c r="G67" s="1297">
        <f>SUM(G68:G72)</f>
        <v>172588.6</v>
      </c>
      <c r="H67" s="1281"/>
      <c r="I67" s="1281"/>
      <c r="J67" s="1282"/>
      <c r="K67" s="1283">
        <f t="shared" si="2"/>
        <v>172588.6</v>
      </c>
      <c r="L67" s="1284"/>
      <c r="P67" s="246"/>
    </row>
    <row r="68" spans="1:16" x14ac:dyDescent="0.2">
      <c r="A68" s="367">
        <v>54201</v>
      </c>
      <c r="B68" s="948" t="s">
        <v>49</v>
      </c>
      <c r="C68" s="1289">
        <f>'F.P y DL'!F33</f>
        <v>0</v>
      </c>
      <c r="D68" s="1290">
        <f>'F.P y DL'!G141</f>
        <v>0</v>
      </c>
      <c r="E68" s="1290">
        <f>'F.P y DL'!E470</f>
        <v>0</v>
      </c>
      <c r="F68" s="1249">
        <f t="shared" si="1"/>
        <v>0</v>
      </c>
      <c r="G68" s="1294">
        <f>'F.P y DL'!G470</f>
        <v>142600</v>
      </c>
      <c r="H68" s="1281"/>
      <c r="I68" s="1281"/>
      <c r="J68" s="1282"/>
      <c r="K68" s="1287">
        <f t="shared" si="2"/>
        <v>142600</v>
      </c>
      <c r="L68" s="1288"/>
      <c r="P68" s="246"/>
    </row>
    <row r="69" spans="1:16" x14ac:dyDescent="0.2">
      <c r="A69" s="367">
        <v>54202</v>
      </c>
      <c r="B69" s="948" t="s">
        <v>50</v>
      </c>
      <c r="C69" s="1289">
        <f>'F.P y DL'!F34</f>
        <v>0</v>
      </c>
      <c r="D69" s="1290">
        <f>'F.P y DL'!D471</f>
        <v>0</v>
      </c>
      <c r="E69" s="1290">
        <f>'F.P y DL'!E471</f>
        <v>0</v>
      </c>
      <c r="F69" s="1249">
        <f t="shared" si="1"/>
        <v>0</v>
      </c>
      <c r="G69" s="1294">
        <f>'F.P y DL'!G471</f>
        <v>2500</v>
      </c>
      <c r="H69" s="1281"/>
      <c r="I69" s="1281"/>
      <c r="J69" s="1282"/>
      <c r="K69" s="1287">
        <f t="shared" si="2"/>
        <v>2500</v>
      </c>
      <c r="L69" s="1288"/>
      <c r="P69" s="246"/>
    </row>
    <row r="70" spans="1:16" x14ac:dyDescent="0.2">
      <c r="A70" s="367">
        <v>54203</v>
      </c>
      <c r="B70" s="948" t="s">
        <v>51</v>
      </c>
      <c r="C70" s="1289">
        <f>'F.P y DL'!F35</f>
        <v>0</v>
      </c>
      <c r="D70" s="1290">
        <v>0</v>
      </c>
      <c r="E70" s="1290">
        <f>'F.P y DL'!E472</f>
        <v>0</v>
      </c>
      <c r="F70" s="1249">
        <f t="shared" si="1"/>
        <v>0</v>
      </c>
      <c r="G70" s="1294">
        <f>'F.P y DL'!G472</f>
        <v>22488.6</v>
      </c>
      <c r="H70" s="1281"/>
      <c r="I70" s="1281"/>
      <c r="J70" s="1282"/>
      <c r="K70" s="1287">
        <f t="shared" si="2"/>
        <v>22488.6</v>
      </c>
      <c r="L70" s="1288"/>
      <c r="P70" s="246"/>
    </row>
    <row r="71" spans="1:16" hidden="1" x14ac:dyDescent="0.2">
      <c r="A71" s="367">
        <v>54204</v>
      </c>
      <c r="B71" s="948" t="s">
        <v>52</v>
      </c>
      <c r="C71" s="1289"/>
      <c r="D71" s="1290"/>
      <c r="E71" s="1290"/>
      <c r="F71" s="1249">
        <f t="shared" si="1"/>
        <v>0</v>
      </c>
      <c r="G71" s="1294"/>
      <c r="H71" s="1281"/>
      <c r="I71" s="1281"/>
      <c r="J71" s="1282"/>
      <c r="K71" s="1287">
        <f t="shared" si="2"/>
        <v>0</v>
      </c>
      <c r="L71" s="1288"/>
      <c r="P71" s="246"/>
    </row>
    <row r="72" spans="1:16" x14ac:dyDescent="0.2">
      <c r="A72" s="367">
        <v>54205</v>
      </c>
      <c r="B72" s="948" t="s">
        <v>53</v>
      </c>
      <c r="C72" s="1289">
        <f>'F.P y DL'!F37</f>
        <v>0</v>
      </c>
      <c r="D72" s="1290">
        <f>'F.P y DL'!G145</f>
        <v>0</v>
      </c>
      <c r="E72" s="1290">
        <f>'F.P y DL'!E474</f>
        <v>0</v>
      </c>
      <c r="F72" s="1249">
        <f t="shared" si="1"/>
        <v>0</v>
      </c>
      <c r="G72" s="1294">
        <f>'F.P y DL'!G474</f>
        <v>5000</v>
      </c>
      <c r="H72" s="1292"/>
      <c r="I72" s="1292"/>
      <c r="J72" s="1293"/>
      <c r="K72" s="1287">
        <f t="shared" si="2"/>
        <v>5000</v>
      </c>
      <c r="L72" s="1288"/>
      <c r="P72" s="246"/>
    </row>
    <row r="73" spans="1:16" x14ac:dyDescent="0.2">
      <c r="A73" s="347">
        <v>543</v>
      </c>
      <c r="B73" s="949" t="s">
        <v>54</v>
      </c>
      <c r="C73" s="1298">
        <f>SUM(C74:C88)</f>
        <v>0</v>
      </c>
      <c r="D73" s="1299">
        <f>SUM(D74:D88)</f>
        <v>0</v>
      </c>
      <c r="E73" s="1299">
        <f>SUM(E74:E88)</f>
        <v>0</v>
      </c>
      <c r="F73" s="1261">
        <f t="shared" si="1"/>
        <v>0</v>
      </c>
      <c r="G73" s="1300">
        <f>SUM(G74:G88)</f>
        <v>80635</v>
      </c>
      <c r="H73" s="1301"/>
      <c r="I73" s="1301"/>
      <c r="J73" s="1302"/>
      <c r="K73" s="1303">
        <f t="shared" si="2"/>
        <v>80635</v>
      </c>
      <c r="L73" s="1284"/>
      <c r="M73" s="246">
        <f>G73-'F.P y DL'!G475</f>
        <v>0</v>
      </c>
      <c r="P73" s="246"/>
    </row>
    <row r="74" spans="1:16" x14ac:dyDescent="0.2">
      <c r="A74" s="1304">
        <v>54301</v>
      </c>
      <c r="B74" s="950" t="s">
        <v>957</v>
      </c>
      <c r="C74" s="1305">
        <v>0</v>
      </c>
      <c r="D74" s="1305">
        <f>'F.P y DL'!G147</f>
        <v>0</v>
      </c>
      <c r="E74" s="1305">
        <v>0</v>
      </c>
      <c r="F74" s="1249">
        <v>0</v>
      </c>
      <c r="G74" s="1305">
        <f>'F.P y DL'!G476</f>
        <v>685</v>
      </c>
      <c r="H74" s="1306"/>
      <c r="I74" s="1307"/>
      <c r="J74" s="1308"/>
      <c r="K74" s="1309">
        <f t="shared" si="2"/>
        <v>685</v>
      </c>
      <c r="L74" s="1310"/>
      <c r="P74" s="246"/>
    </row>
    <row r="75" spans="1:16" x14ac:dyDescent="0.2">
      <c r="A75" s="1311">
        <v>54302</v>
      </c>
      <c r="B75" s="951" t="s">
        <v>958</v>
      </c>
      <c r="C75" s="1305">
        <v>0</v>
      </c>
      <c r="D75" s="1305">
        <v>0</v>
      </c>
      <c r="E75" s="1305">
        <v>0</v>
      </c>
      <c r="F75" s="1249">
        <v>0</v>
      </c>
      <c r="G75" s="1305">
        <f>'F.P y DL'!G477</f>
        <v>2600</v>
      </c>
      <c r="H75" s="1306"/>
      <c r="I75" s="1307"/>
      <c r="J75" s="1307"/>
      <c r="K75" s="1312">
        <f t="shared" si="2"/>
        <v>2600</v>
      </c>
      <c r="L75" s="1310"/>
      <c r="P75" s="246"/>
    </row>
    <row r="76" spans="1:16" x14ac:dyDescent="0.2">
      <c r="A76" s="367">
        <v>54303</v>
      </c>
      <c r="B76" s="950" t="s">
        <v>959</v>
      </c>
      <c r="C76" s="1290">
        <v>0</v>
      </c>
      <c r="D76" s="1290">
        <v>0</v>
      </c>
      <c r="E76" s="1290">
        <v>0</v>
      </c>
      <c r="F76" s="1249">
        <v>0</v>
      </c>
      <c r="G76" s="1290">
        <f>'F.P y DL'!C478</f>
        <v>100</v>
      </c>
      <c r="H76" s="1280"/>
      <c r="I76" s="1281"/>
      <c r="J76" s="1282"/>
      <c r="K76" s="1287">
        <f t="shared" si="2"/>
        <v>100</v>
      </c>
      <c r="L76" s="1288"/>
      <c r="P76" s="246"/>
    </row>
    <row r="77" spans="1:16" x14ac:dyDescent="0.2">
      <c r="A77" s="367">
        <v>54304</v>
      </c>
      <c r="B77" s="948" t="s">
        <v>58</v>
      </c>
      <c r="C77" s="1290">
        <v>0</v>
      </c>
      <c r="D77" s="1290">
        <v>0</v>
      </c>
      <c r="E77" s="1290">
        <v>0</v>
      </c>
      <c r="F77" s="1249">
        <v>0</v>
      </c>
      <c r="G77" s="1290">
        <f>'F.P y DL'!G479</f>
        <v>800</v>
      </c>
      <c r="H77" s="1280"/>
      <c r="I77" s="1281"/>
      <c r="J77" s="1282"/>
      <c r="K77" s="1287">
        <f t="shared" si="2"/>
        <v>800</v>
      </c>
      <c r="L77" s="1288"/>
      <c r="P77" s="246"/>
    </row>
    <row r="78" spans="1:16" x14ac:dyDescent="0.2">
      <c r="A78" s="367">
        <v>54305</v>
      </c>
      <c r="B78" s="948" t="s">
        <v>59</v>
      </c>
      <c r="C78" s="1290">
        <v>0</v>
      </c>
      <c r="D78" s="1290">
        <v>0</v>
      </c>
      <c r="E78" s="1290">
        <v>0</v>
      </c>
      <c r="F78" s="1249">
        <v>0</v>
      </c>
      <c r="G78" s="1290">
        <f>'F.P y DL'!G480</f>
        <v>500</v>
      </c>
      <c r="H78" s="1280"/>
      <c r="I78" s="1281"/>
      <c r="J78" s="1282"/>
      <c r="K78" s="1287">
        <f t="shared" si="2"/>
        <v>500</v>
      </c>
      <c r="L78" s="1288"/>
      <c r="P78" s="246"/>
    </row>
    <row r="79" spans="1:16" hidden="1" x14ac:dyDescent="0.2">
      <c r="A79" s="367">
        <v>54306</v>
      </c>
      <c r="B79" s="948" t="s">
        <v>60</v>
      </c>
      <c r="C79" s="1290">
        <v>0</v>
      </c>
      <c r="D79" s="1290">
        <v>0</v>
      </c>
      <c r="E79" s="1290">
        <v>0</v>
      </c>
      <c r="F79" s="1249">
        <v>0</v>
      </c>
      <c r="G79" s="1290">
        <v>0</v>
      </c>
      <c r="H79" s="1280"/>
      <c r="I79" s="1281"/>
      <c r="J79" s="1282"/>
      <c r="K79" s="1287">
        <f t="shared" si="2"/>
        <v>0</v>
      </c>
      <c r="L79" s="1288"/>
      <c r="P79" s="246"/>
    </row>
    <row r="80" spans="1:16" x14ac:dyDescent="0.2">
      <c r="A80" s="367">
        <v>54307</v>
      </c>
      <c r="B80" s="948" t="s">
        <v>61</v>
      </c>
      <c r="C80" s="1290">
        <v>0</v>
      </c>
      <c r="D80" s="1290">
        <v>0</v>
      </c>
      <c r="E80" s="1290">
        <v>0</v>
      </c>
      <c r="F80" s="1249">
        <v>0</v>
      </c>
      <c r="G80" s="1290">
        <f>'F.P y DL'!G482</f>
        <v>500</v>
      </c>
      <c r="H80" s="1291"/>
      <c r="I80" s="1292"/>
      <c r="J80" s="1293"/>
      <c r="K80" s="1287">
        <f t="shared" si="2"/>
        <v>500</v>
      </c>
      <c r="L80" s="1288"/>
      <c r="P80" s="246"/>
    </row>
    <row r="81" spans="1:16" x14ac:dyDescent="0.2">
      <c r="A81" s="367">
        <v>54309</v>
      </c>
      <c r="B81" s="948" t="s">
        <v>62</v>
      </c>
      <c r="C81" s="1290">
        <v>0</v>
      </c>
      <c r="D81" s="1290">
        <v>0</v>
      </c>
      <c r="E81" s="1290">
        <v>0</v>
      </c>
      <c r="F81" s="1249">
        <v>0</v>
      </c>
      <c r="G81" s="1290">
        <v>0</v>
      </c>
      <c r="H81" s="1291"/>
      <c r="I81" s="1292"/>
      <c r="J81" s="1293"/>
      <c r="K81" s="1287">
        <f t="shared" si="2"/>
        <v>0</v>
      </c>
      <c r="L81" s="1288"/>
      <c r="P81" s="246"/>
    </row>
    <row r="82" spans="1:16" x14ac:dyDescent="0.2">
      <c r="A82" s="367">
        <v>54310</v>
      </c>
      <c r="B82" s="948" t="s">
        <v>63</v>
      </c>
      <c r="C82" s="1290">
        <v>0</v>
      </c>
      <c r="D82" s="1290">
        <v>0</v>
      </c>
      <c r="E82" s="1290">
        <v>0</v>
      </c>
      <c r="F82" s="1249">
        <v>0</v>
      </c>
      <c r="G82" s="1290">
        <v>0</v>
      </c>
      <c r="H82" s="1280"/>
      <c r="I82" s="1281"/>
      <c r="J82" s="1282"/>
      <c r="K82" s="1287">
        <f t="shared" si="2"/>
        <v>0</v>
      </c>
      <c r="L82" s="1288"/>
      <c r="P82" s="246"/>
    </row>
    <row r="83" spans="1:16" hidden="1" x14ac:dyDescent="0.2">
      <c r="A83" s="367">
        <v>54311</v>
      </c>
      <c r="B83" s="948" t="s">
        <v>64</v>
      </c>
      <c r="C83" s="1290">
        <v>0</v>
      </c>
      <c r="D83" s="1290">
        <v>0</v>
      </c>
      <c r="E83" s="1290">
        <v>0</v>
      </c>
      <c r="F83" s="1249">
        <v>0</v>
      </c>
      <c r="G83" s="1290">
        <v>0</v>
      </c>
      <c r="H83" s="1280"/>
      <c r="I83" s="1281"/>
      <c r="J83" s="1282"/>
      <c r="K83" s="1287">
        <f t="shared" si="2"/>
        <v>0</v>
      </c>
      <c r="L83" s="1288"/>
      <c r="P83" s="246"/>
    </row>
    <row r="84" spans="1:16" x14ac:dyDescent="0.2">
      <c r="A84" s="367">
        <v>54313</v>
      </c>
      <c r="B84" s="950" t="s">
        <v>960</v>
      </c>
      <c r="C84" s="1290">
        <v>0</v>
      </c>
      <c r="D84" s="1290">
        <v>0</v>
      </c>
      <c r="E84" s="1290">
        <v>0</v>
      </c>
      <c r="F84" s="1249">
        <v>0</v>
      </c>
      <c r="G84" s="1290">
        <f>'F.P y DL'!G486</f>
        <v>150</v>
      </c>
      <c r="H84" s="1291"/>
      <c r="I84" s="1292"/>
      <c r="J84" s="1293"/>
      <c r="K84" s="1287">
        <f t="shared" si="2"/>
        <v>150</v>
      </c>
      <c r="L84" s="1288"/>
      <c r="P84" s="246"/>
    </row>
    <row r="85" spans="1:16" x14ac:dyDescent="0.2">
      <c r="A85" s="367">
        <v>54314</v>
      </c>
      <c r="B85" s="337" t="s">
        <v>66</v>
      </c>
      <c r="C85" s="1290">
        <v>0</v>
      </c>
      <c r="D85" s="1290">
        <v>0</v>
      </c>
      <c r="E85" s="1290">
        <v>0</v>
      </c>
      <c r="F85" s="1249">
        <v>0</v>
      </c>
      <c r="G85" s="1290">
        <f>'F.P y DL'!G487</f>
        <v>1000</v>
      </c>
      <c r="H85" s="1280"/>
      <c r="I85" s="1281"/>
      <c r="J85" s="1282"/>
      <c r="K85" s="1287">
        <f>+F85+G85</f>
        <v>1000</v>
      </c>
      <c r="L85" s="1288"/>
      <c r="P85" s="246"/>
    </row>
    <row r="86" spans="1:16" x14ac:dyDescent="0.2">
      <c r="A86" s="367">
        <v>54316</v>
      </c>
      <c r="B86" s="337" t="s">
        <v>67</v>
      </c>
      <c r="C86" s="1290">
        <v>0</v>
      </c>
      <c r="D86" s="1290">
        <v>0</v>
      </c>
      <c r="E86" s="1290">
        <v>0</v>
      </c>
      <c r="F86" s="1249">
        <v>0</v>
      </c>
      <c r="G86" s="1290">
        <f>'F.P y DL'!G488</f>
        <v>500</v>
      </c>
      <c r="H86" s="1280"/>
      <c r="I86" s="1281"/>
      <c r="J86" s="1282"/>
      <c r="K86" s="1287">
        <f t="shared" ref="K86:K101" si="3">SUM(F86:J86)</f>
        <v>500</v>
      </c>
      <c r="L86" s="1288"/>
      <c r="P86" s="246"/>
    </row>
    <row r="87" spans="1:16" x14ac:dyDescent="0.2">
      <c r="A87" s="367">
        <v>54317</v>
      </c>
      <c r="B87" s="337" t="s">
        <v>68</v>
      </c>
      <c r="C87" s="1290">
        <v>0</v>
      </c>
      <c r="D87" s="1290">
        <v>0</v>
      </c>
      <c r="E87" s="1290">
        <v>0</v>
      </c>
      <c r="F87" s="1249">
        <v>0</v>
      </c>
      <c r="G87" s="1290">
        <f>'F.P y DL'!G489</f>
        <v>1800</v>
      </c>
      <c r="H87" s="1291"/>
      <c r="I87" s="1292"/>
      <c r="J87" s="1293"/>
      <c r="K87" s="1287">
        <f t="shared" si="3"/>
        <v>1800</v>
      </c>
      <c r="L87" s="1288"/>
      <c r="P87" s="246"/>
    </row>
    <row r="88" spans="1:16" x14ac:dyDescent="0.2">
      <c r="A88" s="367">
        <v>54399</v>
      </c>
      <c r="B88" s="383" t="s">
        <v>961</v>
      </c>
      <c r="C88" s="1290">
        <v>0</v>
      </c>
      <c r="D88" s="1290">
        <v>0</v>
      </c>
      <c r="E88" s="1290">
        <v>0</v>
      </c>
      <c r="F88" s="1249">
        <v>0</v>
      </c>
      <c r="G88" s="1290">
        <f>'F.P y DL'!G490</f>
        <v>72000</v>
      </c>
      <c r="H88" s="1291"/>
      <c r="I88" s="1292"/>
      <c r="J88" s="1293"/>
      <c r="K88" s="1287">
        <f t="shared" si="3"/>
        <v>72000</v>
      </c>
      <c r="L88" s="1288"/>
      <c r="P88" s="246"/>
    </row>
    <row r="89" spans="1:16" x14ac:dyDescent="0.2">
      <c r="A89" s="326">
        <v>544</v>
      </c>
      <c r="B89" s="327" t="s">
        <v>70</v>
      </c>
      <c r="C89" s="1295">
        <f>SUM(C90:C93)</f>
        <v>0</v>
      </c>
      <c r="D89" s="1296">
        <f>SUM(D90:D93)</f>
        <v>0</v>
      </c>
      <c r="E89" s="1296">
        <f>SUM(E90:E93)</f>
        <v>0</v>
      </c>
      <c r="F89" s="1261">
        <f t="shared" ref="F89:F146" si="4">D89+E89</f>
        <v>0</v>
      </c>
      <c r="G89" s="1297">
        <f>SUM(G90:G93)</f>
        <v>3250</v>
      </c>
      <c r="H89" s="1281"/>
      <c r="I89" s="1281"/>
      <c r="J89" s="1282"/>
      <c r="K89" s="1283">
        <f t="shared" si="3"/>
        <v>3250</v>
      </c>
      <c r="L89" s="1284"/>
      <c r="M89" s="246">
        <f>G89-'F.P y DL'!G491</f>
        <v>0</v>
      </c>
      <c r="P89" s="246"/>
    </row>
    <row r="90" spans="1:16" x14ac:dyDescent="0.2">
      <c r="A90" s="367">
        <v>54401</v>
      </c>
      <c r="B90" s="337" t="s">
        <v>71</v>
      </c>
      <c r="C90" s="1289">
        <v>0</v>
      </c>
      <c r="D90" s="1290">
        <v>0</v>
      </c>
      <c r="E90" s="1290">
        <v>0</v>
      </c>
      <c r="F90" s="1249">
        <v>0</v>
      </c>
      <c r="G90" s="1294">
        <f>'F.P y DL'!G492</f>
        <v>200</v>
      </c>
      <c r="H90" s="1281"/>
      <c r="I90" s="1281"/>
      <c r="J90" s="1282"/>
      <c r="K90" s="1287">
        <f t="shared" si="3"/>
        <v>200</v>
      </c>
      <c r="L90" s="1288"/>
      <c r="P90" s="246"/>
    </row>
    <row r="91" spans="1:16" x14ac:dyDescent="0.2">
      <c r="A91" s="367">
        <v>54402</v>
      </c>
      <c r="B91" s="337" t="s">
        <v>72</v>
      </c>
      <c r="C91" s="1289">
        <v>0</v>
      </c>
      <c r="D91" s="1290">
        <v>0</v>
      </c>
      <c r="E91" s="1290">
        <v>0</v>
      </c>
      <c r="F91" s="1249">
        <v>0</v>
      </c>
      <c r="G91" s="1294">
        <f>'F.P y DL'!G493</f>
        <v>1100</v>
      </c>
      <c r="H91" s="1281"/>
      <c r="I91" s="1281"/>
      <c r="J91" s="1282"/>
      <c r="K91" s="1287">
        <f t="shared" si="3"/>
        <v>1100</v>
      </c>
      <c r="L91" s="1288"/>
      <c r="P91" s="246"/>
    </row>
    <row r="92" spans="1:16" x14ac:dyDescent="0.2">
      <c r="A92" s="367">
        <v>54403</v>
      </c>
      <c r="B92" s="337" t="s">
        <v>73</v>
      </c>
      <c r="C92" s="1289">
        <v>0</v>
      </c>
      <c r="D92" s="1290">
        <v>0</v>
      </c>
      <c r="E92" s="1290">
        <v>0</v>
      </c>
      <c r="F92" s="1249">
        <v>0</v>
      </c>
      <c r="G92" s="1294">
        <f>'F.P y DL'!G494</f>
        <v>450</v>
      </c>
      <c r="H92" s="1281"/>
      <c r="I92" s="1281"/>
      <c r="J92" s="1282"/>
      <c r="K92" s="1287">
        <f t="shared" si="3"/>
        <v>450</v>
      </c>
      <c r="L92" s="1288"/>
      <c r="P92" s="246"/>
    </row>
    <row r="93" spans="1:16" x14ac:dyDescent="0.2">
      <c r="A93" s="367">
        <v>54404</v>
      </c>
      <c r="B93" s="337" t="s">
        <v>74</v>
      </c>
      <c r="C93" s="1289">
        <v>0</v>
      </c>
      <c r="D93" s="1290">
        <v>0</v>
      </c>
      <c r="E93" s="1290">
        <v>0</v>
      </c>
      <c r="F93" s="1249">
        <v>0</v>
      </c>
      <c r="G93" s="1294">
        <f>'F.P y DL'!G495</f>
        <v>1500</v>
      </c>
      <c r="H93" s="1281"/>
      <c r="I93" s="1281"/>
      <c r="J93" s="1282"/>
      <c r="K93" s="1287">
        <f t="shared" si="3"/>
        <v>1500</v>
      </c>
      <c r="L93" s="1288"/>
      <c r="P93" s="246"/>
    </row>
    <row r="94" spans="1:16" x14ac:dyDescent="0.2">
      <c r="A94" s="326">
        <v>545</v>
      </c>
      <c r="B94" s="381" t="s">
        <v>75</v>
      </c>
      <c r="C94" s="1295">
        <f>SUM(C95:C101)</f>
        <v>0</v>
      </c>
      <c r="D94" s="1296">
        <f>SUM(D95:D101)</f>
        <v>0</v>
      </c>
      <c r="E94" s="1296">
        <f>SUM(E95:E101)</f>
        <v>0</v>
      </c>
      <c r="F94" s="1261">
        <f t="shared" si="4"/>
        <v>0</v>
      </c>
      <c r="G94" s="1297">
        <f>SUM(G95:G101)</f>
        <v>500</v>
      </c>
      <c r="H94" s="1292"/>
      <c r="I94" s="1292"/>
      <c r="J94" s="1293"/>
      <c r="K94" s="1283">
        <f t="shared" si="3"/>
        <v>500</v>
      </c>
      <c r="L94" s="1284"/>
      <c r="P94" s="246"/>
    </row>
    <row r="95" spans="1:16" hidden="1" x14ac:dyDescent="0.2">
      <c r="A95" s="367">
        <v>54501</v>
      </c>
      <c r="B95" s="337" t="s">
        <v>76</v>
      </c>
      <c r="C95" s="1289">
        <v>0</v>
      </c>
      <c r="D95" s="1290">
        <v>0</v>
      </c>
      <c r="E95" s="1290">
        <v>0</v>
      </c>
      <c r="F95" s="1249">
        <v>0</v>
      </c>
      <c r="G95" s="1294">
        <v>0</v>
      </c>
      <c r="H95" s="1292"/>
      <c r="I95" s="1292"/>
      <c r="J95" s="1293"/>
      <c r="K95" s="1287">
        <f t="shared" si="3"/>
        <v>0</v>
      </c>
      <c r="L95" s="1288"/>
      <c r="P95" s="246"/>
    </row>
    <row r="96" spans="1:16" hidden="1" x14ac:dyDescent="0.2">
      <c r="A96" s="367">
        <v>54503</v>
      </c>
      <c r="B96" s="337" t="s">
        <v>77</v>
      </c>
      <c r="C96" s="1289">
        <v>0</v>
      </c>
      <c r="D96" s="1290">
        <v>0</v>
      </c>
      <c r="E96" s="1290">
        <v>0</v>
      </c>
      <c r="F96" s="1249">
        <v>0</v>
      </c>
      <c r="G96" s="1294">
        <v>0</v>
      </c>
      <c r="H96" s="1281"/>
      <c r="I96" s="1281"/>
      <c r="J96" s="1282"/>
      <c r="K96" s="1287">
        <f t="shared" si="3"/>
        <v>0</v>
      </c>
      <c r="L96" s="1288"/>
      <c r="P96" s="246"/>
    </row>
    <row r="97" spans="1:16" hidden="1" x14ac:dyDescent="0.2">
      <c r="A97" s="367">
        <v>54504</v>
      </c>
      <c r="B97" s="337" t="s">
        <v>78</v>
      </c>
      <c r="C97" s="1289">
        <v>0</v>
      </c>
      <c r="D97" s="1290">
        <v>0</v>
      </c>
      <c r="E97" s="1290">
        <v>0</v>
      </c>
      <c r="F97" s="1249">
        <v>0</v>
      </c>
      <c r="G97" s="1294">
        <v>0</v>
      </c>
      <c r="H97" s="1281"/>
      <c r="I97" s="1281"/>
      <c r="J97" s="1282"/>
      <c r="K97" s="1287">
        <f t="shared" si="3"/>
        <v>0</v>
      </c>
      <c r="L97" s="1288"/>
      <c r="P97" s="246"/>
    </row>
    <row r="98" spans="1:16" x14ac:dyDescent="0.2">
      <c r="A98" s="367">
        <v>54505</v>
      </c>
      <c r="B98" s="337" t="s">
        <v>79</v>
      </c>
      <c r="C98" s="1289">
        <v>0</v>
      </c>
      <c r="D98" s="1290">
        <v>0</v>
      </c>
      <c r="E98" s="1290">
        <v>0</v>
      </c>
      <c r="F98" s="1249">
        <v>0</v>
      </c>
      <c r="G98" s="1294">
        <f>'F.P y DL'!G500</f>
        <v>100</v>
      </c>
      <c r="H98" s="1292"/>
      <c r="I98" s="1292"/>
      <c r="J98" s="1293"/>
      <c r="K98" s="1287">
        <f t="shared" si="3"/>
        <v>100</v>
      </c>
      <c r="L98" s="1288"/>
      <c r="P98" s="246"/>
    </row>
    <row r="99" spans="1:16" x14ac:dyDescent="0.2">
      <c r="A99" s="367">
        <v>54507</v>
      </c>
      <c r="B99" s="337" t="s">
        <v>80</v>
      </c>
      <c r="C99" s="1289">
        <v>0</v>
      </c>
      <c r="D99" s="1290">
        <v>0</v>
      </c>
      <c r="E99" s="1290">
        <v>0</v>
      </c>
      <c r="F99" s="1249">
        <v>0</v>
      </c>
      <c r="G99" s="1294">
        <f>'F.P y DL'!G501</f>
        <v>400</v>
      </c>
      <c r="H99" s="1292"/>
      <c r="I99" s="1292"/>
      <c r="J99" s="1293"/>
      <c r="K99" s="1287">
        <f t="shared" si="3"/>
        <v>400</v>
      </c>
      <c r="L99" s="1288"/>
      <c r="P99" s="246"/>
    </row>
    <row r="100" spans="1:16" hidden="1" x14ac:dyDescent="0.2">
      <c r="A100" s="367">
        <v>54508</v>
      </c>
      <c r="B100" s="337" t="s">
        <v>81</v>
      </c>
      <c r="C100" s="1289">
        <v>0</v>
      </c>
      <c r="D100" s="1290">
        <v>0</v>
      </c>
      <c r="E100" s="1290">
        <v>0</v>
      </c>
      <c r="F100" s="1249">
        <v>0</v>
      </c>
      <c r="G100" s="1294">
        <v>0</v>
      </c>
      <c r="H100" s="1281"/>
      <c r="I100" s="1281"/>
      <c r="J100" s="1282"/>
      <c r="K100" s="1287">
        <f t="shared" si="3"/>
        <v>0</v>
      </c>
      <c r="L100" s="1288"/>
      <c r="P100" s="246"/>
    </row>
    <row r="101" spans="1:16" ht="22.5" hidden="1" x14ac:dyDescent="0.2">
      <c r="A101" s="367">
        <v>54599</v>
      </c>
      <c r="B101" s="383" t="s">
        <v>82</v>
      </c>
      <c r="C101" s="1289">
        <v>0</v>
      </c>
      <c r="D101" s="1290">
        <v>0</v>
      </c>
      <c r="E101" s="1290">
        <v>0</v>
      </c>
      <c r="F101" s="1249">
        <v>0</v>
      </c>
      <c r="G101" s="1294">
        <v>0</v>
      </c>
      <c r="H101" s="1313"/>
      <c r="I101" s="1313"/>
      <c r="J101" s="1314"/>
      <c r="K101" s="1287">
        <f t="shared" si="3"/>
        <v>0</v>
      </c>
      <c r="L101" s="1288"/>
      <c r="P101" s="246"/>
    </row>
    <row r="102" spans="1:16" x14ac:dyDescent="0.2">
      <c r="A102" s="367"/>
      <c r="B102" s="383"/>
      <c r="C102" s="1315"/>
      <c r="D102" s="1290"/>
      <c r="E102" s="1290"/>
      <c r="F102" s="1261">
        <f t="shared" si="4"/>
        <v>0</v>
      </c>
      <c r="G102" s="1294"/>
      <c r="H102" s="1313"/>
      <c r="I102" s="1313"/>
      <c r="J102" s="1314"/>
      <c r="K102" s="1287"/>
      <c r="L102" s="1288"/>
      <c r="P102" s="246"/>
    </row>
    <row r="103" spans="1:16" x14ac:dyDescent="0.2">
      <c r="A103" s="326">
        <v>55</v>
      </c>
      <c r="B103" s="327" t="s">
        <v>83</v>
      </c>
      <c r="C103" s="1316">
        <f>C110+C108</f>
        <v>0</v>
      </c>
      <c r="D103" s="1296">
        <f>D110+D108</f>
        <v>0</v>
      </c>
      <c r="E103" s="1296">
        <f>E110+E108</f>
        <v>0</v>
      </c>
      <c r="F103" s="1261">
        <f t="shared" si="4"/>
        <v>0</v>
      </c>
      <c r="G103" s="1297">
        <f>G110+G108</f>
        <v>11353.44</v>
      </c>
      <c r="H103" s="1317"/>
      <c r="I103" s="1317"/>
      <c r="J103" s="1318"/>
      <c r="K103" s="1283">
        <f>SUM(C103:J103)</f>
        <v>11353.44</v>
      </c>
      <c r="L103" s="1284"/>
      <c r="M103" s="246">
        <f>G103-'F.P y DL'!G505</f>
        <v>0</v>
      </c>
      <c r="P103" s="246"/>
    </row>
    <row r="104" spans="1:16" hidden="1" x14ac:dyDescent="0.2">
      <c r="A104" s="326">
        <v>553</v>
      </c>
      <c r="B104" s="381" t="s">
        <v>84</v>
      </c>
      <c r="C104" s="1316">
        <f>SUM(C105:C107)</f>
        <v>0</v>
      </c>
      <c r="D104" s="1296">
        <f>SUM(D105:D107)</f>
        <v>0</v>
      </c>
      <c r="E104" s="1296">
        <f>SUM(E105:E107)</f>
        <v>0</v>
      </c>
      <c r="F104" s="1261">
        <f t="shared" si="4"/>
        <v>0</v>
      </c>
      <c r="G104" s="1297">
        <f>SUM(G105:G107)</f>
        <v>0</v>
      </c>
      <c r="H104" s="1317"/>
      <c r="I104" s="1317"/>
      <c r="J104" s="1318"/>
      <c r="K104" s="1283">
        <f>SUM(F104:J104)</f>
        <v>0</v>
      </c>
      <c r="L104" s="1284"/>
      <c r="P104" s="246"/>
    </row>
    <row r="105" spans="1:16" hidden="1" x14ac:dyDescent="0.2">
      <c r="A105" s="367">
        <v>55303</v>
      </c>
      <c r="B105" s="337" t="s">
        <v>85</v>
      </c>
      <c r="C105" s="1315">
        <v>0</v>
      </c>
      <c r="D105" s="1290">
        <v>0</v>
      </c>
      <c r="E105" s="1290">
        <v>0</v>
      </c>
      <c r="F105" s="1249">
        <v>0</v>
      </c>
      <c r="G105" s="1294">
        <v>0</v>
      </c>
      <c r="H105" s="1317"/>
      <c r="I105" s="1317"/>
      <c r="J105" s="1318"/>
      <c r="K105" s="1287">
        <f>SUM(F105:J105)</f>
        <v>0</v>
      </c>
      <c r="L105" s="1288"/>
      <c r="P105" s="246"/>
    </row>
    <row r="106" spans="1:16" hidden="1" x14ac:dyDescent="0.2">
      <c r="A106" s="367">
        <v>55304</v>
      </c>
      <c r="B106" s="337" t="s">
        <v>86</v>
      </c>
      <c r="C106" s="1315">
        <v>0</v>
      </c>
      <c r="D106" s="1290">
        <v>0</v>
      </c>
      <c r="E106" s="1290">
        <v>0</v>
      </c>
      <c r="F106" s="1249">
        <v>0</v>
      </c>
      <c r="G106" s="1294">
        <v>0</v>
      </c>
      <c r="H106" s="1317"/>
      <c r="I106" s="1317"/>
      <c r="J106" s="1318"/>
      <c r="K106" s="1287">
        <f>SUM(F106:J106)</f>
        <v>0</v>
      </c>
      <c r="L106" s="1288"/>
      <c r="P106" s="246"/>
    </row>
    <row r="107" spans="1:16" hidden="1" x14ac:dyDescent="0.2">
      <c r="A107" s="367">
        <v>55308</v>
      </c>
      <c r="B107" s="337" t="s">
        <v>87</v>
      </c>
      <c r="C107" s="1315">
        <v>0</v>
      </c>
      <c r="D107" s="1290">
        <v>0</v>
      </c>
      <c r="E107" s="1290">
        <v>0</v>
      </c>
      <c r="F107" s="1249">
        <v>0</v>
      </c>
      <c r="G107" s="1294">
        <v>0</v>
      </c>
      <c r="H107" s="1317"/>
      <c r="I107" s="1317"/>
      <c r="J107" s="1318"/>
      <c r="K107" s="1287">
        <f>SUM(F107:J107)</f>
        <v>0</v>
      </c>
      <c r="L107" s="1288"/>
      <c r="P107" s="246"/>
    </row>
    <row r="108" spans="1:16" s="1224" customFormat="1" x14ac:dyDescent="0.2">
      <c r="A108" s="326">
        <v>555</v>
      </c>
      <c r="B108" s="327" t="s">
        <v>438</v>
      </c>
      <c r="C108" s="1316">
        <f>C109</f>
        <v>0</v>
      </c>
      <c r="D108" s="1296">
        <f>D109</f>
        <v>0</v>
      </c>
      <c r="E108" s="1296">
        <f>E109</f>
        <v>0</v>
      </c>
      <c r="F108" s="1261">
        <f t="shared" si="4"/>
        <v>0</v>
      </c>
      <c r="G108" s="1297">
        <f>G109</f>
        <v>153.44</v>
      </c>
      <c r="H108" s="1317"/>
      <c r="I108" s="1317"/>
      <c r="J108" s="1318"/>
      <c r="K108" s="1283">
        <f>SUM(G108)</f>
        <v>153.44</v>
      </c>
      <c r="L108" s="1284"/>
      <c r="M108" s="1319"/>
      <c r="N108" s="1319"/>
      <c r="O108" s="1319"/>
      <c r="P108" s="246"/>
    </row>
    <row r="109" spans="1:16" x14ac:dyDescent="0.2">
      <c r="A109" s="367">
        <v>55508</v>
      </c>
      <c r="B109" s="337" t="s">
        <v>329</v>
      </c>
      <c r="C109" s="1289">
        <f>+'F.P y DL'!F74</f>
        <v>0</v>
      </c>
      <c r="D109" s="1290">
        <f>+'F.P y DL'!D511</f>
        <v>0</v>
      </c>
      <c r="E109" s="1290">
        <f>+'F.P y DL'!E511</f>
        <v>0</v>
      </c>
      <c r="F109" s="1249">
        <f t="shared" si="4"/>
        <v>0</v>
      </c>
      <c r="G109" s="1294">
        <f>+'F.P y DL'!G511</f>
        <v>153.44</v>
      </c>
      <c r="H109" s="1317"/>
      <c r="I109" s="1317"/>
      <c r="J109" s="1318"/>
      <c r="K109" s="1287">
        <f>SUM(G109)</f>
        <v>153.44</v>
      </c>
      <c r="L109" s="1288"/>
      <c r="P109" s="246"/>
    </row>
    <row r="110" spans="1:16" x14ac:dyDescent="0.2">
      <c r="A110" s="326">
        <v>556</v>
      </c>
      <c r="B110" s="327" t="s">
        <v>88</v>
      </c>
      <c r="C110" s="1295">
        <f>SUM(C111:C113)</f>
        <v>0</v>
      </c>
      <c r="D110" s="1296">
        <f>SUM(D111:D113)</f>
        <v>0</v>
      </c>
      <c r="E110" s="1296">
        <f>SUM(E111:E113)</f>
        <v>0</v>
      </c>
      <c r="F110" s="1261">
        <f t="shared" si="4"/>
        <v>0</v>
      </c>
      <c r="G110" s="1297">
        <f>SUM(G111:G113)</f>
        <v>11200</v>
      </c>
      <c r="H110" s="1317"/>
      <c r="I110" s="1317"/>
      <c r="J110" s="1318"/>
      <c r="K110" s="1283">
        <f>SUM(C110:J110)</f>
        <v>11200</v>
      </c>
      <c r="L110" s="1284"/>
      <c r="P110" s="246"/>
    </row>
    <row r="111" spans="1:16" x14ac:dyDescent="0.2">
      <c r="A111" s="367">
        <v>55601</v>
      </c>
      <c r="B111" s="337" t="s">
        <v>89</v>
      </c>
      <c r="C111" s="1289">
        <f>'F.P y DL'!F76</f>
        <v>0</v>
      </c>
      <c r="D111" s="1290">
        <v>0</v>
      </c>
      <c r="E111" s="1290">
        <f>'F.P y DL'!E514</f>
        <v>0</v>
      </c>
      <c r="F111" s="1249">
        <f t="shared" si="4"/>
        <v>0</v>
      </c>
      <c r="G111" s="1294">
        <f>'F.P y DL'!G514</f>
        <v>600</v>
      </c>
      <c r="H111" s="1317"/>
      <c r="I111" s="1317"/>
      <c r="J111" s="1318"/>
      <c r="K111" s="1287">
        <f t="shared" ref="K111:K117" si="5">SUM(F111:J111)</f>
        <v>600</v>
      </c>
      <c r="L111" s="1288"/>
      <c r="P111" s="246"/>
    </row>
    <row r="112" spans="1:16" x14ac:dyDescent="0.2">
      <c r="A112" s="367">
        <v>55602</v>
      </c>
      <c r="B112" s="337" t="s">
        <v>90</v>
      </c>
      <c r="C112" s="1289">
        <f>'F.P y DL'!F77</f>
        <v>0</v>
      </c>
      <c r="D112" s="1290">
        <f>'F.P y DL'!D515</f>
        <v>0</v>
      </c>
      <c r="E112" s="1290">
        <f>'F.P y DL'!E515</f>
        <v>0</v>
      </c>
      <c r="F112" s="1249">
        <f t="shared" si="4"/>
        <v>0</v>
      </c>
      <c r="G112" s="1294">
        <f>'F.P y DL'!G515</f>
        <v>10500</v>
      </c>
      <c r="H112" s="1317"/>
      <c r="I112" s="1317"/>
      <c r="J112" s="1318"/>
      <c r="K112" s="1287">
        <f>SUM(C112:J112)</f>
        <v>10500</v>
      </c>
      <c r="L112" s="1288"/>
      <c r="P112" s="246"/>
    </row>
    <row r="113" spans="1:16" x14ac:dyDescent="0.2">
      <c r="A113" s="367">
        <v>55603</v>
      </c>
      <c r="B113" s="337" t="s">
        <v>91</v>
      </c>
      <c r="C113" s="1289">
        <v>0</v>
      </c>
      <c r="D113" s="1290">
        <v>0</v>
      </c>
      <c r="E113" s="1290">
        <f>'F.P y DL'!E516</f>
        <v>0</v>
      </c>
      <c r="F113" s="1249">
        <f t="shared" si="4"/>
        <v>0</v>
      </c>
      <c r="G113" s="1294">
        <f>'F.P y DL'!G516</f>
        <v>100</v>
      </c>
      <c r="H113" s="1317"/>
      <c r="I113" s="1317"/>
      <c r="J113" s="1318"/>
      <c r="K113" s="1287">
        <f>SUM(C113:J113)</f>
        <v>100</v>
      </c>
      <c r="L113" s="1288"/>
      <c r="P113" s="246"/>
    </row>
    <row r="114" spans="1:16" hidden="1" x14ac:dyDescent="0.2">
      <c r="A114" s="326">
        <v>557</v>
      </c>
      <c r="B114" s="327" t="s">
        <v>92</v>
      </c>
      <c r="C114" s="1289">
        <f>SUM(C115:C117)</f>
        <v>0</v>
      </c>
      <c r="D114" s="1290">
        <f>SUM(D115:D117)</f>
        <v>0</v>
      </c>
      <c r="E114" s="1290">
        <f>SUM(E115:E117)</f>
        <v>0</v>
      </c>
      <c r="F114" s="1249">
        <f t="shared" si="4"/>
        <v>0</v>
      </c>
      <c r="G114" s="1294">
        <f>SUM(G115:G117)</f>
        <v>0</v>
      </c>
      <c r="H114" s="1317"/>
      <c r="I114" s="1317"/>
      <c r="J114" s="1318"/>
      <c r="K114" s="1283">
        <f t="shared" si="5"/>
        <v>0</v>
      </c>
      <c r="L114" s="1284"/>
      <c r="P114" s="246"/>
    </row>
    <row r="115" spans="1:16" hidden="1" x14ac:dyDescent="0.2">
      <c r="A115" s="367">
        <v>55701</v>
      </c>
      <c r="B115" s="337" t="s">
        <v>93</v>
      </c>
      <c r="C115" s="1289">
        <v>0</v>
      </c>
      <c r="D115" s="1290">
        <v>0</v>
      </c>
      <c r="E115" s="1290">
        <v>0</v>
      </c>
      <c r="F115" s="1249">
        <f t="shared" si="4"/>
        <v>0</v>
      </c>
      <c r="G115" s="1294">
        <v>0</v>
      </c>
      <c r="H115" s="1317"/>
      <c r="I115" s="1317"/>
      <c r="J115" s="1318"/>
      <c r="K115" s="1287">
        <f t="shared" si="5"/>
        <v>0</v>
      </c>
      <c r="L115" s="1288"/>
      <c r="P115" s="246"/>
    </row>
    <row r="116" spans="1:16" hidden="1" x14ac:dyDescent="0.2">
      <c r="A116" s="367">
        <v>55702</v>
      </c>
      <c r="B116" s="337" t="s">
        <v>94</v>
      </c>
      <c r="C116" s="1289">
        <v>0</v>
      </c>
      <c r="D116" s="1290">
        <v>0</v>
      </c>
      <c r="E116" s="1290">
        <v>0</v>
      </c>
      <c r="F116" s="1249">
        <f t="shared" si="4"/>
        <v>0</v>
      </c>
      <c r="G116" s="1294">
        <v>0</v>
      </c>
      <c r="H116" s="1317"/>
      <c r="I116" s="1317"/>
      <c r="J116" s="1318"/>
      <c r="K116" s="1287">
        <f t="shared" si="5"/>
        <v>0</v>
      </c>
      <c r="L116" s="1288"/>
      <c r="P116" s="246"/>
    </row>
    <row r="117" spans="1:16" hidden="1" x14ac:dyDescent="0.2">
      <c r="A117" s="367">
        <v>55799</v>
      </c>
      <c r="B117" s="337" t="s">
        <v>95</v>
      </c>
      <c r="C117" s="1289">
        <v>0</v>
      </c>
      <c r="D117" s="1290">
        <v>0</v>
      </c>
      <c r="E117" s="1290">
        <v>0</v>
      </c>
      <c r="F117" s="1249">
        <f t="shared" si="4"/>
        <v>0</v>
      </c>
      <c r="G117" s="1294">
        <v>0</v>
      </c>
      <c r="H117" s="1317"/>
      <c r="I117" s="1317"/>
      <c r="J117" s="1318"/>
      <c r="K117" s="1287">
        <f t="shared" si="5"/>
        <v>0</v>
      </c>
      <c r="L117" s="1288"/>
      <c r="P117" s="246"/>
    </row>
    <row r="118" spans="1:16" x14ac:dyDescent="0.2">
      <c r="A118" s="367"/>
      <c r="B118" s="337"/>
      <c r="C118" s="1289"/>
      <c r="D118" s="1290"/>
      <c r="E118" s="1290"/>
      <c r="F118" s="1261"/>
      <c r="G118" s="1294"/>
      <c r="H118" s="1317"/>
      <c r="I118" s="1317"/>
      <c r="J118" s="1318"/>
      <c r="K118" s="1287"/>
      <c r="L118" s="1288"/>
      <c r="P118" s="246"/>
    </row>
    <row r="119" spans="1:16" x14ac:dyDescent="0.2">
      <c r="A119" s="367"/>
      <c r="B119" s="337"/>
      <c r="C119" s="1289"/>
      <c r="D119" s="1290"/>
      <c r="E119" s="1290"/>
      <c r="F119" s="1261"/>
      <c r="G119" s="1294"/>
      <c r="H119" s="1317"/>
      <c r="I119" s="1317"/>
      <c r="J119" s="1318"/>
      <c r="K119" s="1287"/>
      <c r="L119" s="1288"/>
      <c r="P119" s="246"/>
    </row>
    <row r="120" spans="1:16" x14ac:dyDescent="0.2">
      <c r="A120" s="326">
        <v>56</v>
      </c>
      <c r="B120" s="327" t="s">
        <v>96</v>
      </c>
      <c r="C120" s="1295">
        <f>C121+C124</f>
        <v>0</v>
      </c>
      <c r="D120" s="1296">
        <f>D121+D124</f>
        <v>0</v>
      </c>
      <c r="E120" s="1296">
        <f>E121+E124</f>
        <v>0</v>
      </c>
      <c r="F120" s="1261">
        <f t="shared" si="4"/>
        <v>0</v>
      </c>
      <c r="G120" s="1297">
        <f>G121+G124</f>
        <v>10300</v>
      </c>
      <c r="H120" s="1317"/>
      <c r="I120" s="1317"/>
      <c r="J120" s="1318"/>
      <c r="K120" s="1283">
        <f t="shared" ref="K120:K128" si="6">SUM(F120:J120)</f>
        <v>10300</v>
      </c>
      <c r="L120" s="1284"/>
      <c r="M120" s="246">
        <f>G120-'F.P y DL'!G522</f>
        <v>0</v>
      </c>
      <c r="P120" s="246"/>
    </row>
    <row r="121" spans="1:16" hidden="1" x14ac:dyDescent="0.2">
      <c r="A121" s="382">
        <v>562</v>
      </c>
      <c r="B121" s="381" t="s">
        <v>97</v>
      </c>
      <c r="C121" s="1238">
        <f>SUM(C122:C123)</f>
        <v>0</v>
      </c>
      <c r="D121" s="1239">
        <f>SUM(D122:D123)</f>
        <v>0</v>
      </c>
      <c r="E121" s="1239">
        <f>SUM(E122:E123)</f>
        <v>0</v>
      </c>
      <c r="F121" s="1261">
        <f t="shared" si="4"/>
        <v>0</v>
      </c>
      <c r="G121" s="1320">
        <f>SUM(G122:G123)</f>
        <v>0</v>
      </c>
      <c r="H121" s="1321"/>
      <c r="I121" s="1321"/>
      <c r="J121" s="1322"/>
      <c r="K121" s="1323">
        <f t="shared" si="6"/>
        <v>0</v>
      </c>
      <c r="L121" s="1324"/>
      <c r="P121" s="246"/>
    </row>
    <row r="122" spans="1:16" hidden="1" x14ac:dyDescent="0.2">
      <c r="A122" s="367">
        <v>56201</v>
      </c>
      <c r="B122" s="337" t="s">
        <v>445</v>
      </c>
      <c r="C122" s="1289"/>
      <c r="D122" s="1290">
        <v>0</v>
      </c>
      <c r="E122" s="1290">
        <v>0</v>
      </c>
      <c r="F122" s="1261">
        <f t="shared" si="4"/>
        <v>0</v>
      </c>
      <c r="G122" s="1294">
        <v>0</v>
      </c>
      <c r="H122" s="1317"/>
      <c r="I122" s="1317"/>
      <c r="J122" s="1318"/>
      <c r="K122" s="1287">
        <f t="shared" si="6"/>
        <v>0</v>
      </c>
      <c r="L122" s="1288"/>
      <c r="P122" s="246"/>
    </row>
    <row r="123" spans="1:16" ht="22.5" hidden="1" x14ac:dyDescent="0.2">
      <c r="A123" s="1304">
        <v>56201</v>
      </c>
      <c r="B123" s="383" t="s">
        <v>595</v>
      </c>
      <c r="C123" s="1325">
        <f>'F.P y DL'!F88</f>
        <v>0</v>
      </c>
      <c r="D123" s="1305">
        <f>'F.P y DL'!D525</f>
        <v>0</v>
      </c>
      <c r="E123" s="1305">
        <f>'F.P y DL'!E525</f>
        <v>0</v>
      </c>
      <c r="F123" s="1261">
        <f t="shared" si="4"/>
        <v>0</v>
      </c>
      <c r="G123" s="1326">
        <f>'F.P y DL'!G525</f>
        <v>0</v>
      </c>
      <c r="H123" s="1321"/>
      <c r="I123" s="1321"/>
      <c r="J123" s="1322"/>
      <c r="K123" s="1309">
        <f t="shared" si="6"/>
        <v>0</v>
      </c>
      <c r="L123" s="1310"/>
      <c r="P123" s="246"/>
    </row>
    <row r="124" spans="1:16" x14ac:dyDescent="0.2">
      <c r="A124" s="382">
        <v>563</v>
      </c>
      <c r="B124" s="381" t="s">
        <v>99</v>
      </c>
      <c r="C124" s="1238">
        <f>SUM(C125:C126)</f>
        <v>0</v>
      </c>
      <c r="D124" s="1239">
        <f>SUM(D125:D126)</f>
        <v>0</v>
      </c>
      <c r="E124" s="1239">
        <f>SUM(E125:E126)</f>
        <v>0</v>
      </c>
      <c r="F124" s="1261">
        <f t="shared" si="4"/>
        <v>0</v>
      </c>
      <c r="G124" s="1320">
        <f>SUM(G125:G126)</f>
        <v>10300</v>
      </c>
      <c r="H124" s="1321"/>
      <c r="I124" s="1321"/>
      <c r="J124" s="1322"/>
      <c r="K124" s="1323">
        <f t="shared" si="6"/>
        <v>10300</v>
      </c>
      <c r="L124" s="1324"/>
      <c r="P124" s="246"/>
    </row>
    <row r="125" spans="1:16" x14ac:dyDescent="0.2">
      <c r="A125" s="367">
        <v>56303</v>
      </c>
      <c r="B125" s="337" t="s">
        <v>98</v>
      </c>
      <c r="C125" s="1289">
        <v>0</v>
      </c>
      <c r="D125" s="1290">
        <v>0</v>
      </c>
      <c r="E125" s="1290">
        <v>0</v>
      </c>
      <c r="F125" s="1261">
        <f t="shared" si="4"/>
        <v>0</v>
      </c>
      <c r="G125" s="1294">
        <f>'F.P y DL'!G527</f>
        <v>1500</v>
      </c>
      <c r="H125" s="1317"/>
      <c r="I125" s="1317"/>
      <c r="J125" s="1318"/>
      <c r="K125" s="1287">
        <f t="shared" si="6"/>
        <v>1500</v>
      </c>
      <c r="L125" s="1288"/>
      <c r="P125" s="246"/>
    </row>
    <row r="126" spans="1:16" x14ac:dyDescent="0.2">
      <c r="A126" s="367">
        <v>56304</v>
      </c>
      <c r="B126" s="337" t="s">
        <v>100</v>
      </c>
      <c r="C126" s="1289">
        <f>'F.P y DL'!F91</f>
        <v>0</v>
      </c>
      <c r="D126" s="1290">
        <f>'F.P y DL'!D528</f>
        <v>0</v>
      </c>
      <c r="E126" s="1290">
        <f>'F.P y DL'!E528</f>
        <v>0</v>
      </c>
      <c r="F126" s="1261">
        <f t="shared" si="4"/>
        <v>0</v>
      </c>
      <c r="G126" s="1294">
        <f>'F.P y DL'!G528</f>
        <v>8800</v>
      </c>
      <c r="H126" s="1317"/>
      <c r="I126" s="1317"/>
      <c r="J126" s="1318"/>
      <c r="K126" s="1287">
        <f t="shared" si="6"/>
        <v>8800</v>
      </c>
      <c r="L126" s="1288"/>
      <c r="P126" s="246"/>
    </row>
    <row r="127" spans="1:16" x14ac:dyDescent="0.2">
      <c r="A127" s="367"/>
      <c r="B127" s="337"/>
      <c r="C127" s="1289"/>
      <c r="D127" s="1290"/>
      <c r="E127" s="1290"/>
      <c r="F127" s="1261"/>
      <c r="G127" s="1294"/>
      <c r="H127" s="1317"/>
      <c r="I127" s="1317"/>
      <c r="J127" s="1318"/>
      <c r="K127" s="1287"/>
      <c r="L127" s="1288"/>
      <c r="P127" s="246"/>
    </row>
    <row r="128" spans="1:16" hidden="1" x14ac:dyDescent="0.2">
      <c r="A128" s="368" t="s">
        <v>160</v>
      </c>
      <c r="B128" s="369" t="s">
        <v>161</v>
      </c>
      <c r="C128" s="1295">
        <f>C142</f>
        <v>0</v>
      </c>
      <c r="D128" s="1296">
        <f>D142</f>
        <v>0</v>
      </c>
      <c r="E128" s="1296">
        <f>E142</f>
        <v>0</v>
      </c>
      <c r="F128" s="1261">
        <f t="shared" si="4"/>
        <v>0</v>
      </c>
      <c r="G128" s="1297">
        <f>G142+G129</f>
        <v>0</v>
      </c>
      <c r="H128" s="1317"/>
      <c r="I128" s="1317"/>
      <c r="J128" s="1318"/>
      <c r="K128" s="1283">
        <f t="shared" si="6"/>
        <v>0</v>
      </c>
      <c r="L128" s="1284"/>
    </row>
    <row r="129" spans="1:15" ht="12.75" hidden="1" customHeight="1" x14ac:dyDescent="0.2">
      <c r="A129" s="368" t="s">
        <v>162</v>
      </c>
      <c r="B129" s="369" t="s">
        <v>163</v>
      </c>
      <c r="C129" s="1295"/>
      <c r="D129" s="1296"/>
      <c r="E129" s="1296"/>
      <c r="F129" s="1249">
        <f t="shared" si="4"/>
        <v>0</v>
      </c>
      <c r="G129" s="1294">
        <f>SUM(G130:G137)</f>
        <v>0</v>
      </c>
      <c r="H129" s="1317"/>
      <c r="I129" s="1317"/>
      <c r="J129" s="1318"/>
      <c r="K129" s="1283">
        <f t="shared" ref="K129:K147" si="7">SUM(F129:J129)</f>
        <v>0</v>
      </c>
      <c r="L129" s="1284"/>
    </row>
    <row r="130" spans="1:15" ht="12.75" hidden="1" customHeight="1" x14ac:dyDescent="0.2">
      <c r="A130" s="1245" t="s">
        <v>164</v>
      </c>
      <c r="B130" s="1327" t="s">
        <v>165</v>
      </c>
      <c r="C130" s="1289"/>
      <c r="D130" s="1290"/>
      <c r="E130" s="1290"/>
      <c r="F130" s="1249">
        <f t="shared" si="4"/>
        <v>0</v>
      </c>
      <c r="G130" s="1294">
        <f>'F.P y DL'!G532</f>
        <v>0</v>
      </c>
      <c r="H130" s="1317"/>
      <c r="I130" s="1317"/>
      <c r="J130" s="1318"/>
      <c r="K130" s="1287">
        <f t="shared" si="7"/>
        <v>0</v>
      </c>
      <c r="L130" s="1288"/>
    </row>
    <row r="131" spans="1:15" ht="12.75" hidden="1" customHeight="1" x14ac:dyDescent="0.2">
      <c r="A131" s="1245" t="s">
        <v>166</v>
      </c>
      <c r="B131" s="1327" t="s">
        <v>167</v>
      </c>
      <c r="C131" s="1289"/>
      <c r="D131" s="1290"/>
      <c r="E131" s="1290"/>
      <c r="F131" s="1249">
        <f t="shared" si="4"/>
        <v>0</v>
      </c>
      <c r="G131" s="1294"/>
      <c r="H131" s="1317"/>
      <c r="I131" s="1317"/>
      <c r="J131" s="1318"/>
      <c r="K131" s="1287">
        <f t="shared" si="7"/>
        <v>0</v>
      </c>
      <c r="L131" s="1288"/>
    </row>
    <row r="132" spans="1:15" ht="12.75" hidden="1" customHeight="1" x14ac:dyDescent="0.2">
      <c r="A132" s="1245" t="s">
        <v>168</v>
      </c>
      <c r="B132" s="1327" t="s">
        <v>169</v>
      </c>
      <c r="C132" s="1289"/>
      <c r="D132" s="1290"/>
      <c r="E132" s="1290"/>
      <c r="F132" s="1249">
        <f t="shared" si="4"/>
        <v>0</v>
      </c>
      <c r="G132" s="1294"/>
      <c r="H132" s="1317"/>
      <c r="I132" s="1317"/>
      <c r="J132" s="1318"/>
      <c r="K132" s="1287">
        <f t="shared" si="7"/>
        <v>0</v>
      </c>
      <c r="L132" s="1288"/>
    </row>
    <row r="133" spans="1:15" ht="12.75" hidden="1" customHeight="1" x14ac:dyDescent="0.2">
      <c r="A133" s="1245" t="s">
        <v>170</v>
      </c>
      <c r="B133" s="1327" t="s">
        <v>171</v>
      </c>
      <c r="C133" s="1289"/>
      <c r="D133" s="1290"/>
      <c r="E133" s="1290"/>
      <c r="F133" s="1249">
        <f t="shared" si="4"/>
        <v>0</v>
      </c>
      <c r="G133" s="1294"/>
      <c r="H133" s="1317"/>
      <c r="I133" s="1317"/>
      <c r="J133" s="1318"/>
      <c r="K133" s="1287">
        <f t="shared" si="7"/>
        <v>0</v>
      </c>
      <c r="L133" s="1288"/>
    </row>
    <row r="134" spans="1:15" ht="12.75" hidden="1" customHeight="1" x14ac:dyDescent="0.2">
      <c r="A134" s="1245" t="s">
        <v>172</v>
      </c>
      <c r="B134" s="1327" t="s">
        <v>173</v>
      </c>
      <c r="C134" s="1289"/>
      <c r="D134" s="1290"/>
      <c r="E134" s="1290"/>
      <c r="F134" s="1249">
        <f t="shared" si="4"/>
        <v>0</v>
      </c>
      <c r="G134" s="1294"/>
      <c r="H134" s="1317"/>
      <c r="I134" s="1317"/>
      <c r="J134" s="1318"/>
      <c r="K134" s="1287">
        <f t="shared" si="7"/>
        <v>0</v>
      </c>
      <c r="L134" s="1288"/>
    </row>
    <row r="135" spans="1:15" ht="12.75" hidden="1" customHeight="1" x14ac:dyDescent="0.2">
      <c r="A135" s="1245" t="s">
        <v>174</v>
      </c>
      <c r="B135" s="1327" t="s">
        <v>175</v>
      </c>
      <c r="C135" s="1289"/>
      <c r="D135" s="1290"/>
      <c r="E135" s="1290"/>
      <c r="F135" s="1249">
        <f t="shared" si="4"/>
        <v>0</v>
      </c>
      <c r="G135" s="1294"/>
      <c r="H135" s="1317"/>
      <c r="I135" s="1317"/>
      <c r="J135" s="1318"/>
      <c r="K135" s="1287">
        <f t="shared" si="7"/>
        <v>0</v>
      </c>
      <c r="L135" s="1288"/>
    </row>
    <row r="136" spans="1:15" ht="12.75" hidden="1" customHeight="1" x14ac:dyDescent="0.2">
      <c r="A136" s="1245" t="s">
        <v>176</v>
      </c>
      <c r="B136" s="1327" t="s">
        <v>177</v>
      </c>
      <c r="C136" s="1289"/>
      <c r="D136" s="1290"/>
      <c r="E136" s="1290"/>
      <c r="F136" s="1249">
        <f t="shared" si="4"/>
        <v>0</v>
      </c>
      <c r="G136" s="1294"/>
      <c r="H136" s="1317"/>
      <c r="I136" s="1317"/>
      <c r="J136" s="1318"/>
      <c r="K136" s="1287">
        <f t="shared" si="7"/>
        <v>0</v>
      </c>
      <c r="L136" s="1288"/>
    </row>
    <row r="137" spans="1:15" ht="12.75" hidden="1" customHeight="1" x14ac:dyDescent="0.2">
      <c r="A137" s="1245" t="s">
        <v>178</v>
      </c>
      <c r="B137" s="1327" t="s">
        <v>179</v>
      </c>
      <c r="C137" s="1289"/>
      <c r="D137" s="1290"/>
      <c r="E137" s="1290"/>
      <c r="F137" s="1249">
        <f t="shared" si="4"/>
        <v>0</v>
      </c>
      <c r="G137" s="1294">
        <f>'F.P y DL'!G533</f>
        <v>0</v>
      </c>
      <c r="H137" s="1317"/>
      <c r="I137" s="1317"/>
      <c r="J137" s="1318"/>
      <c r="K137" s="1287">
        <f t="shared" si="7"/>
        <v>0</v>
      </c>
      <c r="L137" s="1288"/>
    </row>
    <row r="138" spans="1:15" x14ac:dyDescent="0.2">
      <c r="A138" s="326">
        <v>64</v>
      </c>
      <c r="B138" s="327" t="s">
        <v>161</v>
      </c>
      <c r="C138" s="1328" t="e">
        <f>SUM(C139:C143)</f>
        <v>#REF!</v>
      </c>
      <c r="D138" s="1296">
        <f>D139+D142</f>
        <v>0</v>
      </c>
      <c r="E138" s="1296">
        <f>E139+E142</f>
        <v>0</v>
      </c>
      <c r="F138" s="1261">
        <f>F139</f>
        <v>468</v>
      </c>
      <c r="G138" s="1297">
        <f>G139+G142</f>
        <v>0</v>
      </c>
      <c r="H138" s="1317"/>
      <c r="I138" s="1317"/>
      <c r="J138" s="1318"/>
      <c r="K138" s="1283">
        <f t="shared" si="7"/>
        <v>468</v>
      </c>
      <c r="M138" s="1221"/>
      <c r="N138" s="1221"/>
      <c r="O138" s="1221"/>
    </row>
    <row r="139" spans="1:15" x14ac:dyDescent="0.2">
      <c r="A139" s="326">
        <v>614</v>
      </c>
      <c r="B139" s="327" t="s">
        <v>866</v>
      </c>
      <c r="C139" s="1328" t="e">
        <f t="shared" ref="C139" si="8">#REF!+C31</f>
        <v>#REF!</v>
      </c>
      <c r="D139" s="1239">
        <f>SUM(D140:D141)</f>
        <v>0</v>
      </c>
      <c r="E139" s="1239">
        <f>SUM(E140:E141)</f>
        <v>0</v>
      </c>
      <c r="F139" s="1261">
        <f>F140</f>
        <v>468</v>
      </c>
      <c r="G139" s="1320">
        <f>SUM(G140:G141)</f>
        <v>0</v>
      </c>
      <c r="H139" s="1321"/>
      <c r="I139" s="1321"/>
      <c r="J139" s="1322"/>
      <c r="K139" s="1323">
        <f t="shared" si="7"/>
        <v>468</v>
      </c>
      <c r="M139" s="1221"/>
      <c r="N139" s="1221"/>
      <c r="O139" s="1221"/>
    </row>
    <row r="140" spans="1:15" x14ac:dyDescent="0.2">
      <c r="A140" s="367">
        <v>61403</v>
      </c>
      <c r="B140" s="337" t="s">
        <v>867</v>
      </c>
      <c r="C140" s="1329">
        <v>468</v>
      </c>
      <c r="D140" s="1290">
        <v>0</v>
      </c>
      <c r="E140" s="1290">
        <v>0</v>
      </c>
      <c r="F140" s="1249">
        <f>'F.P y DL'!G419</f>
        <v>468</v>
      </c>
      <c r="G140" s="1294">
        <v>0</v>
      </c>
      <c r="H140" s="1317"/>
      <c r="I140" s="1317"/>
      <c r="J140" s="1318"/>
      <c r="K140" s="1287">
        <f t="shared" si="7"/>
        <v>468</v>
      </c>
      <c r="M140" s="1221"/>
      <c r="N140" s="1221"/>
      <c r="O140" s="1221"/>
    </row>
    <row r="141" spans="1:15" x14ac:dyDescent="0.2">
      <c r="A141" s="367"/>
      <c r="B141" s="337"/>
      <c r="C141" s="1329"/>
      <c r="D141" s="1305"/>
      <c r="E141" s="1305"/>
      <c r="F141" s="1261"/>
      <c r="G141" s="1326"/>
      <c r="H141" s="1321"/>
      <c r="I141" s="1321"/>
      <c r="J141" s="1322"/>
      <c r="K141" s="1309"/>
      <c r="M141" s="1221"/>
      <c r="N141" s="1221"/>
      <c r="O141" s="1221"/>
    </row>
    <row r="142" spans="1:15" hidden="1" x14ac:dyDescent="0.2">
      <c r="A142" s="368" t="s">
        <v>245</v>
      </c>
      <c r="B142" s="384" t="s">
        <v>197</v>
      </c>
      <c r="C142" s="1295">
        <f>C143</f>
        <v>0</v>
      </c>
      <c r="D142" s="1239">
        <f>SUM(D143:D144)</f>
        <v>0</v>
      </c>
      <c r="E142" s="1239">
        <f>SUM(E143:E144)</f>
        <v>0</v>
      </c>
      <c r="F142" s="1261">
        <f t="shared" ref="F142" si="9">D142+E142</f>
        <v>0</v>
      </c>
      <c r="G142" s="1320">
        <f>SUM(G143:G144)</f>
        <v>0</v>
      </c>
      <c r="H142" s="1321"/>
      <c r="I142" s="1321"/>
      <c r="J142" s="1322"/>
      <c r="K142" s="1323">
        <f t="shared" si="7"/>
        <v>0</v>
      </c>
      <c r="L142" s="1284"/>
    </row>
    <row r="143" spans="1:15" ht="22.5" hidden="1" x14ac:dyDescent="0.2">
      <c r="A143" s="1245" t="s">
        <v>246</v>
      </c>
      <c r="B143" s="383" t="s">
        <v>247</v>
      </c>
      <c r="C143" s="1289">
        <f>'F.P y DL'!F98</f>
        <v>0</v>
      </c>
      <c r="D143" s="1290">
        <f>'F.P y DL'!D543</f>
        <v>0</v>
      </c>
      <c r="E143" s="1290">
        <f>'F.P y DL'!E543</f>
        <v>0</v>
      </c>
      <c r="F143" s="1261">
        <f>D143+E143</f>
        <v>0</v>
      </c>
      <c r="G143" s="1294">
        <f>'F.P y DL'!G543</f>
        <v>0</v>
      </c>
      <c r="H143" s="1317"/>
      <c r="I143" s="1317"/>
      <c r="J143" s="1318"/>
      <c r="K143" s="1287">
        <f>SUM(F143:F143)</f>
        <v>0</v>
      </c>
      <c r="L143" s="1288"/>
    </row>
    <row r="144" spans="1:15" x14ac:dyDescent="0.2">
      <c r="A144" s="368"/>
      <c r="B144" s="1327"/>
      <c r="C144" s="1289"/>
      <c r="D144" s="1290"/>
      <c r="E144" s="1290"/>
      <c r="F144" s="1261">
        <f>D144+E144</f>
        <v>0</v>
      </c>
      <c r="G144" s="1294"/>
      <c r="H144" s="1317"/>
      <c r="I144" s="1317"/>
      <c r="J144" s="1318"/>
      <c r="K144" s="1287"/>
      <c r="L144" s="1288"/>
    </row>
    <row r="145" spans="1:15" ht="12.75" customHeight="1" x14ac:dyDescent="0.2">
      <c r="A145" s="326">
        <v>72</v>
      </c>
      <c r="B145" s="327" t="s">
        <v>13</v>
      </c>
      <c r="C145" s="1295">
        <f t="shared" ref="C145:E146" si="10">C146</f>
        <v>0</v>
      </c>
      <c r="D145" s="1296">
        <f t="shared" si="10"/>
        <v>0</v>
      </c>
      <c r="E145" s="1296">
        <f t="shared" si="10"/>
        <v>0</v>
      </c>
      <c r="F145" s="1261">
        <f t="shared" si="4"/>
        <v>0</v>
      </c>
      <c r="G145" s="1297">
        <f>G146</f>
        <v>61546.59</v>
      </c>
      <c r="H145" s="1317"/>
      <c r="I145" s="1317"/>
      <c r="J145" s="1318"/>
      <c r="K145" s="1283">
        <f t="shared" si="7"/>
        <v>61546.59</v>
      </c>
      <c r="L145" s="1284"/>
      <c r="M145" s="246">
        <f>G145-'F.P y DL'!G538</f>
        <v>0</v>
      </c>
    </row>
    <row r="146" spans="1:15" ht="22.5" customHeight="1" x14ac:dyDescent="0.2">
      <c r="A146" s="382">
        <v>721</v>
      </c>
      <c r="B146" s="381" t="s">
        <v>180</v>
      </c>
      <c r="C146" s="1238">
        <f t="shared" si="10"/>
        <v>0</v>
      </c>
      <c r="D146" s="1239">
        <f t="shared" si="10"/>
        <v>0</v>
      </c>
      <c r="E146" s="1239">
        <f t="shared" si="10"/>
        <v>0</v>
      </c>
      <c r="F146" s="1261">
        <f t="shared" si="4"/>
        <v>0</v>
      </c>
      <c r="G146" s="1320">
        <f>G147</f>
        <v>61546.59</v>
      </c>
      <c r="H146" s="1321"/>
      <c r="I146" s="1321"/>
      <c r="J146" s="1322"/>
      <c r="K146" s="1323">
        <f t="shared" si="7"/>
        <v>61546.59</v>
      </c>
      <c r="L146" s="1324"/>
    </row>
    <row r="147" spans="1:15" ht="22.5" customHeight="1" thickBot="1" x14ac:dyDescent="0.25">
      <c r="A147" s="1304">
        <v>72101</v>
      </c>
      <c r="B147" s="383" t="s">
        <v>180</v>
      </c>
      <c r="C147" s="1325">
        <f>'F.P y DL'!F93</f>
        <v>0</v>
      </c>
      <c r="D147" s="1305">
        <f>'F.P y DL'!G203</f>
        <v>0</v>
      </c>
      <c r="E147" s="1305">
        <f>'F.P y DL'!E539</f>
        <v>0</v>
      </c>
      <c r="F147" s="1261">
        <f t="shared" ref="F147:F151" si="11">D147+E147</f>
        <v>0</v>
      </c>
      <c r="G147" s="1326">
        <f>'F.P y DL'!G539</f>
        <v>61546.59</v>
      </c>
      <c r="H147" s="1321"/>
      <c r="I147" s="1321"/>
      <c r="J147" s="1322"/>
      <c r="K147" s="1309">
        <f t="shared" si="7"/>
        <v>61546.59</v>
      </c>
      <c r="L147" s="1310"/>
    </row>
    <row r="148" spans="1:15" ht="12" hidden="1" thickBot="1" x14ac:dyDescent="0.25">
      <c r="A148" s="367"/>
      <c r="B148" s="337"/>
      <c r="C148" s="1289"/>
      <c r="D148" s="1290"/>
      <c r="E148" s="1290"/>
      <c r="F148" s="1261">
        <f t="shared" si="11"/>
        <v>0</v>
      </c>
      <c r="G148" s="1294"/>
      <c r="H148" s="1317"/>
      <c r="I148" s="1317"/>
      <c r="J148" s="1318"/>
      <c r="K148" s="1287"/>
      <c r="L148" s="1288"/>
    </row>
    <row r="149" spans="1:15" ht="12" hidden="1" thickBot="1" x14ac:dyDescent="0.25">
      <c r="A149" s="326">
        <v>99</v>
      </c>
      <c r="B149" s="327" t="s">
        <v>181</v>
      </c>
      <c r="C149" s="1295"/>
      <c r="D149" s="1296"/>
      <c r="E149" s="1296"/>
      <c r="F149" s="1261">
        <f t="shared" si="11"/>
        <v>0</v>
      </c>
      <c r="G149" s="1297"/>
      <c r="H149" s="1317"/>
      <c r="I149" s="1317"/>
      <c r="J149" s="1318"/>
      <c r="K149" s="1283">
        <f>SUM(F149:J149)</f>
        <v>0</v>
      </c>
      <c r="L149" s="1284"/>
    </row>
    <row r="150" spans="1:15" ht="12" hidden="1" thickBot="1" x14ac:dyDescent="0.25">
      <c r="A150" s="326">
        <v>991</v>
      </c>
      <c r="B150" s="381" t="s">
        <v>182</v>
      </c>
      <c r="C150" s="711"/>
      <c r="D150" s="1296"/>
      <c r="E150" s="1296"/>
      <c r="F150" s="1261">
        <f t="shared" si="11"/>
        <v>0</v>
      </c>
      <c r="G150" s="1297"/>
      <c r="H150" s="1317"/>
      <c r="I150" s="1317"/>
      <c r="J150" s="1318"/>
      <c r="K150" s="1283">
        <f>SUM(F150:J150)</f>
        <v>0</v>
      </c>
      <c r="L150" s="1284"/>
    </row>
    <row r="151" spans="1:15" ht="12" hidden="1" thickBot="1" x14ac:dyDescent="0.25">
      <c r="A151" s="1330">
        <v>99101</v>
      </c>
      <c r="B151" s="1331" t="s">
        <v>182</v>
      </c>
      <c r="C151" s="1332"/>
      <c r="D151" s="1333"/>
      <c r="E151" s="1333"/>
      <c r="F151" s="1261">
        <f t="shared" si="11"/>
        <v>0</v>
      </c>
      <c r="G151" s="1334"/>
      <c r="H151" s="1335"/>
      <c r="I151" s="1335"/>
      <c r="J151" s="1336"/>
      <c r="K151" s="1337">
        <f>SUM(F151:J151)</f>
        <v>0</v>
      </c>
      <c r="L151" s="1288"/>
    </row>
    <row r="152" spans="1:15" ht="12" thickBot="1" x14ac:dyDescent="0.25">
      <c r="A152" s="1338"/>
      <c r="B152" s="1227" t="s">
        <v>183</v>
      </c>
      <c r="C152" s="1339">
        <f t="shared" ref="C152:K152" si="12">+C149+C145+C128+C120+C103+C47+C13</f>
        <v>0</v>
      </c>
      <c r="D152" s="1339">
        <f t="shared" si="12"/>
        <v>0</v>
      </c>
      <c r="E152" s="1339">
        <f t="shared" si="12"/>
        <v>0</v>
      </c>
      <c r="F152" s="1339">
        <f>+F149+F145+F128+F120+F103+F47+F138+F13</f>
        <v>379421.03599999996</v>
      </c>
      <c r="G152" s="1339">
        <f t="shared" si="12"/>
        <v>541260.52</v>
      </c>
      <c r="H152" s="1340">
        <f t="shared" si="12"/>
        <v>0</v>
      </c>
      <c r="I152" s="1340">
        <f t="shared" si="12"/>
        <v>0</v>
      </c>
      <c r="J152" s="1341">
        <f t="shared" si="12"/>
        <v>0</v>
      </c>
      <c r="K152" s="1342">
        <f t="shared" si="12"/>
        <v>920213.55599999987</v>
      </c>
      <c r="L152" s="1343"/>
    </row>
    <row r="153" spans="1:15" x14ac:dyDescent="0.2">
      <c r="A153" s="1344"/>
      <c r="C153" s="386"/>
      <c r="D153" s="386"/>
      <c r="E153" s="386"/>
      <c r="F153" s="386"/>
      <c r="G153" s="387"/>
      <c r="H153" s="1345"/>
      <c r="I153" s="1345"/>
      <c r="J153" s="1345"/>
      <c r="K153" s="1345"/>
      <c r="L153" s="1345"/>
    </row>
    <row r="154" spans="1:15" s="1344" customFormat="1" x14ac:dyDescent="0.2">
      <c r="B154" s="1344" t="s">
        <v>287</v>
      </c>
      <c r="C154" s="953"/>
      <c r="D154" s="953">
        <f>'ING. REALES'!F75-'AG3'!M69</f>
        <v>-232802.22999999899</v>
      </c>
      <c r="E154" s="953">
        <f>'ING. REALES'!G75</f>
        <v>370929.54</v>
      </c>
      <c r="F154" s="953">
        <f>'ING. REALES'!H75</f>
        <v>379421.04</v>
      </c>
      <c r="G154" s="954">
        <f>'ING. REALES'!O75</f>
        <v>541260.5199999999</v>
      </c>
      <c r="K154" s="954"/>
      <c r="L154" s="954"/>
      <c r="M154" s="928"/>
      <c r="N154" s="928"/>
      <c r="O154" s="928"/>
    </row>
    <row r="155" spans="1:15" s="1344" customFormat="1" x14ac:dyDescent="0.2">
      <c r="C155" s="953"/>
      <c r="D155" s="953"/>
      <c r="E155" s="953"/>
      <c r="F155" s="953"/>
      <c r="G155" s="954"/>
      <c r="M155" s="928"/>
      <c r="N155" s="928"/>
      <c r="O155" s="928"/>
    </row>
    <row r="156" spans="1:15" s="1344" customFormat="1" x14ac:dyDescent="0.2">
      <c r="B156" s="952" t="s">
        <v>706</v>
      </c>
      <c r="C156" s="953"/>
      <c r="D156" s="953">
        <f>D154-D152</f>
        <v>-232802.22999999899</v>
      </c>
      <c r="E156" s="953">
        <f>E154-E152</f>
        <v>370929.54</v>
      </c>
      <c r="F156" s="953">
        <f>+F154-F152</f>
        <v>4.0000000153668225E-3</v>
      </c>
      <c r="G156" s="954">
        <f>G154-G152</f>
        <v>0</v>
      </c>
      <c r="M156" s="928"/>
      <c r="N156" s="928"/>
      <c r="O156" s="928"/>
    </row>
    <row r="157" spans="1:15" s="1344" customFormat="1" x14ac:dyDescent="0.2">
      <c r="B157" s="1348"/>
      <c r="C157" s="953"/>
      <c r="D157" s="953"/>
      <c r="E157" s="953"/>
      <c r="F157" s="953"/>
      <c r="G157" s="954"/>
      <c r="M157" s="928"/>
      <c r="N157" s="928"/>
      <c r="O157" s="928"/>
    </row>
    <row r="158" spans="1:15" s="1344" customFormat="1" x14ac:dyDescent="0.2">
      <c r="C158" s="953"/>
      <c r="D158" s="953"/>
      <c r="E158" s="953"/>
      <c r="F158" s="953"/>
      <c r="G158" s="954"/>
      <c r="M158" s="928"/>
      <c r="N158" s="928"/>
      <c r="O158" s="928"/>
    </row>
    <row r="159" spans="1:15" s="1344" customFormat="1" x14ac:dyDescent="0.2">
      <c r="C159" s="953"/>
      <c r="D159" s="953"/>
      <c r="E159" s="953"/>
      <c r="F159" s="953"/>
      <c r="G159" s="954"/>
      <c r="M159" s="928"/>
      <c r="N159" s="928"/>
      <c r="O159" s="928"/>
    </row>
    <row r="160" spans="1:15" s="1344" customFormat="1" x14ac:dyDescent="0.2">
      <c r="C160" s="953"/>
      <c r="D160" s="953"/>
      <c r="E160" s="953"/>
      <c r="F160" s="953"/>
      <c r="G160" s="954"/>
      <c r="M160" s="928"/>
      <c r="N160" s="928"/>
      <c r="O160" s="928"/>
    </row>
    <row r="161" spans="3:15" s="1344" customFormat="1" x14ac:dyDescent="0.2">
      <c r="C161" s="953"/>
      <c r="D161" s="953"/>
      <c r="E161" s="953"/>
      <c r="F161" s="953"/>
      <c r="G161" s="954"/>
      <c r="M161" s="928"/>
      <c r="N161" s="928"/>
      <c r="O161" s="928"/>
    </row>
    <row r="162" spans="3:15" s="1344" customFormat="1" x14ac:dyDescent="0.2">
      <c r="C162" s="953"/>
      <c r="D162" s="953"/>
      <c r="E162" s="953"/>
      <c r="F162" s="953"/>
      <c r="G162" s="954"/>
      <c r="M162" s="928"/>
      <c r="N162" s="928"/>
      <c r="O162" s="928"/>
    </row>
    <row r="163" spans="3:15" s="1344" customFormat="1" x14ac:dyDescent="0.2">
      <c r="C163" s="953"/>
      <c r="D163" s="953"/>
      <c r="E163" s="953"/>
      <c r="F163" s="953"/>
      <c r="G163" s="954"/>
      <c r="M163" s="928"/>
      <c r="N163" s="928"/>
      <c r="O163" s="928"/>
    </row>
  </sheetData>
  <mergeCells count="2">
    <mergeCell ref="A11:B11"/>
    <mergeCell ref="K11:K12"/>
  </mergeCells>
  <phoneticPr fontId="8" type="noConversion"/>
  <printOptions horizontalCentered="1"/>
  <pageMargins left="0.94488188976377963" right="0.94488188976377963" top="0.94488188976377963" bottom="0.74803149606299213" header="0" footer="0"/>
  <pageSetup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indexed="22"/>
  </sheetPr>
  <dimension ref="A1:X139"/>
  <sheetViews>
    <sheetView showGridLines="0" topLeftCell="D55" zoomScale="115" zoomScaleNormal="115" workbookViewId="0">
      <selection activeCell="G73" sqref="G73"/>
    </sheetView>
  </sheetViews>
  <sheetFormatPr baseColWidth="10" defaultRowHeight="12.75" x14ac:dyDescent="0.2"/>
  <cols>
    <col min="1" max="1" width="0.85546875" customWidth="1"/>
    <col min="2" max="2" width="6.42578125" style="391" customWidth="1"/>
    <col min="3" max="3" width="7.42578125" style="392" customWidth="1"/>
    <col min="4" max="4" width="47.7109375" style="7" customWidth="1"/>
    <col min="5" max="7" width="11.7109375" customWidth="1"/>
    <col min="8" max="12" width="11.85546875" customWidth="1"/>
    <col min="13" max="14" width="11.7109375" customWidth="1"/>
    <col min="15" max="18" width="11.7109375" hidden="1" customWidth="1"/>
    <col min="19" max="21" width="11.7109375" customWidth="1"/>
    <col min="22" max="22" width="12.7109375" customWidth="1"/>
    <col min="23" max="23" width="12.28515625" bestFit="1" customWidth="1"/>
    <col min="24" max="24" width="15" customWidth="1"/>
  </cols>
  <sheetData>
    <row r="1" spans="1:22" ht="15.75" x14ac:dyDescent="0.25">
      <c r="B1" s="813" t="s">
        <v>185</v>
      </c>
      <c r="C1" s="813"/>
      <c r="D1" s="813"/>
      <c r="E1" s="813"/>
      <c r="F1" s="813"/>
      <c r="G1" s="813"/>
      <c r="H1" s="813"/>
      <c r="I1" s="813"/>
      <c r="J1" s="813"/>
      <c r="K1" s="813"/>
      <c r="L1" s="813"/>
      <c r="M1" s="813"/>
      <c r="N1" s="813"/>
      <c r="O1" s="813"/>
      <c r="P1" s="813"/>
      <c r="Q1" s="813"/>
      <c r="R1" s="813"/>
      <c r="S1" s="813"/>
      <c r="T1" s="813"/>
      <c r="U1" s="812"/>
      <c r="V1" s="812"/>
    </row>
    <row r="2" spans="1:22" x14ac:dyDescent="0.2">
      <c r="B2" s="814" t="s">
        <v>523</v>
      </c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814"/>
      <c r="O2" s="814"/>
      <c r="P2" s="814"/>
      <c r="Q2" s="814"/>
      <c r="R2" s="814"/>
      <c r="S2" s="814"/>
      <c r="T2" s="814"/>
      <c r="U2" s="811"/>
      <c r="V2" s="811"/>
    </row>
    <row r="3" spans="1:22" ht="9.75" customHeight="1" x14ac:dyDescent="0.3"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</row>
    <row r="4" spans="1:22" ht="18" customHeight="1" x14ac:dyDescent="0.3">
      <c r="B4" s="815" t="s">
        <v>404</v>
      </c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5"/>
      <c r="O4" s="815"/>
      <c r="P4" s="815"/>
      <c r="Q4" s="815"/>
      <c r="R4" s="815"/>
      <c r="S4" s="815"/>
      <c r="T4" s="815"/>
      <c r="U4" s="815"/>
      <c r="V4" s="815"/>
    </row>
    <row r="5" spans="1:22" ht="18" customHeight="1" x14ac:dyDescent="0.3">
      <c r="B5" s="815" t="s">
        <v>849</v>
      </c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5"/>
      <c r="O5" s="815"/>
      <c r="P5" s="815"/>
      <c r="Q5" s="815"/>
      <c r="R5" s="815"/>
      <c r="S5" s="815"/>
      <c r="T5" s="815"/>
      <c r="U5" s="815"/>
      <c r="V5" s="815"/>
    </row>
    <row r="6" spans="1:22" ht="18" customHeight="1" x14ac:dyDescent="0.3">
      <c r="B6" s="815" t="s">
        <v>317</v>
      </c>
      <c r="C6" s="815"/>
      <c r="D6" s="815"/>
      <c r="E6" s="815"/>
      <c r="F6" s="815"/>
      <c r="G6" s="815"/>
      <c r="H6" s="815"/>
      <c r="I6" s="815"/>
      <c r="J6" s="815"/>
      <c r="K6" s="815"/>
      <c r="L6" s="815"/>
      <c r="M6" s="815"/>
      <c r="N6" s="815"/>
      <c r="O6" s="815"/>
      <c r="P6" s="815"/>
      <c r="Q6" s="815"/>
      <c r="R6" s="815"/>
      <c r="S6" s="815"/>
      <c r="T6" s="815"/>
      <c r="U6" s="815"/>
      <c r="V6" s="815"/>
    </row>
    <row r="7" spans="1:22" ht="18" customHeight="1" x14ac:dyDescent="0.3">
      <c r="B7" s="815" t="s">
        <v>318</v>
      </c>
      <c r="C7" s="815"/>
      <c r="D7" s="815"/>
      <c r="E7" s="815"/>
      <c r="F7" s="815"/>
      <c r="G7" s="815"/>
      <c r="H7" s="815"/>
      <c r="I7" s="815"/>
      <c r="J7" s="815"/>
      <c r="K7" s="815"/>
      <c r="L7" s="815"/>
      <c r="M7" s="815"/>
      <c r="N7" s="815"/>
      <c r="O7" s="815"/>
      <c r="P7" s="815"/>
      <c r="Q7" s="815"/>
      <c r="R7" s="815"/>
      <c r="S7" s="815"/>
      <c r="T7" s="815"/>
      <c r="U7" s="815"/>
      <c r="V7" s="815"/>
    </row>
    <row r="8" spans="1:22" ht="18" customHeight="1" x14ac:dyDescent="0.3">
      <c r="B8" s="815" t="s">
        <v>319</v>
      </c>
      <c r="C8" s="815"/>
      <c r="D8" s="815"/>
      <c r="E8" s="815"/>
      <c r="F8" s="815"/>
      <c r="G8" s="815"/>
      <c r="H8" s="815"/>
      <c r="I8" s="815"/>
      <c r="J8" s="815"/>
      <c r="K8" s="815"/>
      <c r="L8" s="815"/>
      <c r="M8" s="815"/>
      <c r="N8" s="815"/>
      <c r="O8" s="815"/>
      <c r="P8" s="815"/>
      <c r="Q8" s="815"/>
      <c r="R8" s="815"/>
      <c r="S8" s="815"/>
      <c r="T8" s="815"/>
      <c r="U8" s="815"/>
      <c r="V8" s="815"/>
    </row>
    <row r="9" spans="1:22" ht="10.5" customHeight="1" thickBot="1" x14ac:dyDescent="0.35"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</row>
    <row r="10" spans="1:22" ht="15.75" customHeight="1" thickBot="1" x14ac:dyDescent="0.25">
      <c r="B10" s="1494" t="s">
        <v>496</v>
      </c>
      <c r="C10" s="1497" t="s">
        <v>497</v>
      </c>
      <c r="D10" s="1500" t="s">
        <v>513</v>
      </c>
      <c r="E10" s="1503" t="s">
        <v>514</v>
      </c>
      <c r="F10" s="1504"/>
      <c r="G10" s="1504"/>
      <c r="H10" s="1504"/>
      <c r="I10" s="1504"/>
      <c r="J10" s="1504"/>
      <c r="K10" s="1504"/>
      <c r="L10" s="1504"/>
      <c r="M10" s="1504"/>
      <c r="N10" s="1504"/>
      <c r="O10" s="1504"/>
      <c r="P10" s="1504"/>
      <c r="Q10" s="1504"/>
      <c r="R10" s="1504"/>
      <c r="S10" s="1504"/>
      <c r="T10" s="1504"/>
      <c r="U10" s="1504"/>
      <c r="V10" s="1494" t="s">
        <v>515</v>
      </c>
    </row>
    <row r="11" spans="1:22" ht="15.75" customHeight="1" thickBot="1" x14ac:dyDescent="0.25">
      <c r="B11" s="1495"/>
      <c r="C11" s="1498"/>
      <c r="D11" s="1501"/>
      <c r="E11" s="1494" t="s">
        <v>614</v>
      </c>
      <c r="F11" s="1494" t="s">
        <v>605</v>
      </c>
      <c r="G11" s="1494" t="s">
        <v>697</v>
      </c>
      <c r="H11" s="880" t="s">
        <v>850</v>
      </c>
      <c r="I11" s="881"/>
      <c r="J11" s="881"/>
      <c r="K11" s="881"/>
      <c r="L11" s="881"/>
      <c r="M11" s="882"/>
      <c r="N11" s="877"/>
      <c r="O11" s="877"/>
      <c r="P11" s="877"/>
      <c r="Q11" s="877"/>
      <c r="R11" s="877"/>
      <c r="S11" s="877"/>
      <c r="T11" s="877"/>
      <c r="U11" s="877"/>
      <c r="V11" s="1495"/>
    </row>
    <row r="12" spans="1:22" ht="68.25" thickBot="1" x14ac:dyDescent="0.25">
      <c r="B12" s="1496"/>
      <c r="C12" s="1499"/>
      <c r="D12" s="1502"/>
      <c r="E12" s="1496"/>
      <c r="F12" s="1496"/>
      <c r="G12" s="1496"/>
      <c r="H12" s="879" t="s">
        <v>874</v>
      </c>
      <c r="I12" s="507" t="s">
        <v>876</v>
      </c>
      <c r="J12" s="507" t="s">
        <v>875</v>
      </c>
      <c r="K12" s="507" t="s">
        <v>877</v>
      </c>
      <c r="L12" s="507" t="s">
        <v>873</v>
      </c>
      <c r="M12" s="593" t="s">
        <v>878</v>
      </c>
      <c r="N12" s="507" t="s">
        <v>621</v>
      </c>
      <c r="O12" s="507" t="s">
        <v>622</v>
      </c>
      <c r="P12" s="507" t="s">
        <v>641</v>
      </c>
      <c r="Q12" s="507" t="s">
        <v>642</v>
      </c>
      <c r="R12" s="507" t="s">
        <v>643</v>
      </c>
      <c r="S12" s="507" t="s">
        <v>396</v>
      </c>
      <c r="T12" s="507" t="s">
        <v>691</v>
      </c>
      <c r="U12" s="593" t="s">
        <v>588</v>
      </c>
      <c r="V12" s="1496"/>
    </row>
    <row r="13" spans="1:22" x14ac:dyDescent="0.2">
      <c r="B13" s="198"/>
      <c r="C13" s="820" t="s">
        <v>419</v>
      </c>
      <c r="D13" s="561"/>
      <c r="E13" s="562"/>
      <c r="F13" s="563"/>
      <c r="G13" s="562"/>
      <c r="H13" s="563"/>
      <c r="I13" s="563"/>
      <c r="J13" s="563"/>
      <c r="K13" s="563"/>
      <c r="L13" s="563"/>
      <c r="M13" s="564"/>
      <c r="N13" s="563"/>
      <c r="O13" s="563"/>
      <c r="P13" s="563"/>
      <c r="Q13" s="563"/>
      <c r="R13" s="564"/>
      <c r="S13" s="563"/>
      <c r="T13" s="563"/>
      <c r="U13" s="564"/>
      <c r="V13" s="565"/>
    </row>
    <row r="14" spans="1:22" x14ac:dyDescent="0.2">
      <c r="A14" s="46"/>
      <c r="B14" s="198"/>
      <c r="C14" s="821" t="s">
        <v>419</v>
      </c>
      <c r="D14" s="566" t="s">
        <v>856</v>
      </c>
      <c r="E14" s="567"/>
      <c r="F14" s="568"/>
      <c r="G14" s="567">
        <f>SUM(G15:G16)</f>
        <v>0</v>
      </c>
      <c r="H14" s="573">
        <f t="shared" ref="H14:L14" si="0">SUM(H15:H16)</f>
        <v>0</v>
      </c>
      <c r="I14" s="573">
        <f t="shared" si="0"/>
        <v>0</v>
      </c>
      <c r="J14" s="573">
        <f t="shared" si="0"/>
        <v>0</v>
      </c>
      <c r="K14" s="573">
        <f t="shared" si="0"/>
        <v>2900</v>
      </c>
      <c r="L14" s="573">
        <f t="shared" si="0"/>
        <v>0</v>
      </c>
      <c r="M14" s="574">
        <f>SUM(M15:M16)</f>
        <v>2900</v>
      </c>
      <c r="N14" s="568"/>
      <c r="O14" s="568"/>
      <c r="P14" s="568"/>
      <c r="Q14" s="568"/>
      <c r="R14" s="569"/>
      <c r="S14" s="568"/>
      <c r="T14" s="568"/>
      <c r="U14" s="570"/>
      <c r="V14" s="571">
        <f t="shared" ref="V14:V21" si="1">SUM(E14:U14)</f>
        <v>5800</v>
      </c>
    </row>
    <row r="15" spans="1:22" x14ac:dyDescent="0.2">
      <c r="A15" s="46"/>
      <c r="B15" s="198">
        <v>54109</v>
      </c>
      <c r="C15" s="821" t="s">
        <v>419</v>
      </c>
      <c r="D15" s="561" t="s">
        <v>857</v>
      </c>
      <c r="E15" s="572"/>
      <c r="F15" s="568"/>
      <c r="G15" s="572"/>
      <c r="H15" s="568"/>
      <c r="I15" s="568"/>
      <c r="J15" s="568"/>
      <c r="K15" s="568">
        <v>2200</v>
      </c>
      <c r="L15" s="568"/>
      <c r="M15" s="569">
        <f>SUM(H15:L15)</f>
        <v>2200</v>
      </c>
      <c r="N15" s="568"/>
      <c r="O15" s="568"/>
      <c r="P15" s="568"/>
      <c r="Q15" s="568"/>
      <c r="R15" s="569"/>
      <c r="S15" s="568"/>
      <c r="T15" s="568"/>
      <c r="U15" s="570"/>
      <c r="V15" s="565">
        <f t="shared" si="1"/>
        <v>4400</v>
      </c>
    </row>
    <row r="16" spans="1:22" x14ac:dyDescent="0.2">
      <c r="A16" s="46"/>
      <c r="B16" s="198">
        <v>54302</v>
      </c>
      <c r="C16" s="821" t="s">
        <v>419</v>
      </c>
      <c r="D16" s="561" t="s">
        <v>858</v>
      </c>
      <c r="E16" s="572"/>
      <c r="F16" s="568"/>
      <c r="G16" s="572"/>
      <c r="H16" s="568"/>
      <c r="I16" s="568"/>
      <c r="J16" s="568"/>
      <c r="K16" s="568">
        <v>700</v>
      </c>
      <c r="L16" s="568"/>
      <c r="M16" s="569">
        <f t="shared" ref="M16" si="2">SUM(H16:L16)</f>
        <v>700</v>
      </c>
      <c r="N16" s="568"/>
      <c r="O16" s="568"/>
      <c r="P16" s="568"/>
      <c r="Q16" s="568"/>
      <c r="R16" s="569"/>
      <c r="S16" s="568"/>
      <c r="T16" s="568"/>
      <c r="U16" s="570"/>
      <c r="V16" s="565">
        <f t="shared" si="1"/>
        <v>1400</v>
      </c>
    </row>
    <row r="17" spans="1:24" x14ac:dyDescent="0.2">
      <c r="A17" s="46"/>
      <c r="B17" s="198"/>
      <c r="C17" s="821"/>
      <c r="D17" s="561"/>
      <c r="E17" s="572"/>
      <c r="F17" s="568"/>
      <c r="G17" s="572"/>
      <c r="H17" s="568"/>
      <c r="I17" s="568"/>
      <c r="J17" s="568"/>
      <c r="K17" s="568"/>
      <c r="L17" s="568"/>
      <c r="M17" s="569"/>
      <c r="N17" s="568"/>
      <c r="O17" s="568"/>
      <c r="P17" s="568"/>
      <c r="Q17" s="568"/>
      <c r="R17" s="569"/>
      <c r="S17" s="568"/>
      <c r="T17" s="568"/>
      <c r="U17" s="570"/>
      <c r="V17" s="565">
        <f t="shared" si="1"/>
        <v>0</v>
      </c>
    </row>
    <row r="18" spans="1:24" x14ac:dyDescent="0.2">
      <c r="A18" s="46"/>
      <c r="B18" s="198"/>
      <c r="C18" s="821" t="s">
        <v>419</v>
      </c>
      <c r="D18" s="566" t="s">
        <v>859</v>
      </c>
      <c r="E18" s="567"/>
      <c r="F18" s="568"/>
      <c r="G18" s="567">
        <f>SUM(G19:G20)</f>
        <v>0</v>
      </c>
      <c r="H18" s="573">
        <f t="shared" ref="H18:L18" si="3">SUM(H19:H20)</f>
        <v>39691.79</v>
      </c>
      <c r="I18" s="573">
        <f t="shared" si="3"/>
        <v>0</v>
      </c>
      <c r="J18" s="573">
        <f t="shared" si="3"/>
        <v>49199.999999999993</v>
      </c>
      <c r="K18" s="573">
        <f t="shared" si="3"/>
        <v>0</v>
      </c>
      <c r="L18" s="573">
        <f t="shared" si="3"/>
        <v>0</v>
      </c>
      <c r="M18" s="574">
        <f>SUM(M19:M20)</f>
        <v>88891.79</v>
      </c>
      <c r="N18" s="568"/>
      <c r="O18" s="568"/>
      <c r="P18" s="568"/>
      <c r="Q18" s="568"/>
      <c r="R18" s="569"/>
      <c r="S18" s="568"/>
      <c r="T18" s="568"/>
      <c r="U18" s="570"/>
      <c r="V18" s="571">
        <f t="shared" si="1"/>
        <v>177783.58</v>
      </c>
    </row>
    <row r="19" spans="1:24" x14ac:dyDescent="0.2">
      <c r="A19" s="46"/>
      <c r="B19" s="198">
        <v>54201</v>
      </c>
      <c r="C19" s="821" t="s">
        <v>419</v>
      </c>
      <c r="D19" s="561" t="s">
        <v>860</v>
      </c>
      <c r="E19" s="572"/>
      <c r="F19" s="568"/>
      <c r="G19" s="572"/>
      <c r="H19" s="568">
        <f>53550.64+656.41-14515.26</f>
        <v>39691.79</v>
      </c>
      <c r="I19" s="568"/>
      <c r="J19" s="568"/>
      <c r="K19" s="568"/>
      <c r="L19" s="568"/>
      <c r="M19" s="569">
        <f t="shared" ref="M19:M20" si="4">SUM(H19:L19)</f>
        <v>39691.79</v>
      </c>
      <c r="N19" s="568"/>
      <c r="O19" s="568"/>
      <c r="P19" s="568"/>
      <c r="Q19" s="568"/>
      <c r="R19" s="569"/>
      <c r="S19" s="568"/>
      <c r="T19" s="568"/>
      <c r="U19" s="570"/>
      <c r="V19" s="565">
        <f t="shared" si="1"/>
        <v>79383.58</v>
      </c>
    </row>
    <row r="20" spans="1:24" x14ac:dyDescent="0.2">
      <c r="A20" s="46"/>
      <c r="B20" s="198">
        <v>54205</v>
      </c>
      <c r="C20" s="821" t="s">
        <v>419</v>
      </c>
      <c r="D20" s="561" t="s">
        <v>708</v>
      </c>
      <c r="E20" s="572"/>
      <c r="F20" s="568"/>
      <c r="G20" s="572"/>
      <c r="H20" s="568"/>
      <c r="I20" s="568"/>
      <c r="J20" s="568">
        <v>49199.999999999993</v>
      </c>
      <c r="K20" s="568"/>
      <c r="L20" s="568"/>
      <c r="M20" s="569">
        <f t="shared" si="4"/>
        <v>49199.999999999993</v>
      </c>
      <c r="N20" s="568"/>
      <c r="O20" s="568"/>
      <c r="P20" s="568"/>
      <c r="Q20" s="568"/>
      <c r="R20" s="569"/>
      <c r="S20" s="568"/>
      <c r="T20" s="568"/>
      <c r="U20" s="570"/>
      <c r="V20" s="565">
        <f t="shared" si="1"/>
        <v>98399.999999999985</v>
      </c>
    </row>
    <row r="21" spans="1:24" x14ac:dyDescent="0.2">
      <c r="A21" s="46"/>
      <c r="B21" s="198"/>
      <c r="C21" s="821"/>
      <c r="D21" s="561"/>
      <c r="E21" s="572"/>
      <c r="F21" s="568"/>
      <c r="G21" s="572"/>
      <c r="H21" s="568"/>
      <c r="I21" s="568"/>
      <c r="J21" s="568"/>
      <c r="K21" s="568"/>
      <c r="L21" s="568"/>
      <c r="M21" s="569"/>
      <c r="N21" s="568"/>
      <c r="O21" s="568"/>
      <c r="P21" s="568"/>
      <c r="Q21" s="568"/>
      <c r="R21" s="569"/>
      <c r="S21" s="568"/>
      <c r="T21" s="568"/>
      <c r="U21" s="570"/>
      <c r="V21" s="565">
        <f t="shared" si="1"/>
        <v>0</v>
      </c>
    </row>
    <row r="22" spans="1:24" x14ac:dyDescent="0.2">
      <c r="A22" s="46"/>
      <c r="B22" s="198"/>
      <c r="C22" s="821" t="s">
        <v>419</v>
      </c>
      <c r="D22" s="566"/>
      <c r="E22" s="567"/>
      <c r="F22" s="568"/>
      <c r="G22" s="572"/>
      <c r="H22" s="568"/>
      <c r="I22" s="568"/>
      <c r="J22" s="568"/>
      <c r="K22" s="568"/>
      <c r="L22" s="568"/>
      <c r="M22" s="569"/>
      <c r="N22" s="568"/>
      <c r="O22" s="568"/>
      <c r="P22" s="568"/>
      <c r="Q22" s="568"/>
      <c r="R22" s="569"/>
      <c r="S22" s="568"/>
      <c r="T22" s="568"/>
      <c r="U22" s="570"/>
      <c r="V22" s="571"/>
    </row>
    <row r="23" spans="1:24" ht="36" x14ac:dyDescent="0.2">
      <c r="B23" s="198"/>
      <c r="C23" s="821" t="s">
        <v>419</v>
      </c>
      <c r="D23" s="566" t="s">
        <v>851</v>
      </c>
      <c r="E23" s="567"/>
      <c r="F23" s="568"/>
      <c r="G23" s="567">
        <f>SUM(G24:G24)</f>
        <v>0</v>
      </c>
      <c r="H23" s="573">
        <f t="shared" ref="H23:K23" si="5">SUM(H24:H24)</f>
        <v>0</v>
      </c>
      <c r="I23" s="573">
        <f>SUM(I24:I26)</f>
        <v>29475</v>
      </c>
      <c r="J23" s="573">
        <f t="shared" si="5"/>
        <v>0</v>
      </c>
      <c r="K23" s="573">
        <f t="shared" si="5"/>
        <v>0</v>
      </c>
      <c r="L23" s="573">
        <f>SUM(L24:L26)</f>
        <v>0</v>
      </c>
      <c r="M23" s="574">
        <f>SUM(M24:M26)</f>
        <v>29475</v>
      </c>
      <c r="N23" s="568"/>
      <c r="O23" s="568"/>
      <c r="P23" s="568"/>
      <c r="Q23" s="568"/>
      <c r="R23" s="569"/>
      <c r="S23" s="568"/>
      <c r="T23" s="568"/>
      <c r="U23" s="570"/>
      <c r="V23" s="571">
        <f>SUM(E23:U23)</f>
        <v>58950</v>
      </c>
    </row>
    <row r="24" spans="1:24" x14ac:dyDescent="0.2">
      <c r="B24" s="198">
        <v>54107</v>
      </c>
      <c r="C24" s="822"/>
      <c r="D24" s="575" t="s">
        <v>592</v>
      </c>
      <c r="E24" s="572"/>
      <c r="F24" s="568"/>
      <c r="G24" s="572"/>
      <c r="H24" s="568"/>
      <c r="I24" s="568">
        <v>720</v>
      </c>
      <c r="J24" s="568"/>
      <c r="K24" s="568"/>
      <c r="L24" s="568"/>
      <c r="M24" s="569">
        <f t="shared" ref="M24" si="6">SUM(H24:L24)</f>
        <v>720</v>
      </c>
      <c r="N24" s="568"/>
      <c r="O24" s="568"/>
      <c r="P24" s="568"/>
      <c r="Q24" s="568"/>
      <c r="R24" s="569"/>
      <c r="S24" s="568"/>
      <c r="T24" s="568"/>
      <c r="U24" s="572"/>
      <c r="V24" s="565">
        <f>SUM(E24:U24)</f>
        <v>1440</v>
      </c>
      <c r="W24" s="1"/>
      <c r="X24" s="529"/>
    </row>
    <row r="25" spans="1:24" x14ac:dyDescent="0.2">
      <c r="B25" s="198">
        <v>54301</v>
      </c>
      <c r="C25" s="822"/>
      <c r="D25" s="575" t="s">
        <v>760</v>
      </c>
      <c r="E25" s="572"/>
      <c r="F25" s="568"/>
      <c r="G25" s="572"/>
      <c r="H25" s="568"/>
      <c r="I25" s="568">
        <v>13155</v>
      </c>
      <c r="J25" s="568"/>
      <c r="K25" s="568"/>
      <c r="L25" s="568"/>
      <c r="M25" s="569">
        <f t="shared" ref="M25:M26" si="7">SUM(H25:L25)</f>
        <v>13155</v>
      </c>
      <c r="N25" s="568"/>
      <c r="O25" s="568"/>
      <c r="P25" s="568"/>
      <c r="Q25" s="568"/>
      <c r="R25" s="569"/>
      <c r="S25" s="568"/>
      <c r="T25" s="568"/>
      <c r="U25" s="572"/>
      <c r="V25" s="565">
        <f t="shared" ref="V25:V26" si="8">SUM(E25:U25)</f>
        <v>26310</v>
      </c>
      <c r="W25" s="1"/>
      <c r="X25" s="529"/>
    </row>
    <row r="26" spans="1:24" x14ac:dyDescent="0.2">
      <c r="B26" s="198">
        <v>61102</v>
      </c>
      <c r="C26" s="822"/>
      <c r="D26" s="575" t="s">
        <v>885</v>
      </c>
      <c r="E26" s="572"/>
      <c r="F26" s="568"/>
      <c r="G26" s="572"/>
      <c r="H26" s="568"/>
      <c r="I26" s="568">
        <v>15600</v>
      </c>
      <c r="J26" s="568"/>
      <c r="K26" s="568"/>
      <c r="L26" s="568"/>
      <c r="M26" s="569">
        <f t="shared" si="7"/>
        <v>15600</v>
      </c>
      <c r="N26" s="568"/>
      <c r="O26" s="568"/>
      <c r="P26" s="568"/>
      <c r="Q26" s="568"/>
      <c r="R26" s="569"/>
      <c r="S26" s="568"/>
      <c r="T26" s="568"/>
      <c r="U26" s="572"/>
      <c r="V26" s="565">
        <f t="shared" si="8"/>
        <v>31200</v>
      </c>
      <c r="W26" s="1"/>
      <c r="X26" s="529"/>
    </row>
    <row r="27" spans="1:24" x14ac:dyDescent="0.2">
      <c r="B27" s="198"/>
      <c r="C27" s="821" t="s">
        <v>419</v>
      </c>
      <c r="D27" s="561"/>
      <c r="E27" s="572"/>
      <c r="F27" s="568"/>
      <c r="G27" s="572"/>
      <c r="H27" s="568"/>
      <c r="I27" s="568"/>
      <c r="J27" s="568"/>
      <c r="K27" s="568"/>
      <c r="L27" s="568"/>
      <c r="M27" s="569"/>
      <c r="N27" s="568"/>
      <c r="O27" s="568"/>
      <c r="P27" s="568"/>
      <c r="Q27" s="568"/>
      <c r="R27" s="569"/>
      <c r="S27" s="568"/>
      <c r="T27" s="568"/>
      <c r="U27" s="570"/>
      <c r="V27" s="565"/>
    </row>
    <row r="28" spans="1:24" ht="36" x14ac:dyDescent="0.2">
      <c r="B28" s="198"/>
      <c r="C28" s="821" t="s">
        <v>419</v>
      </c>
      <c r="D28" s="566" t="s">
        <v>852</v>
      </c>
      <c r="E28" s="567"/>
      <c r="F28" s="568"/>
      <c r="G28" s="567">
        <f>SUM(G29:G29)</f>
        <v>0</v>
      </c>
      <c r="H28" s="573">
        <f t="shared" ref="H28:K28" si="9">SUM(H29:H29)</f>
        <v>0</v>
      </c>
      <c r="I28" s="573">
        <f t="shared" si="9"/>
        <v>0</v>
      </c>
      <c r="J28" s="573">
        <f t="shared" si="9"/>
        <v>0</v>
      </c>
      <c r="K28" s="573">
        <f t="shared" si="9"/>
        <v>0</v>
      </c>
      <c r="L28" s="573">
        <f>SUM(L29:L35)</f>
        <v>12320.95</v>
      </c>
      <c r="M28" s="574">
        <f>SUM(M29:M35)</f>
        <v>12320.95</v>
      </c>
      <c r="N28" s="568"/>
      <c r="O28" s="568"/>
      <c r="P28" s="568"/>
      <c r="Q28" s="568"/>
      <c r="R28" s="569"/>
      <c r="S28" s="568"/>
      <c r="T28" s="568"/>
      <c r="U28" s="567"/>
      <c r="V28" s="571">
        <f>SUM(E28:U28)</f>
        <v>24641.9</v>
      </c>
    </row>
    <row r="29" spans="1:24" x14ac:dyDescent="0.2">
      <c r="B29" s="198">
        <v>51201</v>
      </c>
      <c r="C29" s="822" t="s">
        <v>419</v>
      </c>
      <c r="D29" s="575" t="s">
        <v>879</v>
      </c>
      <c r="E29" s="572"/>
      <c r="F29" s="568"/>
      <c r="G29" s="572"/>
      <c r="H29" s="568"/>
      <c r="I29" s="568"/>
      <c r="J29" s="568"/>
      <c r="K29" s="568"/>
      <c r="L29" s="568">
        <v>7965</v>
      </c>
      <c r="M29" s="569">
        <f t="shared" ref="M29:M34" si="10">SUM(H29:L29)</f>
        <v>7965</v>
      </c>
      <c r="N29" s="568"/>
      <c r="O29" s="568"/>
      <c r="P29" s="568"/>
      <c r="Q29" s="568"/>
      <c r="R29" s="569"/>
      <c r="S29" s="568"/>
      <c r="T29" s="568"/>
      <c r="U29" s="572"/>
      <c r="V29" s="565">
        <f>SUM(E29:U29)</f>
        <v>15930</v>
      </c>
      <c r="W29" s="1"/>
      <c r="X29" s="529"/>
    </row>
    <row r="30" spans="1:24" x14ac:dyDescent="0.2">
      <c r="B30" s="198">
        <v>54101</v>
      </c>
      <c r="C30" s="822" t="s">
        <v>419</v>
      </c>
      <c r="D30" s="575" t="s">
        <v>761</v>
      </c>
      <c r="E30" s="572"/>
      <c r="F30" s="568"/>
      <c r="G30" s="572"/>
      <c r="H30" s="568"/>
      <c r="I30" s="568"/>
      <c r="J30" s="568"/>
      <c r="K30" s="568"/>
      <c r="L30" s="568">
        <v>1200</v>
      </c>
      <c r="M30" s="569">
        <f t="shared" si="10"/>
        <v>1200</v>
      </c>
      <c r="N30" s="568"/>
      <c r="O30" s="568"/>
      <c r="P30" s="568"/>
      <c r="Q30" s="568"/>
      <c r="R30" s="569"/>
      <c r="S30" s="568"/>
      <c r="T30" s="568"/>
      <c r="U30" s="572"/>
      <c r="V30" s="565">
        <f t="shared" ref="V30:V34" si="11">SUM(E30:U30)</f>
        <v>2400</v>
      </c>
      <c r="W30" s="1"/>
      <c r="X30" s="529"/>
    </row>
    <row r="31" spans="1:24" x14ac:dyDescent="0.2">
      <c r="B31" s="198">
        <v>54104</v>
      </c>
      <c r="C31" s="822" t="s">
        <v>419</v>
      </c>
      <c r="D31" s="575" t="s">
        <v>763</v>
      </c>
      <c r="E31" s="572"/>
      <c r="F31" s="568"/>
      <c r="G31" s="572"/>
      <c r="H31" s="568"/>
      <c r="I31" s="568"/>
      <c r="J31" s="568"/>
      <c r="K31" s="568"/>
      <c r="L31" s="568">
        <v>1000</v>
      </c>
      <c r="M31" s="569">
        <f t="shared" si="10"/>
        <v>1000</v>
      </c>
      <c r="N31" s="568"/>
      <c r="O31" s="568"/>
      <c r="P31" s="568"/>
      <c r="Q31" s="568"/>
      <c r="R31" s="569"/>
      <c r="S31" s="568"/>
      <c r="T31" s="568"/>
      <c r="U31" s="572"/>
      <c r="V31" s="565">
        <f t="shared" si="11"/>
        <v>2000</v>
      </c>
      <c r="W31" s="1"/>
      <c r="X31" s="529"/>
    </row>
    <row r="32" spans="1:24" x14ac:dyDescent="0.2">
      <c r="B32" s="198">
        <v>54106</v>
      </c>
      <c r="C32" s="822" t="s">
        <v>419</v>
      </c>
      <c r="D32" s="575" t="s">
        <v>881</v>
      </c>
      <c r="E32" s="572"/>
      <c r="F32" s="568"/>
      <c r="G32" s="572"/>
      <c r="H32" s="568"/>
      <c r="I32" s="568"/>
      <c r="J32" s="568"/>
      <c r="K32" s="568"/>
      <c r="L32" s="568">
        <v>66.25</v>
      </c>
      <c r="M32" s="569">
        <f t="shared" si="10"/>
        <v>66.25</v>
      </c>
      <c r="N32" s="568"/>
      <c r="O32" s="568"/>
      <c r="P32" s="568"/>
      <c r="Q32" s="568"/>
      <c r="R32" s="569"/>
      <c r="S32" s="568"/>
      <c r="T32" s="568"/>
      <c r="U32" s="572"/>
      <c r="V32" s="565">
        <f t="shared" si="11"/>
        <v>132.5</v>
      </c>
      <c r="W32" s="1"/>
      <c r="X32" s="529"/>
    </row>
    <row r="33" spans="2:24" x14ac:dyDescent="0.2">
      <c r="B33" s="198">
        <v>54107</v>
      </c>
      <c r="C33" s="822" t="s">
        <v>419</v>
      </c>
      <c r="D33" s="575" t="s">
        <v>592</v>
      </c>
      <c r="E33" s="572"/>
      <c r="F33" s="568"/>
      <c r="G33" s="572"/>
      <c r="H33" s="568"/>
      <c r="I33" s="568"/>
      <c r="J33" s="568"/>
      <c r="K33" s="568"/>
      <c r="L33" s="568">
        <v>716</v>
      </c>
      <c r="M33" s="569">
        <f t="shared" si="10"/>
        <v>716</v>
      </c>
      <c r="N33" s="568"/>
      <c r="O33" s="568"/>
      <c r="P33" s="568"/>
      <c r="Q33" s="568"/>
      <c r="R33" s="569"/>
      <c r="S33" s="568"/>
      <c r="T33" s="568"/>
      <c r="U33" s="572"/>
      <c r="V33" s="565">
        <f t="shared" si="11"/>
        <v>1432</v>
      </c>
      <c r="W33" s="1"/>
      <c r="X33" s="529"/>
    </row>
    <row r="34" spans="2:24" x14ac:dyDescent="0.2">
      <c r="B34" s="198">
        <v>54118</v>
      </c>
      <c r="C34" s="822" t="s">
        <v>419</v>
      </c>
      <c r="D34" s="575" t="s">
        <v>882</v>
      </c>
      <c r="E34" s="572"/>
      <c r="F34" s="568"/>
      <c r="G34" s="572"/>
      <c r="H34" s="568"/>
      <c r="I34" s="568"/>
      <c r="J34" s="568"/>
      <c r="K34" s="568"/>
      <c r="L34" s="568">
        <v>73.7</v>
      </c>
      <c r="M34" s="569">
        <f t="shared" si="10"/>
        <v>73.7</v>
      </c>
      <c r="N34" s="568"/>
      <c r="O34" s="568"/>
      <c r="P34" s="568"/>
      <c r="Q34" s="568"/>
      <c r="R34" s="569"/>
      <c r="S34" s="568"/>
      <c r="T34" s="568"/>
      <c r="U34" s="572"/>
      <c r="V34" s="565">
        <f t="shared" si="11"/>
        <v>147.4</v>
      </c>
      <c r="W34" s="1"/>
      <c r="X34" s="529"/>
    </row>
    <row r="35" spans="2:24" x14ac:dyDescent="0.2">
      <c r="B35" s="198">
        <v>54304</v>
      </c>
      <c r="C35" s="822" t="s">
        <v>419</v>
      </c>
      <c r="D35" s="575" t="s">
        <v>880</v>
      </c>
      <c r="E35" s="572"/>
      <c r="F35" s="568"/>
      <c r="G35" s="572"/>
      <c r="H35" s="568"/>
      <c r="I35" s="568"/>
      <c r="J35" s="568"/>
      <c r="K35" s="568"/>
      <c r="L35" s="568">
        <v>1300</v>
      </c>
      <c r="M35" s="569">
        <f>SUM(H35:L35)</f>
        <v>1300</v>
      </c>
      <c r="N35" s="568"/>
      <c r="O35" s="568"/>
      <c r="P35" s="568"/>
      <c r="Q35" s="568"/>
      <c r="R35" s="569"/>
      <c r="S35" s="568"/>
      <c r="T35" s="568"/>
      <c r="U35" s="572"/>
      <c r="V35" s="565">
        <f>SUM(E35:U35)</f>
        <v>2600</v>
      </c>
      <c r="W35" s="1"/>
      <c r="X35" s="529"/>
    </row>
    <row r="36" spans="2:24" x14ac:dyDescent="0.2">
      <c r="B36" s="198"/>
      <c r="C36" s="821" t="s">
        <v>419</v>
      </c>
      <c r="D36" s="561"/>
      <c r="E36" s="572"/>
      <c r="F36" s="568"/>
      <c r="G36" s="572"/>
      <c r="H36" s="568"/>
      <c r="I36" s="568"/>
      <c r="J36" s="568"/>
      <c r="K36" s="568"/>
      <c r="L36" s="568"/>
      <c r="M36" s="569"/>
      <c r="N36" s="568"/>
      <c r="O36" s="568"/>
      <c r="P36" s="568"/>
      <c r="Q36" s="568"/>
      <c r="R36" s="569"/>
      <c r="S36" s="568"/>
      <c r="T36" s="568"/>
      <c r="U36" s="570"/>
      <c r="V36" s="565"/>
      <c r="W36" s="1"/>
    </row>
    <row r="37" spans="2:24" ht="23.25" customHeight="1" x14ac:dyDescent="0.2">
      <c r="B37" s="198"/>
      <c r="C37" s="821" t="s">
        <v>419</v>
      </c>
      <c r="D37" s="566" t="s">
        <v>853</v>
      </c>
      <c r="E37" s="567"/>
      <c r="F37" s="568"/>
      <c r="G37" s="567">
        <f>SUM(G38:G38)</f>
        <v>0</v>
      </c>
      <c r="H37" s="573">
        <f t="shared" ref="H37:K37" si="12">SUM(H38:H38)</f>
        <v>0</v>
      </c>
      <c r="I37" s="573">
        <f t="shared" si="12"/>
        <v>0</v>
      </c>
      <c r="J37" s="573">
        <f t="shared" si="12"/>
        <v>0</v>
      </c>
      <c r="K37" s="573">
        <f t="shared" si="12"/>
        <v>0</v>
      </c>
      <c r="L37" s="573">
        <f>SUM(L38:L41)</f>
        <v>15905</v>
      </c>
      <c r="M37" s="574">
        <f>SUM(M38:M41)</f>
        <v>15905</v>
      </c>
      <c r="N37" s="568"/>
      <c r="O37" s="568"/>
      <c r="P37" s="568"/>
      <c r="Q37" s="568"/>
      <c r="R37" s="569"/>
      <c r="S37" s="568"/>
      <c r="T37" s="568"/>
      <c r="U37" s="570"/>
      <c r="V37" s="571">
        <f>SUM(E37:U37)</f>
        <v>31810</v>
      </c>
    </row>
    <row r="38" spans="2:24" x14ac:dyDescent="0.2">
      <c r="B38" s="198">
        <v>51201</v>
      </c>
      <c r="C38" s="822"/>
      <c r="D38" s="575" t="s">
        <v>879</v>
      </c>
      <c r="E38" s="572"/>
      <c r="F38" s="568"/>
      <c r="G38" s="572"/>
      <c r="H38" s="568"/>
      <c r="I38" s="568"/>
      <c r="J38" s="568"/>
      <c r="K38" s="568"/>
      <c r="L38" s="568">
        <v>6000</v>
      </c>
      <c r="M38" s="569">
        <f t="shared" ref="M38" si="13">SUM(H38:L38)</f>
        <v>6000</v>
      </c>
      <c r="N38" s="568"/>
      <c r="O38" s="568"/>
      <c r="P38" s="568"/>
      <c r="Q38" s="568"/>
      <c r="R38" s="569"/>
      <c r="S38" s="568"/>
      <c r="T38" s="568"/>
      <c r="U38" s="572"/>
      <c r="V38" s="565">
        <f t="shared" ref="V38" si="14">SUM(E38:U38)</f>
        <v>12000</v>
      </c>
      <c r="W38" s="1"/>
      <c r="X38" s="529"/>
    </row>
    <row r="39" spans="2:24" x14ac:dyDescent="0.2">
      <c r="B39" s="198">
        <v>54101</v>
      </c>
      <c r="C39" s="822"/>
      <c r="D39" s="575" t="s">
        <v>761</v>
      </c>
      <c r="E39" s="572"/>
      <c r="F39" s="568"/>
      <c r="G39" s="572"/>
      <c r="H39" s="568"/>
      <c r="I39" s="568"/>
      <c r="J39" s="568"/>
      <c r="K39" s="568"/>
      <c r="L39" s="568">
        <v>2000</v>
      </c>
      <c r="M39" s="569">
        <f t="shared" ref="M39:M41" si="15">SUM(H39:L39)</f>
        <v>2000</v>
      </c>
      <c r="N39" s="568"/>
      <c r="O39" s="568"/>
      <c r="P39" s="568"/>
      <c r="Q39" s="568"/>
      <c r="R39" s="569"/>
      <c r="S39" s="568"/>
      <c r="T39" s="568"/>
      <c r="U39" s="572"/>
      <c r="V39" s="565">
        <f t="shared" ref="V39:V41" si="16">SUM(E39:U39)</f>
        <v>4000</v>
      </c>
      <c r="W39" s="1"/>
      <c r="X39" s="529"/>
    </row>
    <row r="40" spans="2:24" x14ac:dyDescent="0.2">
      <c r="B40" s="198">
        <v>54104</v>
      </c>
      <c r="C40" s="822"/>
      <c r="D40" s="575" t="s">
        <v>763</v>
      </c>
      <c r="E40" s="572"/>
      <c r="F40" s="568"/>
      <c r="G40" s="572"/>
      <c r="H40" s="568"/>
      <c r="I40" s="568"/>
      <c r="J40" s="568"/>
      <c r="K40" s="568"/>
      <c r="L40" s="568">
        <v>1845</v>
      </c>
      <c r="M40" s="569">
        <f t="shared" si="15"/>
        <v>1845</v>
      </c>
      <c r="N40" s="568"/>
      <c r="O40" s="568"/>
      <c r="P40" s="568"/>
      <c r="Q40" s="568"/>
      <c r="R40" s="569"/>
      <c r="S40" s="568"/>
      <c r="T40" s="568"/>
      <c r="U40" s="572"/>
      <c r="V40" s="565">
        <f t="shared" si="16"/>
        <v>3690</v>
      </c>
      <c r="W40" s="1"/>
      <c r="X40" s="529"/>
    </row>
    <row r="41" spans="2:24" x14ac:dyDescent="0.2">
      <c r="B41" s="198">
        <v>54199</v>
      </c>
      <c r="C41" s="822"/>
      <c r="D41" s="575" t="s">
        <v>886</v>
      </c>
      <c r="E41" s="572"/>
      <c r="F41" s="568"/>
      <c r="G41" s="572"/>
      <c r="H41" s="568"/>
      <c r="I41" s="568"/>
      <c r="J41" s="568"/>
      <c r="K41" s="568"/>
      <c r="L41" s="568">
        <v>6060</v>
      </c>
      <c r="M41" s="569">
        <f t="shared" si="15"/>
        <v>6060</v>
      </c>
      <c r="N41" s="568"/>
      <c r="O41" s="568"/>
      <c r="P41" s="568"/>
      <c r="Q41" s="568"/>
      <c r="R41" s="569"/>
      <c r="S41" s="568"/>
      <c r="T41" s="568"/>
      <c r="U41" s="572"/>
      <c r="V41" s="565">
        <f t="shared" si="16"/>
        <v>12120</v>
      </c>
      <c r="W41" s="1"/>
      <c r="X41" s="529"/>
    </row>
    <row r="42" spans="2:24" x14ac:dyDescent="0.2">
      <c r="B42" s="198"/>
      <c r="C42" s="821" t="s">
        <v>419</v>
      </c>
      <c r="D42" s="566"/>
      <c r="E42" s="567"/>
      <c r="F42" s="568"/>
      <c r="G42" s="572"/>
      <c r="H42" s="568"/>
      <c r="I42" s="568"/>
      <c r="J42" s="568"/>
      <c r="K42" s="568"/>
      <c r="L42" s="568"/>
      <c r="M42" s="569"/>
      <c r="N42" s="568"/>
      <c r="O42" s="568"/>
      <c r="P42" s="568"/>
      <c r="Q42" s="568"/>
      <c r="R42" s="569"/>
      <c r="S42" s="568"/>
      <c r="T42" s="568"/>
      <c r="U42" s="570"/>
      <c r="V42" s="571"/>
    </row>
    <row r="43" spans="2:24" ht="23.25" customHeight="1" x14ac:dyDescent="0.2">
      <c r="B43" s="198"/>
      <c r="C43" s="821" t="s">
        <v>419</v>
      </c>
      <c r="D43" s="566" t="s">
        <v>854</v>
      </c>
      <c r="E43" s="567"/>
      <c r="F43" s="568"/>
      <c r="G43" s="567">
        <f>SUM(G44:G44)</f>
        <v>0</v>
      </c>
      <c r="H43" s="573">
        <f t="shared" ref="H43:K43" si="17">SUM(H44:H44)</f>
        <v>0</v>
      </c>
      <c r="I43" s="573">
        <f t="shared" si="17"/>
        <v>0</v>
      </c>
      <c r="J43" s="573">
        <f t="shared" si="17"/>
        <v>0</v>
      </c>
      <c r="K43" s="573">
        <f t="shared" si="17"/>
        <v>0</v>
      </c>
      <c r="L43" s="573">
        <f>SUM(L44:L48)</f>
        <v>20400</v>
      </c>
      <c r="M43" s="574">
        <f>SUM(M44:M48)</f>
        <v>20400</v>
      </c>
      <c r="N43" s="568"/>
      <c r="O43" s="568"/>
      <c r="P43" s="568"/>
      <c r="Q43" s="568"/>
      <c r="R43" s="569"/>
      <c r="S43" s="568"/>
      <c r="T43" s="568"/>
      <c r="U43" s="570"/>
      <c r="V43" s="571">
        <f>SUM(E43:U43)</f>
        <v>40800</v>
      </c>
    </row>
    <row r="44" spans="2:24" x14ac:dyDescent="0.2">
      <c r="B44" s="198">
        <v>54101</v>
      </c>
      <c r="C44" s="822"/>
      <c r="D44" s="575" t="s">
        <v>761</v>
      </c>
      <c r="E44" s="572"/>
      <c r="F44" s="568"/>
      <c r="G44" s="572"/>
      <c r="H44" s="568"/>
      <c r="I44" s="568"/>
      <c r="J44" s="568"/>
      <c r="K44" s="568"/>
      <c r="L44" s="568">
        <v>3200</v>
      </c>
      <c r="M44" s="569">
        <f t="shared" ref="M44" si="18">SUM(H44:L44)</f>
        <v>3200</v>
      </c>
      <c r="N44" s="568"/>
      <c r="O44" s="568"/>
      <c r="P44" s="568"/>
      <c r="Q44" s="568"/>
      <c r="R44" s="569"/>
      <c r="S44" s="568"/>
      <c r="T44" s="568"/>
      <c r="U44" s="572"/>
      <c r="V44" s="565">
        <f t="shared" ref="V44" si="19">SUM(E44:U44)</f>
        <v>6400</v>
      </c>
      <c r="W44" s="1"/>
      <c r="X44" s="529"/>
    </row>
    <row r="45" spans="2:24" x14ac:dyDescent="0.2">
      <c r="B45" s="198">
        <v>54199</v>
      </c>
      <c r="C45" s="822"/>
      <c r="D45" s="575" t="s">
        <v>762</v>
      </c>
      <c r="E45" s="572"/>
      <c r="F45" s="568"/>
      <c r="G45" s="572"/>
      <c r="H45" s="568"/>
      <c r="I45" s="568"/>
      <c r="J45" s="568"/>
      <c r="K45" s="568"/>
      <c r="L45" s="568">
        <v>1350</v>
      </c>
      <c r="M45" s="569">
        <f t="shared" ref="M45:M48" si="20">SUM(H45:L45)</f>
        <v>1350</v>
      </c>
      <c r="N45" s="568"/>
      <c r="O45" s="568"/>
      <c r="P45" s="568"/>
      <c r="Q45" s="568"/>
      <c r="R45" s="569"/>
      <c r="S45" s="568"/>
      <c r="T45" s="568"/>
      <c r="U45" s="572"/>
      <c r="V45" s="565">
        <f t="shared" ref="V45:V48" si="21">SUM(E45:U45)</f>
        <v>2700</v>
      </c>
      <c r="W45" s="1"/>
      <c r="X45" s="529"/>
    </row>
    <row r="46" spans="2:24" x14ac:dyDescent="0.2">
      <c r="B46" s="198">
        <v>54304</v>
      </c>
      <c r="C46" s="822"/>
      <c r="D46" s="575" t="s">
        <v>880</v>
      </c>
      <c r="E46" s="572"/>
      <c r="F46" s="568"/>
      <c r="G46" s="572"/>
      <c r="H46" s="568"/>
      <c r="I46" s="568"/>
      <c r="J46" s="568"/>
      <c r="K46" s="568"/>
      <c r="L46" s="568">
        <v>2500</v>
      </c>
      <c r="M46" s="569">
        <f t="shared" si="20"/>
        <v>2500</v>
      </c>
      <c r="N46" s="568"/>
      <c r="O46" s="568"/>
      <c r="P46" s="568"/>
      <c r="Q46" s="568"/>
      <c r="R46" s="569"/>
      <c r="S46" s="568"/>
      <c r="T46" s="568"/>
      <c r="U46" s="572"/>
      <c r="V46" s="565">
        <f t="shared" si="21"/>
        <v>5000</v>
      </c>
      <c r="W46" s="1"/>
      <c r="X46" s="529"/>
    </row>
    <row r="47" spans="2:24" x14ac:dyDescent="0.2">
      <c r="B47" s="198">
        <v>54399</v>
      </c>
      <c r="C47" s="822"/>
      <c r="D47" s="575" t="s">
        <v>887</v>
      </c>
      <c r="E47" s="572"/>
      <c r="F47" s="568"/>
      <c r="G47" s="572"/>
      <c r="H47" s="568"/>
      <c r="I47" s="568"/>
      <c r="J47" s="568"/>
      <c r="K47" s="568"/>
      <c r="L47" s="568">
        <v>13000</v>
      </c>
      <c r="M47" s="569">
        <f t="shared" si="20"/>
        <v>13000</v>
      </c>
      <c r="N47" s="568"/>
      <c r="O47" s="568"/>
      <c r="P47" s="568"/>
      <c r="Q47" s="568"/>
      <c r="R47" s="569"/>
      <c r="S47" s="568"/>
      <c r="T47" s="568"/>
      <c r="U47" s="572"/>
      <c r="V47" s="565">
        <f t="shared" si="21"/>
        <v>26000</v>
      </c>
      <c r="W47" s="1"/>
      <c r="X47" s="529"/>
    </row>
    <row r="48" spans="2:24" x14ac:dyDescent="0.2">
      <c r="B48" s="198">
        <v>56304</v>
      </c>
      <c r="C48" s="822"/>
      <c r="D48" s="575" t="s">
        <v>593</v>
      </c>
      <c r="E48" s="572"/>
      <c r="F48" s="568"/>
      <c r="G48" s="572"/>
      <c r="H48" s="568"/>
      <c r="I48" s="568"/>
      <c r="J48" s="568"/>
      <c r="K48" s="568"/>
      <c r="L48" s="568">
        <v>350</v>
      </c>
      <c r="M48" s="569">
        <f t="shared" si="20"/>
        <v>350</v>
      </c>
      <c r="N48" s="568"/>
      <c r="O48" s="568"/>
      <c r="P48" s="568"/>
      <c r="Q48" s="568"/>
      <c r="R48" s="569"/>
      <c r="S48" s="568"/>
      <c r="T48" s="568"/>
      <c r="U48" s="572"/>
      <c r="V48" s="565">
        <f t="shared" si="21"/>
        <v>700</v>
      </c>
      <c r="W48" s="1"/>
      <c r="X48" s="529"/>
    </row>
    <row r="49" spans="2:24" x14ac:dyDescent="0.2">
      <c r="B49" s="198"/>
      <c r="C49" s="821" t="s">
        <v>419</v>
      </c>
      <c r="D49" s="566"/>
      <c r="E49" s="567"/>
      <c r="F49" s="568"/>
      <c r="G49" s="572"/>
      <c r="H49" s="568"/>
      <c r="I49" s="568"/>
      <c r="J49" s="568"/>
      <c r="K49" s="568"/>
      <c r="L49" s="568"/>
      <c r="M49" s="569"/>
      <c r="N49" s="568"/>
      <c r="O49" s="568"/>
      <c r="P49" s="568"/>
      <c r="Q49" s="568"/>
      <c r="R49" s="569"/>
      <c r="S49" s="568"/>
      <c r="T49" s="568"/>
      <c r="U49" s="570"/>
      <c r="V49" s="571"/>
    </row>
    <row r="50" spans="2:24" ht="23.25" customHeight="1" x14ac:dyDescent="0.2">
      <c r="B50" s="198"/>
      <c r="C50" s="821" t="s">
        <v>419</v>
      </c>
      <c r="D50" s="566" t="s">
        <v>855</v>
      </c>
      <c r="E50" s="567"/>
      <c r="F50" s="568"/>
      <c r="G50" s="567">
        <f>SUM(G51:G51)</f>
        <v>0</v>
      </c>
      <c r="H50" s="573">
        <f t="shared" ref="H50:K50" si="22">SUM(H51:H51)</f>
        <v>0</v>
      </c>
      <c r="I50" s="573">
        <f t="shared" si="22"/>
        <v>0</v>
      </c>
      <c r="J50" s="573">
        <f t="shared" si="22"/>
        <v>0</v>
      </c>
      <c r="K50" s="573">
        <f t="shared" si="22"/>
        <v>0</v>
      </c>
      <c r="L50" s="573">
        <f>SUM(L51:L55)</f>
        <v>39661.429999999003</v>
      </c>
      <c r="M50" s="574">
        <f>SUM(M51:M55)</f>
        <v>39661.429999999003</v>
      </c>
      <c r="N50" s="568"/>
      <c r="O50" s="568"/>
      <c r="P50" s="568"/>
      <c r="Q50" s="568"/>
      <c r="R50" s="569"/>
      <c r="S50" s="568"/>
      <c r="T50" s="568"/>
      <c r="U50" s="570"/>
      <c r="V50" s="571">
        <f>SUM(E50:U50)</f>
        <v>79322.859999998007</v>
      </c>
    </row>
    <row r="51" spans="2:24" x14ac:dyDescent="0.2">
      <c r="B51" s="198">
        <v>54101</v>
      </c>
      <c r="C51" s="822"/>
      <c r="D51" s="575" t="s">
        <v>761</v>
      </c>
      <c r="E51" s="572"/>
      <c r="F51" s="568"/>
      <c r="G51" s="572"/>
      <c r="H51" s="568"/>
      <c r="I51" s="568"/>
      <c r="J51" s="568"/>
      <c r="K51" s="568"/>
      <c r="L51" s="568">
        <v>31239.999999999003</v>
      </c>
      <c r="M51" s="569">
        <f t="shared" ref="M51:M55" si="23">SUM(H51:L51)</f>
        <v>31239.999999999003</v>
      </c>
      <c r="N51" s="568"/>
      <c r="O51" s="568"/>
      <c r="P51" s="568"/>
      <c r="Q51" s="568"/>
      <c r="R51" s="569"/>
      <c r="S51" s="568"/>
      <c r="T51" s="568"/>
      <c r="U51" s="572"/>
      <c r="V51" s="565">
        <f t="shared" ref="V51:V55" si="24">SUM(E51:U51)</f>
        <v>62479.999999998006</v>
      </c>
      <c r="W51" s="1"/>
      <c r="X51" s="529"/>
    </row>
    <row r="52" spans="2:24" x14ac:dyDescent="0.2">
      <c r="B52" s="198">
        <v>54107</v>
      </c>
      <c r="C52" s="822"/>
      <c r="D52" s="575" t="s">
        <v>592</v>
      </c>
      <c r="E52" s="572"/>
      <c r="F52" s="568"/>
      <c r="G52" s="572"/>
      <c r="H52" s="568"/>
      <c r="I52" s="568"/>
      <c r="J52" s="568"/>
      <c r="K52" s="568"/>
      <c r="L52" s="568">
        <v>875</v>
      </c>
      <c r="M52" s="569">
        <f t="shared" si="23"/>
        <v>875</v>
      </c>
      <c r="N52" s="568"/>
      <c r="O52" s="568"/>
      <c r="P52" s="568"/>
      <c r="Q52" s="568"/>
      <c r="R52" s="569"/>
      <c r="S52" s="568"/>
      <c r="T52" s="568"/>
      <c r="U52" s="572"/>
      <c r="V52" s="565">
        <f t="shared" si="24"/>
        <v>1750</v>
      </c>
      <c r="W52" s="1"/>
      <c r="X52" s="529"/>
    </row>
    <row r="53" spans="2:24" x14ac:dyDescent="0.2">
      <c r="B53" s="198">
        <v>54111</v>
      </c>
      <c r="C53" s="822"/>
      <c r="D53" s="575" t="s">
        <v>883</v>
      </c>
      <c r="E53" s="572"/>
      <c r="F53" s="568"/>
      <c r="G53" s="572"/>
      <c r="H53" s="568"/>
      <c r="I53" s="568"/>
      <c r="J53" s="568"/>
      <c r="K53" s="568"/>
      <c r="L53" s="568">
        <v>199</v>
      </c>
      <c r="M53" s="569">
        <f t="shared" si="23"/>
        <v>199</v>
      </c>
      <c r="N53" s="568"/>
      <c r="O53" s="568"/>
      <c r="P53" s="568"/>
      <c r="Q53" s="568"/>
      <c r="R53" s="569"/>
      <c r="S53" s="568"/>
      <c r="T53" s="568"/>
      <c r="U53" s="572"/>
      <c r="V53" s="565">
        <f t="shared" si="24"/>
        <v>398</v>
      </c>
      <c r="W53" s="1"/>
      <c r="X53" s="529"/>
    </row>
    <row r="54" spans="2:24" x14ac:dyDescent="0.2">
      <c r="B54" s="198">
        <v>54199</v>
      </c>
      <c r="C54" s="822"/>
      <c r="D54" s="575" t="s">
        <v>762</v>
      </c>
      <c r="E54" s="572"/>
      <c r="F54" s="568"/>
      <c r="G54" s="572"/>
      <c r="H54" s="568"/>
      <c r="I54" s="568"/>
      <c r="J54" s="568"/>
      <c r="K54" s="568"/>
      <c r="L54" s="568">
        <v>1097.43</v>
      </c>
      <c r="M54" s="569">
        <f t="shared" si="23"/>
        <v>1097.43</v>
      </c>
      <c r="N54" s="568"/>
      <c r="O54" s="568"/>
      <c r="P54" s="568"/>
      <c r="Q54" s="568"/>
      <c r="R54" s="569"/>
      <c r="S54" s="568"/>
      <c r="T54" s="568"/>
      <c r="U54" s="572"/>
      <c r="V54" s="565">
        <f t="shared" si="24"/>
        <v>2194.86</v>
      </c>
      <c r="W54" s="1"/>
      <c r="X54" s="529"/>
    </row>
    <row r="55" spans="2:24" x14ac:dyDescent="0.2">
      <c r="B55" s="198">
        <v>56304</v>
      </c>
      <c r="C55" s="822"/>
      <c r="D55" s="575" t="s">
        <v>884</v>
      </c>
      <c r="E55" s="572"/>
      <c r="F55" s="568"/>
      <c r="G55" s="572"/>
      <c r="H55" s="568"/>
      <c r="I55" s="568"/>
      <c r="J55" s="568"/>
      <c r="K55" s="568"/>
      <c r="L55" s="568">
        <v>6250</v>
      </c>
      <c r="M55" s="569">
        <f t="shared" si="23"/>
        <v>6250</v>
      </c>
      <c r="N55" s="568"/>
      <c r="O55" s="568"/>
      <c r="P55" s="568"/>
      <c r="Q55" s="568"/>
      <c r="R55" s="569"/>
      <c r="S55" s="568"/>
      <c r="T55" s="568"/>
      <c r="U55" s="572"/>
      <c r="V55" s="565">
        <f t="shared" si="24"/>
        <v>12500</v>
      </c>
      <c r="W55" s="1"/>
      <c r="X55" s="529"/>
    </row>
    <row r="56" spans="2:24" x14ac:dyDescent="0.2">
      <c r="B56" s="198"/>
      <c r="C56" s="821" t="s">
        <v>419</v>
      </c>
      <c r="D56" s="566"/>
      <c r="E56" s="567"/>
      <c r="F56" s="568"/>
      <c r="G56" s="572"/>
      <c r="H56" s="568"/>
      <c r="I56" s="568"/>
      <c r="J56" s="568"/>
      <c r="K56" s="568"/>
      <c r="L56" s="568"/>
      <c r="M56" s="569"/>
      <c r="N56" s="568"/>
      <c r="O56" s="568"/>
      <c r="P56" s="568"/>
      <c r="Q56" s="568"/>
      <c r="R56" s="569"/>
      <c r="S56" s="568"/>
      <c r="T56" s="568"/>
      <c r="U56" s="570"/>
      <c r="V56" s="571"/>
    </row>
    <row r="57" spans="2:24" x14ac:dyDescent="0.2">
      <c r="B57" s="577"/>
      <c r="C57" s="821" t="s">
        <v>419</v>
      </c>
      <c r="D57" s="679" t="s">
        <v>651</v>
      </c>
      <c r="E57" s="567">
        <f>E58</f>
        <v>3772.49</v>
      </c>
      <c r="F57" s="568"/>
      <c r="G57" s="572"/>
      <c r="H57" s="568"/>
      <c r="I57" s="568"/>
      <c r="J57" s="568"/>
      <c r="K57" s="568"/>
      <c r="L57" s="568"/>
      <c r="M57" s="874"/>
      <c r="N57" s="568"/>
      <c r="O57" s="568"/>
      <c r="P57" s="568"/>
      <c r="Q57" s="568"/>
      <c r="R57" s="568"/>
      <c r="S57" s="568"/>
      <c r="T57" s="568"/>
      <c r="U57" s="568"/>
      <c r="V57" s="571"/>
    </row>
    <row r="58" spans="2:24" x14ac:dyDescent="0.2">
      <c r="B58" s="198" t="s">
        <v>570</v>
      </c>
      <c r="C58" s="821" t="s">
        <v>419</v>
      </c>
      <c r="D58" s="561" t="s">
        <v>442</v>
      </c>
      <c r="E58" s="572">
        <v>3772.49</v>
      </c>
      <c r="F58" s="568"/>
      <c r="G58" s="572"/>
      <c r="H58" s="568"/>
      <c r="I58" s="568"/>
      <c r="J58" s="568"/>
      <c r="K58" s="568"/>
      <c r="L58" s="568"/>
      <c r="M58" s="569"/>
      <c r="N58" s="568"/>
      <c r="O58" s="568"/>
      <c r="P58" s="568"/>
      <c r="Q58" s="568"/>
      <c r="R58" s="569"/>
      <c r="S58" s="568"/>
      <c r="T58" s="568"/>
      <c r="U58" s="569"/>
      <c r="V58" s="571"/>
    </row>
    <row r="59" spans="2:24" x14ac:dyDescent="0.2">
      <c r="B59" s="198"/>
      <c r="C59" s="821" t="s">
        <v>419</v>
      </c>
      <c r="D59" s="566"/>
      <c r="E59" s="567"/>
      <c r="F59" s="568"/>
      <c r="G59" s="572"/>
      <c r="H59" s="568"/>
      <c r="I59" s="568"/>
      <c r="J59" s="568"/>
      <c r="K59" s="568"/>
      <c r="L59" s="568"/>
      <c r="M59" s="569"/>
      <c r="N59" s="568"/>
      <c r="O59" s="568"/>
      <c r="P59" s="568"/>
      <c r="Q59" s="568"/>
      <c r="R59" s="569"/>
      <c r="S59" s="568"/>
      <c r="T59" s="568"/>
      <c r="U59" s="569"/>
      <c r="V59" s="571"/>
    </row>
    <row r="60" spans="2:24" s="75" customFormat="1" ht="50.25" customHeight="1" x14ac:dyDescent="0.2">
      <c r="B60" s="578"/>
      <c r="C60" s="817" t="s">
        <v>419</v>
      </c>
      <c r="D60" s="810" t="s">
        <v>696</v>
      </c>
      <c r="E60" s="579"/>
      <c r="F60" s="580"/>
      <c r="G60" s="585"/>
      <c r="H60" s="580"/>
      <c r="I60" s="580"/>
      <c r="J60" s="580"/>
      <c r="K60" s="580"/>
      <c r="L60" s="580"/>
      <c r="M60" s="581"/>
      <c r="N60" s="579">
        <f>N61</f>
        <v>177.1</v>
      </c>
      <c r="O60" s="580"/>
      <c r="P60" s="580"/>
      <c r="Q60" s="580"/>
      <c r="R60" s="581"/>
      <c r="S60" s="573"/>
      <c r="T60" s="573"/>
      <c r="U60" s="574"/>
      <c r="V60" s="584">
        <f>SUM(E60:U60)</f>
        <v>177.1</v>
      </c>
    </row>
    <row r="61" spans="2:24" s="75" customFormat="1" x14ac:dyDescent="0.2">
      <c r="B61" s="816">
        <v>54108</v>
      </c>
      <c r="C61" s="817" t="s">
        <v>419</v>
      </c>
      <c r="D61" s="818" t="s">
        <v>698</v>
      </c>
      <c r="E61" s="580"/>
      <c r="F61" s="580"/>
      <c r="G61" s="585"/>
      <c r="H61" s="580"/>
      <c r="I61" s="580"/>
      <c r="J61" s="580"/>
      <c r="K61" s="580"/>
      <c r="L61" s="580"/>
      <c r="M61" s="875"/>
      <c r="N61" s="580">
        <v>177.1</v>
      </c>
      <c r="O61" s="580"/>
      <c r="P61" s="580"/>
      <c r="Q61" s="580"/>
      <c r="R61" s="580"/>
      <c r="S61" s="573"/>
      <c r="T61" s="573"/>
      <c r="U61" s="568"/>
      <c r="V61" s="586">
        <f>SUM(E61:U61)</f>
        <v>177.1</v>
      </c>
    </row>
    <row r="62" spans="2:24" s="75" customFormat="1" x14ac:dyDescent="0.2">
      <c r="B62" s="578"/>
      <c r="C62" s="817" t="s">
        <v>419</v>
      </c>
      <c r="D62" s="566"/>
      <c r="E62" s="579"/>
      <c r="F62" s="580"/>
      <c r="G62" s="585"/>
      <c r="H62" s="580"/>
      <c r="I62" s="580"/>
      <c r="J62" s="580"/>
      <c r="K62" s="580"/>
      <c r="L62" s="580"/>
      <c r="M62" s="581"/>
      <c r="N62" s="579"/>
      <c r="O62" s="579"/>
      <c r="P62" s="579"/>
      <c r="Q62" s="582"/>
      <c r="R62" s="582"/>
      <c r="S62" s="567"/>
      <c r="T62" s="573"/>
      <c r="U62" s="574"/>
      <c r="V62" s="584"/>
    </row>
    <row r="63" spans="2:24" s="75" customFormat="1" x14ac:dyDescent="0.2">
      <c r="B63" s="578"/>
      <c r="C63" s="817" t="s">
        <v>419</v>
      </c>
      <c r="D63" s="566" t="s">
        <v>443</v>
      </c>
      <c r="E63" s="579">
        <f>E64</f>
        <v>904.67</v>
      </c>
      <c r="F63" s="582">
        <f>F64</f>
        <v>201.1</v>
      </c>
      <c r="G63" s="579">
        <f>G64</f>
        <v>0</v>
      </c>
      <c r="H63" s="582">
        <f t="shared" ref="H63:L63" si="25">H64</f>
        <v>0</v>
      </c>
      <c r="I63" s="582">
        <f t="shared" si="25"/>
        <v>0</v>
      </c>
      <c r="J63" s="582">
        <f t="shared" si="25"/>
        <v>0</v>
      </c>
      <c r="K63" s="582">
        <f t="shared" si="25"/>
        <v>0</v>
      </c>
      <c r="L63" s="582">
        <f t="shared" si="25"/>
        <v>0</v>
      </c>
      <c r="M63" s="876">
        <f>M64</f>
        <v>0</v>
      </c>
      <c r="N63" s="582"/>
      <c r="O63" s="582"/>
      <c r="P63" s="582"/>
      <c r="Q63" s="582"/>
      <c r="R63" s="582"/>
      <c r="S63" s="876">
        <f>S64</f>
        <v>840</v>
      </c>
      <c r="T63" s="573">
        <f>T64</f>
        <v>0</v>
      </c>
      <c r="U63" s="574">
        <f>U64</f>
        <v>47075.040000000001</v>
      </c>
      <c r="V63" s="582">
        <f>V64</f>
        <v>49020.81</v>
      </c>
    </row>
    <row r="64" spans="2:24" s="75" customFormat="1" x14ac:dyDescent="0.2">
      <c r="B64" s="578" t="s">
        <v>571</v>
      </c>
      <c r="C64" s="817" t="s">
        <v>419</v>
      </c>
      <c r="D64" s="561" t="s">
        <v>443</v>
      </c>
      <c r="E64" s="585">
        <v>904.67</v>
      </c>
      <c r="F64" s="580">
        <v>201.1</v>
      </c>
      <c r="G64" s="585">
        <v>0</v>
      </c>
      <c r="H64" s="580">
        <v>0</v>
      </c>
      <c r="I64" s="580">
        <v>0</v>
      </c>
      <c r="J64" s="580">
        <v>0</v>
      </c>
      <c r="K64" s="580">
        <v>0</v>
      </c>
      <c r="L64" s="580">
        <v>0</v>
      </c>
      <c r="M64" s="875">
        <v>0</v>
      </c>
      <c r="N64" s="580"/>
      <c r="O64" s="580"/>
      <c r="P64" s="580"/>
      <c r="Q64" s="580"/>
      <c r="R64" s="580"/>
      <c r="S64" s="875">
        <v>840</v>
      </c>
      <c r="T64" s="568"/>
      <c r="U64" s="569">
        <f>42506.6+4573.44-5</f>
        <v>47075.040000000001</v>
      </c>
      <c r="V64" s="586">
        <f>SUM(E64:U64)</f>
        <v>49020.81</v>
      </c>
    </row>
    <row r="65" spans="1:22" s="75" customFormat="1" x14ac:dyDescent="0.2">
      <c r="B65" s="578"/>
      <c r="C65" s="817" t="s">
        <v>419</v>
      </c>
      <c r="D65" s="561"/>
      <c r="E65" s="585"/>
      <c r="F65" s="580"/>
      <c r="G65" s="585"/>
      <c r="H65" s="580"/>
      <c r="I65" s="580"/>
      <c r="J65" s="580"/>
      <c r="K65" s="580"/>
      <c r="L65" s="580"/>
      <c r="M65" s="581"/>
      <c r="N65" s="580"/>
      <c r="O65" s="580"/>
      <c r="P65" s="580"/>
      <c r="Q65" s="580"/>
      <c r="R65" s="581"/>
      <c r="S65" s="567"/>
      <c r="T65" s="573"/>
      <c r="U65" s="574"/>
      <c r="V65" s="586">
        <f>SUM(E65:U65)</f>
        <v>0</v>
      </c>
    </row>
    <row r="66" spans="1:22" s="75" customFormat="1" x14ac:dyDescent="0.2">
      <c r="B66" s="578"/>
      <c r="C66" s="817" t="s">
        <v>419</v>
      </c>
      <c r="D66" s="566" t="s">
        <v>611</v>
      </c>
      <c r="E66" s="579">
        <f>E67</f>
        <v>810</v>
      </c>
      <c r="F66" s="580"/>
      <c r="G66" s="579">
        <f>G67</f>
        <v>986.21999999999991</v>
      </c>
      <c r="H66" s="582">
        <f t="shared" ref="H66:L66" si="26">H67</f>
        <v>14515.26</v>
      </c>
      <c r="I66" s="582">
        <f t="shared" si="26"/>
        <v>5597.39</v>
      </c>
      <c r="J66" s="582">
        <f t="shared" si="26"/>
        <v>0</v>
      </c>
      <c r="K66" s="582">
        <f t="shared" si="26"/>
        <v>0</v>
      </c>
      <c r="L66" s="582">
        <f t="shared" si="26"/>
        <v>11626.91</v>
      </c>
      <c r="M66" s="876">
        <f>M67</f>
        <v>31739.56</v>
      </c>
      <c r="N66" s="579"/>
      <c r="O66" s="580"/>
      <c r="P66" s="579"/>
      <c r="Q66" s="580"/>
      <c r="R66" s="581"/>
      <c r="S66" s="567">
        <f>SUM(S67)</f>
        <v>0</v>
      </c>
      <c r="T66" s="573">
        <f>SUM(T67)</f>
        <v>91.38000000000001</v>
      </c>
      <c r="U66" s="574">
        <f>SUM(U67)</f>
        <v>0</v>
      </c>
      <c r="V66" s="584">
        <f>V67</f>
        <v>65366.719999999994</v>
      </c>
    </row>
    <row r="67" spans="1:22" s="560" customFormat="1" x14ac:dyDescent="0.2">
      <c r="A67" s="75"/>
      <c r="B67" s="578">
        <v>72201</v>
      </c>
      <c r="C67" s="823" t="s">
        <v>419</v>
      </c>
      <c r="D67" s="561" t="s">
        <v>591</v>
      </c>
      <c r="E67" s="585">
        <v>810</v>
      </c>
      <c r="F67" s="582"/>
      <c r="G67" s="585">
        <f>548.05+106.5+310+21.67</f>
        <v>986.21999999999991</v>
      </c>
      <c r="H67" s="580">
        <v>14515.26</v>
      </c>
      <c r="I67" s="580">
        <f>97.39+5500</f>
        <v>5597.39</v>
      </c>
      <c r="J67" s="580"/>
      <c r="K67" s="580"/>
      <c r="L67" s="580">
        <f>41.11+36+6049.8+2500+3000</f>
        <v>11626.91</v>
      </c>
      <c r="M67" s="569">
        <f t="shared" ref="M67" si="27">SUM(H67:L67)</f>
        <v>31739.56</v>
      </c>
      <c r="N67" s="585"/>
      <c r="O67" s="582"/>
      <c r="P67" s="585"/>
      <c r="Q67" s="580"/>
      <c r="R67" s="583"/>
      <c r="S67" s="585"/>
      <c r="T67" s="580">
        <f>77.62+13.76</f>
        <v>91.38000000000001</v>
      </c>
      <c r="U67" s="581">
        <v>0</v>
      </c>
      <c r="V67" s="586">
        <f>SUM(E67:U67)</f>
        <v>65366.719999999994</v>
      </c>
    </row>
    <row r="68" spans="1:22" ht="13.5" thickBot="1" x14ac:dyDescent="0.25">
      <c r="B68" s="587" t="s">
        <v>419</v>
      </c>
      <c r="C68" s="821" t="s">
        <v>419</v>
      </c>
      <c r="D68" s="561"/>
      <c r="E68" s="572"/>
      <c r="F68" s="568"/>
      <c r="G68" s="572"/>
      <c r="H68" s="568"/>
      <c r="I68" s="568"/>
      <c r="J68" s="568"/>
      <c r="K68" s="568"/>
      <c r="L68" s="568"/>
      <c r="M68" s="569"/>
      <c r="N68" s="568"/>
      <c r="O68" s="568"/>
      <c r="P68" s="568"/>
      <c r="Q68" s="568"/>
      <c r="R68" s="569"/>
      <c r="S68" s="572"/>
      <c r="T68" s="576"/>
      <c r="U68" s="570"/>
      <c r="V68" s="571"/>
    </row>
    <row r="69" spans="1:22" ht="17.25" customHeight="1" thickBot="1" x14ac:dyDescent="0.25">
      <c r="B69" s="588"/>
      <c r="C69" s="824" t="s">
        <v>419</v>
      </c>
      <c r="D69" s="819" t="s">
        <v>516</v>
      </c>
      <c r="E69" s="589">
        <f>E57+E63+E66</f>
        <v>5487.16</v>
      </c>
      <c r="F69" s="591">
        <f>F63</f>
        <v>201.1</v>
      </c>
      <c r="G69" s="878">
        <f t="shared" ref="G69:L69" si="28">G14+G18+G23+G28+G37+G43+G50+G66</f>
        <v>986.21999999999991</v>
      </c>
      <c r="H69" s="591">
        <f t="shared" si="28"/>
        <v>54207.05</v>
      </c>
      <c r="I69" s="591">
        <f t="shared" si="28"/>
        <v>35072.39</v>
      </c>
      <c r="J69" s="591">
        <f t="shared" si="28"/>
        <v>49199.999999999993</v>
      </c>
      <c r="K69" s="591">
        <f t="shared" si="28"/>
        <v>2900</v>
      </c>
      <c r="L69" s="591">
        <f t="shared" si="28"/>
        <v>99914.289999999004</v>
      </c>
      <c r="M69" s="590">
        <f>M14+M18+M23+M28+M37+M43+M50+M66</f>
        <v>241293.72999999899</v>
      </c>
      <c r="N69" s="591">
        <f>N60+N66</f>
        <v>177.1</v>
      </c>
      <c r="O69" s="591">
        <v>0</v>
      </c>
      <c r="P69" s="591">
        <v>0</v>
      </c>
      <c r="Q69" s="591">
        <v>0</v>
      </c>
      <c r="R69" s="590">
        <v>0</v>
      </c>
      <c r="S69" s="590">
        <f>S63</f>
        <v>840</v>
      </c>
      <c r="T69" s="592">
        <f>T66</f>
        <v>91.38000000000001</v>
      </c>
      <c r="U69" s="592">
        <f>U63+U66</f>
        <v>47075.040000000001</v>
      </c>
      <c r="V69" s="718">
        <f>V14+V18+V23+V28+V37+V43+V50+V60+V63+V66</f>
        <v>533672.96999999799</v>
      </c>
    </row>
    <row r="70" spans="1:22" ht="17.25" customHeight="1" x14ac:dyDescent="0.2">
      <c r="B70" s="561"/>
      <c r="C70" s="594"/>
      <c r="D70" s="566"/>
      <c r="E70" s="574"/>
      <c r="F70" s="574"/>
      <c r="G70" s="574"/>
      <c r="H70" s="574"/>
      <c r="I70" s="574"/>
      <c r="J70" s="574"/>
      <c r="K70" s="574"/>
      <c r="L70" s="574"/>
      <c r="M70" s="574"/>
      <c r="N70" s="574"/>
      <c r="O70" s="574"/>
      <c r="P70" s="574"/>
      <c r="Q70" s="574"/>
      <c r="R70" s="574"/>
      <c r="S70" s="574"/>
      <c r="T70" s="574"/>
      <c r="U70" s="574"/>
      <c r="V70" s="595"/>
    </row>
    <row r="71" spans="1:22" ht="17.25" customHeight="1" x14ac:dyDescent="0.2">
      <c r="B71" s="561"/>
      <c r="C71" s="594"/>
      <c r="D71" s="566"/>
      <c r="E71" s="955">
        <f>'ING. REALES'!D75-'ING. REALES'!D62</f>
        <v>5487.16</v>
      </c>
      <c r="F71" s="955">
        <f>'ING. REALES'!E75-'ING. REALES'!E62</f>
        <v>201.1</v>
      </c>
      <c r="G71" s="955">
        <v>0</v>
      </c>
      <c r="H71" s="955"/>
      <c r="I71" s="955"/>
      <c r="J71" s="955"/>
      <c r="K71" s="955"/>
      <c r="L71" s="955"/>
      <c r="M71" s="1349"/>
      <c r="N71" s="955">
        <f>'ING. REALES'!K75</f>
        <v>177.1</v>
      </c>
      <c r="O71" s="955">
        <v>0</v>
      </c>
      <c r="P71" s="955">
        <v>0</v>
      </c>
      <c r="Q71" s="955">
        <f>'ING. REALES'!P75</f>
        <v>0</v>
      </c>
      <c r="R71" s="955">
        <v>0</v>
      </c>
      <c r="S71" s="955">
        <f>'ING. REALES'!J75</f>
        <v>840</v>
      </c>
      <c r="T71" s="955">
        <f>'ING. REALES'!L75</f>
        <v>91.38</v>
      </c>
      <c r="U71" s="955">
        <f>'ING. REALES'!Q75</f>
        <v>47075.040000000023</v>
      </c>
      <c r="V71" s="595"/>
    </row>
    <row r="72" spans="1:22" x14ac:dyDescent="0.2">
      <c r="E72" s="920"/>
      <c r="F72" s="920"/>
      <c r="G72" s="920"/>
      <c r="H72" s="920"/>
      <c r="I72" s="920"/>
      <c r="J72" s="920"/>
      <c r="K72" s="920"/>
      <c r="L72" s="920"/>
      <c r="M72" s="920"/>
      <c r="N72" s="920"/>
      <c r="O72" s="920"/>
      <c r="P72" s="920"/>
      <c r="Q72" s="920"/>
      <c r="R72" s="920"/>
      <c r="S72" s="920"/>
      <c r="T72" s="920"/>
      <c r="U72" s="920"/>
      <c r="V72" s="1"/>
    </row>
    <row r="73" spans="1:22" x14ac:dyDescent="0.2">
      <c r="E73" s="920">
        <f>+E69-E71</f>
        <v>0</v>
      </c>
      <c r="F73" s="920">
        <f>+F69-F71</f>
        <v>0</v>
      </c>
      <c r="G73" s="920">
        <f>+G69-G71</f>
        <v>986.21999999999991</v>
      </c>
      <c r="H73" s="920"/>
      <c r="I73" s="920"/>
      <c r="J73" s="920"/>
      <c r="K73" s="920"/>
      <c r="L73" s="920"/>
      <c r="M73" s="920">
        <f>+M69-M71</f>
        <v>241293.72999999899</v>
      </c>
      <c r="N73" s="920">
        <f>+N69-N71</f>
        <v>0</v>
      </c>
      <c r="O73" s="920">
        <f t="shared" ref="O73:R73" si="29">+O69-O71</f>
        <v>0</v>
      </c>
      <c r="P73" s="920">
        <f t="shared" si="29"/>
        <v>0</v>
      </c>
      <c r="Q73" s="920">
        <f t="shared" si="29"/>
        <v>0</v>
      </c>
      <c r="R73" s="920">
        <f t="shared" si="29"/>
        <v>0</v>
      </c>
      <c r="S73" s="920">
        <f>+S69-S71</f>
        <v>0</v>
      </c>
      <c r="T73" s="920">
        <f>+T69-T71</f>
        <v>0</v>
      </c>
      <c r="U73" s="920">
        <f>+U69-U71</f>
        <v>0</v>
      </c>
      <c r="V73" s="1"/>
    </row>
    <row r="74" spans="1:22" x14ac:dyDescent="0.2">
      <c r="E74" s="385"/>
      <c r="F74" s="385"/>
      <c r="G74" s="385"/>
      <c r="H74" s="385"/>
      <c r="I74" s="385"/>
      <c r="J74" s="385"/>
      <c r="K74" s="385"/>
      <c r="L74" s="385"/>
      <c r="M74" s="385"/>
      <c r="N74" s="385"/>
      <c r="O74" s="385"/>
      <c r="P74" s="385"/>
      <c r="Q74" s="385"/>
      <c r="R74" s="956"/>
      <c r="S74" s="920"/>
      <c r="T74" s="920"/>
      <c r="U74" s="957"/>
    </row>
    <row r="75" spans="1:22" x14ac:dyDescent="0.2">
      <c r="D75" s="157"/>
      <c r="E75" s="916"/>
      <c r="F75" s="385"/>
      <c r="G75" s="385"/>
      <c r="H75" s="385"/>
      <c r="I75" s="385"/>
      <c r="J75" s="385"/>
      <c r="K75" s="385"/>
      <c r="L75" s="385"/>
      <c r="M75" s="385"/>
      <c r="N75" s="385"/>
      <c r="O75" s="385"/>
      <c r="P75" s="385"/>
      <c r="Q75" s="385"/>
      <c r="R75" s="920"/>
      <c r="S75" s="920"/>
      <c r="T75" s="920"/>
      <c r="U75" s="385"/>
    </row>
    <row r="76" spans="1:22" x14ac:dyDescent="0.2">
      <c r="D76" s="157"/>
      <c r="E76" s="385"/>
      <c r="F76" s="925"/>
      <c r="G76" s="958"/>
      <c r="H76" s="958"/>
      <c r="I76" s="958"/>
      <c r="J76" s="958"/>
      <c r="K76" s="958"/>
      <c r="L76" s="958"/>
      <c r="M76" s="958"/>
      <c r="N76" s="925"/>
      <c r="O76" s="925"/>
      <c r="P76" s="925"/>
      <c r="Q76" s="925"/>
      <c r="R76" s="925"/>
      <c r="S76" s="915"/>
      <c r="T76" s="927"/>
      <c r="U76" s="925"/>
    </row>
    <row r="77" spans="1:22" x14ac:dyDescent="0.2">
      <c r="D77" s="157"/>
      <c r="E77" s="385"/>
      <c r="F77" s="959"/>
      <c r="G77" s="958"/>
      <c r="H77" s="958"/>
      <c r="I77" s="958"/>
      <c r="J77" s="958"/>
      <c r="K77" s="958"/>
      <c r="L77" s="958"/>
      <c r="M77" s="958"/>
      <c r="N77" s="959"/>
      <c r="O77" s="925"/>
      <c r="P77" s="925"/>
      <c r="Q77" s="925"/>
      <c r="R77" s="925"/>
      <c r="S77" s="959"/>
      <c r="T77" s="925"/>
      <c r="U77" s="925"/>
    </row>
    <row r="78" spans="1:22" x14ac:dyDescent="0.2">
      <c r="D78" s="157"/>
      <c r="E78" s="385"/>
      <c r="F78" s="925" t="s">
        <v>868</v>
      </c>
      <c r="G78" s="958">
        <f>548.05</f>
        <v>548.04999999999995</v>
      </c>
      <c r="H78" s="958"/>
      <c r="I78" s="958"/>
      <c r="J78" s="958"/>
      <c r="K78" s="958"/>
      <c r="L78" s="958"/>
      <c r="M78" s="958"/>
      <c r="N78" s="925"/>
      <c r="O78" s="925"/>
      <c r="P78" s="925"/>
      <c r="Q78" s="925"/>
      <c r="R78" s="925"/>
      <c r="S78" s="925"/>
      <c r="T78" s="925"/>
      <c r="U78" s="925"/>
    </row>
    <row r="79" spans="1:22" x14ac:dyDescent="0.2">
      <c r="E79" s="385"/>
      <c r="F79" s="925" t="s">
        <v>869</v>
      </c>
      <c r="G79" s="958"/>
      <c r="H79" s="958"/>
      <c r="I79" s="958"/>
      <c r="J79" s="958"/>
      <c r="K79" s="958"/>
      <c r="L79" s="958"/>
      <c r="M79" s="958">
        <v>6049.8</v>
      </c>
      <c r="N79" s="925"/>
      <c r="O79" s="925"/>
      <c r="P79" s="925"/>
      <c r="Q79" s="925"/>
      <c r="R79" s="925"/>
      <c r="S79" s="959"/>
      <c r="T79" s="925"/>
      <c r="U79" s="925"/>
    </row>
    <row r="80" spans="1:22" x14ac:dyDescent="0.2">
      <c r="E80" s="385"/>
      <c r="F80" s="959" t="s">
        <v>870</v>
      </c>
      <c r="G80" s="925"/>
      <c r="H80" s="925"/>
      <c r="I80" s="925"/>
      <c r="J80" s="925"/>
      <c r="K80" s="925"/>
      <c r="L80" s="925"/>
      <c r="M80" s="958">
        <v>5500</v>
      </c>
      <c r="N80" s="959"/>
      <c r="O80" s="925"/>
      <c r="P80" s="925"/>
      <c r="Q80" s="925"/>
      <c r="R80" s="925"/>
      <c r="S80" s="925"/>
      <c r="T80" s="925"/>
      <c r="U80" s="925"/>
    </row>
    <row r="81" spans="4:21" x14ac:dyDescent="0.2">
      <c r="D81" s="7" t="s">
        <v>419</v>
      </c>
      <c r="E81" s="385"/>
      <c r="F81" s="925" t="s">
        <v>871</v>
      </c>
      <c r="G81" s="925"/>
      <c r="H81" s="925"/>
      <c r="I81" s="925"/>
      <c r="J81" s="925"/>
      <c r="K81" s="925"/>
      <c r="L81" s="925"/>
      <c r="M81" s="958">
        <v>2500</v>
      </c>
      <c r="N81" s="925"/>
      <c r="O81" s="925"/>
      <c r="P81" s="925"/>
      <c r="Q81" s="925"/>
      <c r="R81" s="925"/>
      <c r="S81" s="925"/>
      <c r="T81" s="925"/>
      <c r="U81" s="925"/>
    </row>
    <row r="82" spans="4:21" x14ac:dyDescent="0.2">
      <c r="E82" s="385"/>
      <c r="F82" s="925" t="s">
        <v>872</v>
      </c>
      <c r="G82" s="925"/>
      <c r="H82" s="925"/>
      <c r="I82" s="925"/>
      <c r="J82" s="925"/>
      <c r="K82" s="925"/>
      <c r="L82" s="925"/>
      <c r="M82" s="958">
        <v>3000</v>
      </c>
      <c r="N82" s="925"/>
      <c r="O82" s="925"/>
      <c r="P82" s="925"/>
      <c r="Q82" s="925"/>
      <c r="R82" s="925"/>
      <c r="S82" s="925"/>
      <c r="T82" s="925"/>
      <c r="U82" s="925"/>
    </row>
    <row r="83" spans="4:21" x14ac:dyDescent="0.2">
      <c r="E83" s="385"/>
      <c r="F83" s="385"/>
      <c r="G83" s="925"/>
      <c r="H83" s="925"/>
      <c r="I83" s="925"/>
      <c r="J83" s="925"/>
      <c r="K83" s="925"/>
      <c r="L83" s="925"/>
      <c r="M83" s="925"/>
      <c r="N83" s="385"/>
      <c r="O83" s="385"/>
      <c r="P83" s="385"/>
      <c r="Q83" s="385"/>
      <c r="R83" s="385"/>
      <c r="S83" s="385"/>
      <c r="T83" s="385"/>
      <c r="U83" s="385"/>
    </row>
    <row r="84" spans="4:21" x14ac:dyDescent="0.2">
      <c r="E84" s="385"/>
      <c r="F84" s="385"/>
      <c r="G84" s="385"/>
      <c r="H84" s="385"/>
      <c r="I84" s="385"/>
      <c r="J84" s="385"/>
      <c r="K84" s="385"/>
      <c r="L84" s="385"/>
      <c r="M84" s="920">
        <f>SUM(M79:M83)</f>
        <v>17049.8</v>
      </c>
      <c r="N84" s="385"/>
      <c r="O84" s="385"/>
      <c r="P84" s="385"/>
      <c r="Q84" s="385"/>
      <c r="R84" s="385"/>
      <c r="S84" s="385"/>
      <c r="T84" s="385"/>
      <c r="U84" s="385"/>
    </row>
    <row r="85" spans="4:21" x14ac:dyDescent="0.2">
      <c r="E85" s="385"/>
      <c r="F85" s="385"/>
      <c r="G85" s="385"/>
      <c r="H85" s="385"/>
      <c r="I85" s="385"/>
      <c r="J85" s="385"/>
      <c r="K85" s="385"/>
      <c r="L85" s="385"/>
      <c r="M85" s="385"/>
      <c r="N85" s="385"/>
      <c r="O85" s="385"/>
      <c r="P85" s="385"/>
      <c r="Q85" s="385"/>
      <c r="R85" s="385"/>
      <c r="S85" s="385"/>
      <c r="T85" s="385"/>
      <c r="U85" s="385"/>
    </row>
    <row r="86" spans="4:21" x14ac:dyDescent="0.2">
      <c r="E86" s="385"/>
      <c r="F86" s="385"/>
      <c r="G86" s="385"/>
      <c r="H86" s="385"/>
      <c r="I86" s="385"/>
      <c r="J86" s="385"/>
      <c r="K86" s="385"/>
      <c r="L86" s="385"/>
      <c r="M86" s="385"/>
      <c r="N86" s="385"/>
      <c r="O86" s="385"/>
      <c r="P86" s="385"/>
      <c r="Q86" s="385"/>
      <c r="R86" s="385"/>
      <c r="S86" s="385"/>
      <c r="T86" s="385"/>
      <c r="U86" s="385"/>
    </row>
    <row r="91" spans="4:21" x14ac:dyDescent="0.2">
      <c r="H91" s="16"/>
      <c r="I91" s="16"/>
      <c r="J91" s="16"/>
      <c r="K91" s="16"/>
      <c r="L91" s="16"/>
    </row>
    <row r="92" spans="4:21" x14ac:dyDescent="0.2">
      <c r="H92" s="16"/>
      <c r="I92" s="16"/>
      <c r="J92" s="16"/>
      <c r="K92" s="16"/>
      <c r="L92" s="16"/>
    </row>
    <row r="93" spans="4:21" x14ac:dyDescent="0.2">
      <c r="H93" s="16"/>
      <c r="I93" s="16"/>
      <c r="J93" s="16"/>
      <c r="K93" s="16"/>
      <c r="L93" s="16"/>
    </row>
    <row r="94" spans="4:21" x14ac:dyDescent="0.2">
      <c r="H94" s="16"/>
      <c r="I94" s="16"/>
      <c r="J94" s="16"/>
      <c r="K94" s="16"/>
      <c r="L94" s="16"/>
    </row>
    <row r="95" spans="4:21" x14ac:dyDescent="0.2">
      <c r="H95" s="16"/>
      <c r="I95" s="16"/>
      <c r="J95" s="16"/>
      <c r="K95" s="16"/>
      <c r="L95" s="16"/>
    </row>
    <row r="96" spans="4:21" x14ac:dyDescent="0.2">
      <c r="H96" s="16"/>
      <c r="I96" s="16"/>
      <c r="J96" s="16"/>
      <c r="K96" s="16"/>
      <c r="L96" s="16"/>
    </row>
    <row r="97" spans="8:14" x14ac:dyDescent="0.2">
      <c r="H97" s="16"/>
      <c r="I97" s="16"/>
      <c r="J97" s="16"/>
      <c r="K97" s="16"/>
      <c r="L97" s="16"/>
    </row>
    <row r="98" spans="8:14" x14ac:dyDescent="0.2">
      <c r="H98" s="16"/>
      <c r="I98" s="16"/>
      <c r="J98" s="16"/>
      <c r="K98" s="16"/>
      <c r="L98" s="16"/>
    </row>
    <row r="99" spans="8:14" x14ac:dyDescent="0.2">
      <c r="H99" s="16"/>
      <c r="I99" s="16"/>
      <c r="J99" s="16"/>
      <c r="K99" s="16"/>
      <c r="L99" s="16"/>
      <c r="N99" s="1"/>
    </row>
    <row r="100" spans="8:14" x14ac:dyDescent="0.2">
      <c r="H100" s="16"/>
      <c r="I100" s="16"/>
      <c r="J100" s="16"/>
      <c r="K100" s="16"/>
      <c r="L100" s="16"/>
    </row>
    <row r="101" spans="8:14" x14ac:dyDescent="0.2">
      <c r="H101" s="16"/>
      <c r="I101" s="16"/>
      <c r="J101" s="16"/>
      <c r="K101" s="16"/>
      <c r="L101" s="16"/>
    </row>
    <row r="102" spans="8:14" x14ac:dyDescent="0.2">
      <c r="H102" s="16"/>
      <c r="I102" s="16"/>
      <c r="J102" s="16"/>
      <c r="K102" s="16"/>
      <c r="L102" s="16"/>
    </row>
    <row r="103" spans="8:14" x14ac:dyDescent="0.2">
      <c r="H103" s="16"/>
      <c r="I103" s="16"/>
      <c r="J103" s="16"/>
      <c r="K103" s="16"/>
      <c r="L103" s="16"/>
      <c r="M103" s="219"/>
    </row>
    <row r="104" spans="8:14" x14ac:dyDescent="0.2">
      <c r="H104" s="16"/>
      <c r="I104" s="16"/>
      <c r="J104" s="16"/>
      <c r="K104" s="16"/>
      <c r="L104" s="16"/>
    </row>
    <row r="105" spans="8:14" x14ac:dyDescent="0.2">
      <c r="H105" s="16"/>
      <c r="I105" s="16"/>
      <c r="J105" s="16"/>
      <c r="K105" s="16"/>
      <c r="L105" s="16"/>
    </row>
    <row r="106" spans="8:14" x14ac:dyDescent="0.2">
      <c r="H106" s="16"/>
      <c r="I106" s="16"/>
      <c r="J106" s="16"/>
      <c r="K106" s="16"/>
      <c r="L106" s="16"/>
    </row>
    <row r="107" spans="8:14" x14ac:dyDescent="0.2">
      <c r="H107" s="16"/>
      <c r="I107" s="16"/>
      <c r="J107" s="16"/>
      <c r="K107" s="16"/>
      <c r="L107" s="16"/>
    </row>
    <row r="108" spans="8:14" x14ac:dyDescent="0.2">
      <c r="H108" s="16"/>
      <c r="I108" s="16"/>
      <c r="J108" s="16"/>
      <c r="K108" s="16"/>
      <c r="L108" s="16"/>
    </row>
    <row r="109" spans="8:14" x14ac:dyDescent="0.2">
      <c r="H109" s="16"/>
      <c r="I109" s="16"/>
      <c r="J109" s="16"/>
      <c r="K109" s="16"/>
      <c r="L109" s="16"/>
    </row>
    <row r="110" spans="8:14" x14ac:dyDescent="0.2">
      <c r="H110" s="16"/>
      <c r="I110" s="16"/>
      <c r="J110" s="16"/>
      <c r="K110" s="16"/>
      <c r="L110" s="16"/>
    </row>
    <row r="111" spans="8:14" x14ac:dyDescent="0.2">
      <c r="H111" s="16"/>
      <c r="I111" s="16"/>
      <c r="J111" s="16"/>
      <c r="K111" s="16"/>
      <c r="L111" s="16"/>
      <c r="M111" s="219"/>
    </row>
    <row r="112" spans="8:14" x14ac:dyDescent="0.2">
      <c r="H112" s="16"/>
      <c r="I112" s="16"/>
      <c r="J112" s="16"/>
      <c r="K112" s="16"/>
      <c r="L112" s="16"/>
    </row>
    <row r="113" spans="8:13" x14ac:dyDescent="0.2">
      <c r="H113" s="16"/>
      <c r="I113" s="16"/>
      <c r="J113" s="16"/>
      <c r="K113" s="16"/>
      <c r="L113" s="16"/>
    </row>
    <row r="114" spans="8:13" x14ac:dyDescent="0.2">
      <c r="H114" s="16"/>
      <c r="I114" s="16"/>
      <c r="J114" s="16"/>
      <c r="K114" s="16"/>
      <c r="L114" s="16"/>
    </row>
    <row r="115" spans="8:13" x14ac:dyDescent="0.2">
      <c r="H115" s="16"/>
      <c r="I115" s="16"/>
      <c r="J115" s="16"/>
      <c r="K115" s="16"/>
      <c r="L115" s="16"/>
    </row>
    <row r="116" spans="8:13" x14ac:dyDescent="0.2">
      <c r="H116" s="16"/>
      <c r="I116" s="16"/>
      <c r="J116" s="16"/>
      <c r="K116" s="16"/>
      <c r="L116" s="16"/>
    </row>
    <row r="117" spans="8:13" x14ac:dyDescent="0.2">
      <c r="H117" s="16"/>
      <c r="I117" s="16"/>
      <c r="J117" s="16"/>
      <c r="K117" s="16"/>
      <c r="L117" s="16"/>
    </row>
    <row r="118" spans="8:13" x14ac:dyDescent="0.2">
      <c r="H118" s="16"/>
      <c r="I118" s="16"/>
      <c r="J118" s="16"/>
      <c r="K118" s="16"/>
      <c r="L118" s="16"/>
    </row>
    <row r="119" spans="8:13" x14ac:dyDescent="0.2">
      <c r="H119" s="16"/>
      <c r="I119" s="16"/>
      <c r="J119" s="16"/>
      <c r="K119" s="16"/>
      <c r="L119" s="16"/>
    </row>
    <row r="120" spans="8:13" x14ac:dyDescent="0.2">
      <c r="H120" s="16"/>
      <c r="I120" s="16"/>
      <c r="J120" s="16"/>
      <c r="K120" s="16"/>
      <c r="L120" s="16"/>
    </row>
    <row r="121" spans="8:13" x14ac:dyDescent="0.2">
      <c r="H121" s="16"/>
      <c r="I121" s="16"/>
      <c r="J121" s="16"/>
      <c r="K121" s="16"/>
      <c r="L121" s="16"/>
    </row>
    <row r="122" spans="8:13" x14ac:dyDescent="0.2">
      <c r="H122" s="16"/>
      <c r="I122" s="16"/>
      <c r="J122" s="16"/>
      <c r="K122" s="16"/>
      <c r="L122" s="16"/>
      <c r="M122" s="219"/>
    </row>
    <row r="123" spans="8:13" x14ac:dyDescent="0.2">
      <c r="H123" s="16"/>
      <c r="I123" s="16"/>
      <c r="J123" s="16"/>
      <c r="K123" s="16"/>
      <c r="L123" s="16"/>
    </row>
    <row r="124" spans="8:13" x14ac:dyDescent="0.2">
      <c r="H124" s="16"/>
      <c r="I124" s="16"/>
      <c r="J124" s="16"/>
      <c r="K124" s="16"/>
      <c r="L124" s="16"/>
      <c r="M124" s="219"/>
    </row>
    <row r="125" spans="8:13" x14ac:dyDescent="0.2">
      <c r="H125" s="16"/>
      <c r="I125" s="16"/>
      <c r="J125" s="16"/>
      <c r="K125" s="16"/>
      <c r="L125" s="16"/>
    </row>
    <row r="126" spans="8:13" x14ac:dyDescent="0.2">
      <c r="H126" s="16"/>
      <c r="I126" s="16"/>
      <c r="J126" s="16"/>
      <c r="K126" s="16"/>
      <c r="L126" s="16"/>
    </row>
    <row r="127" spans="8:13" x14ac:dyDescent="0.2">
      <c r="H127" s="16"/>
      <c r="I127" s="16"/>
      <c r="J127" s="16"/>
      <c r="K127" s="16"/>
      <c r="L127" s="16"/>
    </row>
    <row r="128" spans="8:13" x14ac:dyDescent="0.2">
      <c r="H128" s="16"/>
      <c r="I128" s="16"/>
      <c r="J128" s="16"/>
      <c r="K128" s="16"/>
      <c r="L128" s="16"/>
    </row>
    <row r="129" spans="8:13" x14ac:dyDescent="0.2">
      <c r="H129" s="16"/>
      <c r="I129" s="16"/>
      <c r="J129" s="16"/>
      <c r="K129" s="16"/>
      <c r="L129" s="16"/>
    </row>
    <row r="130" spans="8:13" x14ac:dyDescent="0.2">
      <c r="H130" s="16"/>
      <c r="I130" s="16"/>
      <c r="J130" s="16"/>
      <c r="K130" s="16"/>
      <c r="L130" s="16"/>
    </row>
    <row r="131" spans="8:13" x14ac:dyDescent="0.2">
      <c r="H131" s="16"/>
      <c r="I131" s="16"/>
      <c r="J131" s="16"/>
      <c r="K131" s="16"/>
      <c r="L131" s="16"/>
    </row>
    <row r="132" spans="8:13" x14ac:dyDescent="0.2">
      <c r="H132" s="16"/>
      <c r="I132" s="16"/>
      <c r="J132" s="16"/>
      <c r="K132" s="16"/>
      <c r="L132" s="16"/>
    </row>
    <row r="133" spans="8:13" x14ac:dyDescent="0.2">
      <c r="H133" s="16"/>
      <c r="I133" s="16"/>
      <c r="J133" s="16"/>
      <c r="K133" s="16"/>
      <c r="L133" s="16"/>
      <c r="M133" s="219"/>
    </row>
    <row r="134" spans="8:13" x14ac:dyDescent="0.2">
      <c r="H134" s="16"/>
      <c r="I134" s="16"/>
      <c r="J134" s="16"/>
      <c r="K134" s="16"/>
      <c r="L134" s="16"/>
    </row>
    <row r="135" spans="8:13" x14ac:dyDescent="0.2">
      <c r="H135" s="16"/>
      <c r="I135" s="16"/>
      <c r="J135" s="16"/>
      <c r="K135" s="16"/>
      <c r="L135" s="16"/>
    </row>
    <row r="136" spans="8:13" x14ac:dyDescent="0.2">
      <c r="H136" s="16"/>
      <c r="I136" s="16"/>
      <c r="J136" s="16"/>
      <c r="K136" s="16"/>
      <c r="L136" s="16"/>
    </row>
    <row r="137" spans="8:13" x14ac:dyDescent="0.2">
      <c r="H137" s="16"/>
      <c r="I137" s="16"/>
      <c r="J137" s="16"/>
      <c r="K137" s="16"/>
      <c r="L137" s="16"/>
    </row>
    <row r="138" spans="8:13" x14ac:dyDescent="0.2">
      <c r="H138" s="16"/>
      <c r="I138" s="16"/>
      <c r="J138" s="16"/>
      <c r="K138" s="16"/>
      <c r="L138" s="16"/>
      <c r="M138" s="219"/>
    </row>
    <row r="139" spans="8:13" x14ac:dyDescent="0.2">
      <c r="H139" s="16"/>
      <c r="I139" s="16"/>
      <c r="J139" s="16"/>
      <c r="K139" s="16"/>
      <c r="L139" s="16"/>
    </row>
  </sheetData>
  <autoFilter ref="B13:V69" xr:uid="{00000000-0009-0000-0000-000008000000}"/>
  <sortState xmlns:xlrd2="http://schemas.microsoft.com/office/spreadsheetml/2017/richdata2" ref="B91:L140">
    <sortCondition ref="B91:B140"/>
  </sortState>
  <mergeCells count="8">
    <mergeCell ref="B10:B12"/>
    <mergeCell ref="C10:C12"/>
    <mergeCell ref="D10:D12"/>
    <mergeCell ref="V10:V12"/>
    <mergeCell ref="E10:U10"/>
    <mergeCell ref="E11:E12"/>
    <mergeCell ref="F11:F12"/>
    <mergeCell ref="G11:G12"/>
  </mergeCells>
  <phoneticPr fontId="8" type="noConversion"/>
  <printOptions horizontalCentered="1"/>
  <pageMargins left="0.39370078740157483" right="0.39370078740157483" top="0.82677165354330717" bottom="0.6692913385826772" header="0" footer="0"/>
  <pageSetup paperSize="10000" scale="68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indexed="22"/>
  </sheetPr>
  <dimension ref="B1:J27"/>
  <sheetViews>
    <sheetView showGridLines="0" zoomScale="115" zoomScaleNormal="115" workbookViewId="0">
      <pane ySplit="11" topLeftCell="A12" activePane="bottomLeft" state="frozen"/>
      <selection pane="bottomLeft" activeCell="F21" sqref="F21"/>
    </sheetView>
  </sheetViews>
  <sheetFormatPr baseColWidth="10" defaultRowHeight="12.75" x14ac:dyDescent="0.2"/>
  <cols>
    <col min="1" max="1" width="14.7109375" customWidth="1"/>
    <col min="2" max="2" width="8.28515625" style="391" customWidth="1"/>
    <col min="3" max="3" width="9.42578125" style="412" customWidth="1"/>
    <col min="4" max="4" width="54.140625" style="7" customWidth="1"/>
    <col min="5" max="5" width="19.28515625" customWidth="1"/>
    <col min="6" max="7" width="15.42578125" customWidth="1"/>
    <col min="8" max="8" width="15.7109375" customWidth="1"/>
    <col min="9" max="9" width="18.140625" hidden="1" customWidth="1"/>
    <col min="10" max="10" width="22.28515625" customWidth="1"/>
  </cols>
  <sheetData>
    <row r="1" spans="2:10" ht="15.75" x14ac:dyDescent="0.25">
      <c r="B1" s="1513" t="s">
        <v>206</v>
      </c>
      <c r="C1" s="1513"/>
      <c r="D1" s="1513"/>
      <c r="E1" s="1513"/>
      <c r="F1" s="1513"/>
      <c r="G1" s="1513"/>
      <c r="H1" s="1513"/>
      <c r="I1" s="1513"/>
      <c r="J1" s="1513"/>
    </row>
    <row r="2" spans="2:10" x14ac:dyDescent="0.2">
      <c r="B2" s="1514" t="s">
        <v>523</v>
      </c>
      <c r="C2" s="1514"/>
      <c r="D2" s="1514"/>
      <c r="E2" s="1514"/>
      <c r="F2" s="1514"/>
      <c r="G2" s="1514"/>
      <c r="H2" s="1514"/>
      <c r="I2" s="1514"/>
      <c r="J2" s="1514"/>
    </row>
    <row r="3" spans="2:10" ht="7.5" customHeight="1" x14ac:dyDescent="0.3">
      <c r="B3" s="285"/>
      <c r="C3" s="285"/>
      <c r="D3" s="285"/>
      <c r="E3" s="285"/>
      <c r="F3" s="285"/>
      <c r="G3" s="285"/>
      <c r="H3" s="285"/>
      <c r="I3" s="285"/>
      <c r="J3" s="285"/>
    </row>
    <row r="4" spans="2:10" ht="18" customHeight="1" x14ac:dyDescent="0.3">
      <c r="B4" s="1505" t="s">
        <v>405</v>
      </c>
      <c r="C4" s="1505"/>
      <c r="D4" s="1505"/>
      <c r="E4" s="1505"/>
      <c r="F4" s="1505"/>
      <c r="G4" s="1505"/>
      <c r="H4" s="1505"/>
      <c r="I4" s="1505"/>
      <c r="J4" s="1505"/>
    </row>
    <row r="5" spans="2:10" ht="18" customHeight="1" x14ac:dyDescent="0.3">
      <c r="B5" s="1505" t="s">
        <v>964</v>
      </c>
      <c r="C5" s="1505"/>
      <c r="D5" s="1505"/>
      <c r="E5" s="1505"/>
      <c r="F5" s="1505"/>
      <c r="G5" s="1505"/>
      <c r="H5" s="1505"/>
      <c r="I5" s="1505"/>
      <c r="J5" s="1505"/>
    </row>
    <row r="6" spans="2:10" ht="18" customHeight="1" x14ac:dyDescent="0.3">
      <c r="B6" s="1505" t="s">
        <v>320</v>
      </c>
      <c r="C6" s="1505"/>
      <c r="D6" s="1505"/>
      <c r="E6" s="1505"/>
      <c r="F6" s="1505"/>
      <c r="G6" s="1505"/>
      <c r="H6" s="1505"/>
      <c r="I6" s="1505"/>
      <c r="J6" s="1505"/>
    </row>
    <row r="7" spans="2:10" ht="18" customHeight="1" x14ac:dyDescent="0.3">
      <c r="B7" s="1505" t="s">
        <v>321</v>
      </c>
      <c r="C7" s="1505"/>
      <c r="D7" s="1505"/>
      <c r="E7" s="1505"/>
      <c r="F7" s="1505"/>
      <c r="G7" s="1505"/>
      <c r="H7" s="1505"/>
      <c r="I7" s="1505"/>
      <c r="J7" s="1505"/>
    </row>
    <row r="8" spans="2:10" ht="18" customHeight="1" x14ac:dyDescent="0.3">
      <c r="B8" s="1505" t="s">
        <v>322</v>
      </c>
      <c r="C8" s="1505"/>
      <c r="D8" s="1505"/>
      <c r="E8" s="1505"/>
      <c r="F8" s="1505"/>
      <c r="G8" s="1505"/>
      <c r="H8" s="1505"/>
      <c r="I8" s="1505"/>
      <c r="J8" s="1505"/>
    </row>
    <row r="9" spans="2:10" ht="3.75" customHeight="1" thickBot="1" x14ac:dyDescent="0.35">
      <c r="B9" s="286"/>
      <c r="C9" s="286"/>
      <c r="D9" s="286"/>
      <c r="E9" s="286"/>
      <c r="F9" s="286"/>
      <c r="G9" s="286"/>
      <c r="H9" s="286"/>
      <c r="I9" s="286"/>
      <c r="J9" s="286"/>
    </row>
    <row r="10" spans="2:10" ht="13.5" thickBot="1" x14ac:dyDescent="0.25">
      <c r="B10" s="1506" t="s">
        <v>186</v>
      </c>
      <c r="C10" s="1506" t="s">
        <v>187</v>
      </c>
      <c r="D10" s="1508" t="s">
        <v>513</v>
      </c>
      <c r="E10" s="1510" t="s">
        <v>114</v>
      </c>
      <c r="F10" s="1511"/>
      <c r="G10" s="1511"/>
      <c r="H10" s="1511"/>
      <c r="I10" s="1512"/>
      <c r="J10" s="1506" t="s">
        <v>515</v>
      </c>
    </row>
    <row r="11" spans="2:10" ht="25.5" customHeight="1" thickBot="1" x14ac:dyDescent="0.25">
      <c r="B11" s="1507"/>
      <c r="C11" s="1507"/>
      <c r="D11" s="1509"/>
      <c r="E11" s="393" t="s">
        <v>609</v>
      </c>
      <c r="F11" s="393" t="s">
        <v>610</v>
      </c>
      <c r="G11" s="394" t="s">
        <v>399</v>
      </c>
      <c r="H11" s="395" t="s">
        <v>3</v>
      </c>
      <c r="I11" s="395" t="s">
        <v>119</v>
      </c>
      <c r="J11" s="1507"/>
    </row>
    <row r="12" spans="2:10" x14ac:dyDescent="0.2">
      <c r="B12" s="396"/>
      <c r="C12" s="397" t="s">
        <v>419</v>
      </c>
      <c r="D12" s="398"/>
      <c r="E12" s="494"/>
      <c r="F12" s="494"/>
      <c r="G12" s="399"/>
      <c r="H12" s="399"/>
      <c r="I12" s="400"/>
      <c r="J12" s="401"/>
    </row>
    <row r="13" spans="2:10" ht="13.5" thickBot="1" x14ac:dyDescent="0.25">
      <c r="B13" s="388"/>
      <c r="C13" s="402" t="s">
        <v>419</v>
      </c>
      <c r="D13" s="390"/>
      <c r="E13" s="495"/>
      <c r="F13" s="287"/>
      <c r="G13" s="531"/>
      <c r="H13" s="405"/>
      <c r="I13" s="404"/>
      <c r="J13" s="403"/>
    </row>
    <row r="14" spans="2:10" ht="16.5" customHeight="1" thickBot="1" x14ac:dyDescent="0.25">
      <c r="B14" s="406"/>
      <c r="C14" s="407"/>
      <c r="D14" s="408" t="s">
        <v>516</v>
      </c>
      <c r="E14" s="409">
        <f>SUM(E12:E13)</f>
        <v>0</v>
      </c>
      <c r="F14" s="409">
        <f t="shared" ref="F14:J14" si="0">SUM(F12:F13)</f>
        <v>0</v>
      </c>
      <c r="G14" s="409">
        <f t="shared" si="0"/>
        <v>0</v>
      </c>
      <c r="H14" s="409">
        <f t="shared" si="0"/>
        <v>0</v>
      </c>
      <c r="I14" s="409" t="e">
        <f>#REF!+#REF!+#REF!+#REF!+#REF!+#REF!+#REF!+#REF!+#REF!+#REF!+#REF!+#REF!+#REF!+#REF!+#REF!+#REF!+#REF!+#REF!</f>
        <v>#REF!</v>
      </c>
      <c r="J14" s="409">
        <f t="shared" si="0"/>
        <v>0</v>
      </c>
    </row>
    <row r="15" spans="2:10" x14ac:dyDescent="0.2">
      <c r="B15" s="410"/>
      <c r="C15" s="410"/>
      <c r="D15" s="411"/>
      <c r="E15" s="389"/>
      <c r="F15" s="389"/>
      <c r="G15" s="389"/>
      <c r="H15" s="389"/>
      <c r="I15" s="389"/>
      <c r="J15" s="389"/>
    </row>
    <row r="16" spans="2:10" x14ac:dyDescent="0.2">
      <c r="G16" s="1"/>
      <c r="H16" s="320"/>
      <c r="J16" s="320"/>
    </row>
    <row r="17" spans="4:8" x14ac:dyDescent="0.2">
      <c r="E17" s="413"/>
      <c r="F17" s="493"/>
      <c r="G17" s="1"/>
      <c r="H17" s="320"/>
    </row>
    <row r="18" spans="4:8" x14ac:dyDescent="0.2">
      <c r="H18" s="320"/>
    </row>
    <row r="19" spans="4:8" x14ac:dyDescent="0.2">
      <c r="D19" s="157"/>
      <c r="H19" s="493"/>
    </row>
    <row r="20" spans="4:8" x14ac:dyDescent="0.2">
      <c r="G20" s="493"/>
    </row>
    <row r="21" spans="4:8" x14ac:dyDescent="0.2">
      <c r="F21" s="493"/>
    </row>
    <row r="24" spans="4:8" x14ac:dyDescent="0.2">
      <c r="E24" s="493"/>
    </row>
    <row r="25" spans="4:8" x14ac:dyDescent="0.2">
      <c r="E25" s="493"/>
    </row>
    <row r="27" spans="4:8" x14ac:dyDescent="0.2">
      <c r="E27" s="493"/>
    </row>
  </sheetData>
  <autoFilter ref="B10:J14" xr:uid="{00000000-0009-0000-0000-000009000000}">
    <filterColumn colId="3" showButton="0"/>
    <filterColumn colId="4" showButton="0"/>
    <filterColumn colId="5" showButton="0"/>
    <filterColumn colId="6" showButton="0"/>
  </autoFilter>
  <mergeCells count="12">
    <mergeCell ref="B1:J1"/>
    <mergeCell ref="B2:J2"/>
    <mergeCell ref="B4:J4"/>
    <mergeCell ref="B5:J5"/>
    <mergeCell ref="B6:J6"/>
    <mergeCell ref="B7:J7"/>
    <mergeCell ref="B8:J8"/>
    <mergeCell ref="B10:B11"/>
    <mergeCell ref="C10:C11"/>
    <mergeCell ref="D10:D11"/>
    <mergeCell ref="E10:I10"/>
    <mergeCell ref="J10:J11"/>
  </mergeCells>
  <phoneticPr fontId="0" type="noConversion"/>
  <pageMargins left="0.19685039370078741" right="0.15748031496062992" top="0.86614173228346458" bottom="0.78740157480314965" header="0" footer="0"/>
  <pageSetup paperSize="5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ESTRUCTURA PRESP.</vt:lpstr>
      <vt:lpstr>ING. REALES</vt:lpstr>
      <vt:lpstr>PLLA MUNICIPAL HONORARIOS</vt:lpstr>
      <vt:lpstr>PLLA MUNICIPAL LEY SAL</vt:lpstr>
      <vt:lpstr>PLLA DIETAS</vt:lpstr>
      <vt:lpstr>F.P y DL</vt:lpstr>
      <vt:lpstr>AG1</vt:lpstr>
      <vt:lpstr>AG3</vt:lpstr>
      <vt:lpstr>AG4</vt:lpstr>
      <vt:lpstr>AG5</vt:lpstr>
      <vt:lpstr>CONSOLIDADO</vt:lpstr>
      <vt:lpstr>PRESUP.DE EGRESOS</vt:lpstr>
      <vt:lpstr>RESUMEN1</vt:lpstr>
      <vt:lpstr>RESUMEN2</vt:lpstr>
      <vt:lpstr>RESUMEN3</vt:lpstr>
      <vt:lpstr>RESUMEN4</vt:lpstr>
      <vt:lpstr>SALDOS 31 12 2022</vt:lpstr>
      <vt:lpstr>'AG1'!Área_de_impresión</vt:lpstr>
      <vt:lpstr>'AG5'!Área_de_impresión</vt:lpstr>
      <vt:lpstr>CONSOLIDADO!Área_de_impresión</vt:lpstr>
      <vt:lpstr>'ESTRUCTURA PRESP.'!Área_de_impresión</vt:lpstr>
      <vt:lpstr>'F.P y DL'!Área_de_impresión</vt:lpstr>
      <vt:lpstr>'ING. REALES'!Área_de_impresión</vt:lpstr>
      <vt:lpstr>'PLLA DIETAS'!Área_de_impresión</vt:lpstr>
      <vt:lpstr>'PRESUP.DE EGRESOS'!Área_de_impresión</vt:lpstr>
      <vt:lpstr>RESUMEN1!Área_de_impresión</vt:lpstr>
      <vt:lpstr>RESUMEN2!Área_de_impresión</vt:lpstr>
      <vt:lpstr>'AG1'!Títulos_a_imprimir</vt:lpstr>
      <vt:lpstr>'AG3'!Títulos_a_imprimir</vt:lpstr>
      <vt:lpstr>'AG4'!Títulos_a_imprimir</vt:lpstr>
      <vt:lpstr>CONSOLIDADO!Títulos_a_imprimir</vt:lpstr>
      <vt:lpstr>'PLLA MUNICIPAL LEY SAL'!Títulos_a_imprimir</vt:lpstr>
      <vt:lpstr>'PRESUP.DE EGRESOS'!Títulos_a_imprimir</vt:lpstr>
      <vt:lpstr>'SALDOS 31 12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Carmen</dc:creator>
  <cp:lastModifiedBy>TESORERIA</cp:lastModifiedBy>
  <cp:lastPrinted>2024-04-20T16:59:12Z</cp:lastPrinted>
  <dcterms:created xsi:type="dcterms:W3CDTF">2009-03-12T16:54:49Z</dcterms:created>
  <dcterms:modified xsi:type="dcterms:W3CDTF">2024-04-20T17:31:33Z</dcterms:modified>
</cp:coreProperties>
</file>