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21 OFICIAL\"/>
    </mc:Choice>
  </mc:AlternateContent>
  <bookViews>
    <workbookView xWindow="-120" yWindow="-120" windowWidth="24240" windowHeight="13140" tabRatio="928" activeTab="6"/>
  </bookViews>
  <sheets>
    <sheet name="ESTRUCTURA PRESP." sheetId="26" r:id="rId1"/>
    <sheet name="ING. REALES" sheetId="18" r:id="rId2"/>
    <sheet name="DISTRIBUCIÓN" sheetId="23" r:id="rId3"/>
    <sheet name="PLLA MUNICIPAL HONORARIOS" sheetId="20" r:id="rId4"/>
    <sheet name="PLLA MUNICIPAL LEY SAL" sheetId="22" r:id="rId5"/>
    <sheet name="PLLA DIETAS" sheetId="21" r:id="rId6"/>
    <sheet name="egresos 25% y F.P" sheetId="4" r:id="rId7"/>
    <sheet name="AG1" sheetId="5" r:id="rId8"/>
    <sheet name="AG3" sheetId="6" r:id="rId9"/>
    <sheet name="AG4" sheetId="7" r:id="rId10"/>
    <sheet name="AG5" sheetId="8" r:id="rId11"/>
    <sheet name="CONSOLIDADO" sheetId="9" r:id="rId12"/>
    <sheet name="PRESUP.DE EGRESOS" sheetId="10" r:id="rId13"/>
    <sheet name="RESUMEN1" sheetId="27" r:id="rId14"/>
    <sheet name="RESUMEN2" sheetId="12" r:id="rId15"/>
    <sheet name="RESUMEN3" sheetId="13" r:id="rId16"/>
    <sheet name="RESUMEN4" sheetId="14" r:id="rId17"/>
    <sheet name="SEGUROS" sheetId="24" r:id="rId18"/>
  </sheets>
  <definedNames>
    <definedName name="_xlnm._FilterDatabase" localSheetId="8" hidden="1">'AG3'!$B$13:$P$206</definedName>
    <definedName name="_xlnm._FilterDatabase" localSheetId="9" hidden="1">'AG4'!$B$10:$J$66</definedName>
    <definedName name="_xlnm._FilterDatabase" localSheetId="11" hidden="1">CONSOLIDADO!$A$3:$G$163</definedName>
    <definedName name="_xlnm._FilterDatabase" localSheetId="2" hidden="1">DISTRIBUCIÓN!$A$5:$P$73</definedName>
    <definedName name="_xlnm._FilterDatabase" localSheetId="6" hidden="1">'egresos 25% y F.P'!$A$116:$G$207</definedName>
    <definedName name="_xlnm.Print_Area" localSheetId="7">'AG1'!$A$1:$H$149</definedName>
    <definedName name="_xlnm.Print_Area" localSheetId="11">CONSOLIDADO!$A$1:$AT$164</definedName>
    <definedName name="_xlnm.Print_Area" localSheetId="6">'egresos 25% y F.P'!$A$1:$G$209</definedName>
    <definedName name="_xlnm.Print_Area" localSheetId="0">'ESTRUCTURA PRESP.'!$B$1:$E$33</definedName>
    <definedName name="_xlnm.Print_Area" localSheetId="12">'PRESUP.DE EGRESOS'!$A$1:$E$162</definedName>
    <definedName name="_xlnm.Print_Area" localSheetId="13">RESUMEN1!$B$1:$D$50</definedName>
    <definedName name="_xlnm.Print_Titles" localSheetId="7">'AG1'!$1:$11</definedName>
    <definedName name="_xlnm.Print_Titles" localSheetId="8">'AG3'!$2:$12</definedName>
    <definedName name="_xlnm.Print_Titles" localSheetId="9">'AG4'!$1:$11</definedName>
    <definedName name="_xlnm.Print_Titles" localSheetId="11">CONSOLIDADO!$A:$B,CONSOLIDADO!$1:$8</definedName>
    <definedName name="_xlnm.Print_Titles" localSheetId="2">DISTRIBUCIÓN!$1:$7</definedName>
    <definedName name="_xlnm.Print_Titles" localSheetId="12">'PRESUP.DE EGRESOS'!$1:$7</definedName>
  </definedNames>
  <calcPr calcId="181029"/>
</workbook>
</file>

<file path=xl/calcChain.xml><?xml version="1.0" encoding="utf-8"?>
<calcChain xmlns="http://schemas.openxmlformats.org/spreadsheetml/2006/main">
  <c r="U142" i="9" l="1"/>
  <c r="T141" i="9"/>
  <c r="N141" i="9"/>
  <c r="N120" i="9" s="1"/>
  <c r="O120" i="9"/>
  <c r="O163" i="9"/>
  <c r="V143" i="9"/>
  <c r="V142" i="9"/>
  <c r="AC141" i="9"/>
  <c r="E52" i="7"/>
  <c r="F51" i="7"/>
  <c r="F66" i="7" s="1"/>
  <c r="I21" i="14"/>
  <c r="I25" i="14"/>
  <c r="D24" i="14"/>
  <c r="I24" i="14" s="1"/>
  <c r="D23" i="14"/>
  <c r="I23" i="14" s="1"/>
  <c r="D22" i="14"/>
  <c r="I22" i="14" s="1"/>
  <c r="D20" i="14"/>
  <c r="I20" i="14" s="1"/>
  <c r="G19" i="14"/>
  <c r="E71" i="18"/>
  <c r="D71" i="18"/>
  <c r="G69" i="18"/>
  <c r="E69" i="18"/>
  <c r="D69" i="18"/>
  <c r="M140" i="9"/>
  <c r="AF142" i="9" l="1"/>
  <c r="AF143" i="9"/>
  <c r="AF144" i="9"/>
  <c r="AF145" i="9"/>
  <c r="AF146" i="9"/>
  <c r="AF147" i="9"/>
  <c r="AF148" i="9"/>
  <c r="S20" i="9"/>
  <c r="S21" i="9"/>
  <c r="S22" i="9"/>
  <c r="S23" i="9"/>
  <c r="E83" i="6"/>
  <c r="E87" i="6"/>
  <c r="E80" i="6"/>
  <c r="C95" i="4"/>
  <c r="L199" i="6"/>
  <c r="O199" i="6"/>
  <c r="P199" i="6" l="1"/>
  <c r="G66" i="7"/>
  <c r="AE157" i="9"/>
  <c r="E55" i="7" l="1"/>
  <c r="E51" i="7"/>
  <c r="E66" i="7" s="1"/>
  <c r="E48" i="7"/>
  <c r="E45" i="7"/>
  <c r="E34" i="7"/>
  <c r="E16" i="7"/>
  <c r="E13" i="7"/>
  <c r="N61" i="9"/>
  <c r="N119" i="9"/>
  <c r="N71" i="9"/>
  <c r="O142" i="9" l="1"/>
  <c r="S142" i="9" s="1"/>
  <c r="S140" i="9"/>
  <c r="O141" i="9" l="1"/>
  <c r="O19" i="9"/>
  <c r="N144" i="9"/>
  <c r="S144" i="9" s="1"/>
  <c r="N118" i="9"/>
  <c r="N85" i="9"/>
  <c r="M85" i="9"/>
  <c r="M70" i="9" s="1"/>
  <c r="M61" i="9"/>
  <c r="N55" i="9"/>
  <c r="M55" i="9"/>
  <c r="N54" i="9"/>
  <c r="M54" i="9"/>
  <c r="N50" i="9"/>
  <c r="M50" i="9"/>
  <c r="N48" i="9"/>
  <c r="M48" i="9"/>
  <c r="M125" i="9"/>
  <c r="N53" i="9"/>
  <c r="E204" i="6"/>
  <c r="S19" i="9" l="1"/>
  <c r="O17" i="9"/>
  <c r="C203" i="4"/>
  <c r="F141" i="4"/>
  <c r="F33" i="4"/>
  <c r="G124" i="4"/>
  <c r="I71" i="18"/>
  <c r="I69" i="18"/>
  <c r="I32" i="18"/>
  <c r="X141" i="9"/>
  <c r="AE43" i="9"/>
  <c r="M176" i="6"/>
  <c r="E203" i="6"/>
  <c r="M180" i="6"/>
  <c r="M174" i="6"/>
  <c r="M173" i="6" s="1"/>
  <c r="M179" i="6" l="1"/>
  <c r="AD149" i="9" s="1"/>
  <c r="M203" i="6"/>
  <c r="AD157" i="9" s="1"/>
  <c r="O203" i="6"/>
  <c r="P177" i="6"/>
  <c r="P176" i="6" s="1"/>
  <c r="E176" i="6"/>
  <c r="P174" i="6"/>
  <c r="P173" i="6" s="1"/>
  <c r="E173" i="6"/>
  <c r="AD141" i="9" l="1"/>
  <c r="AD120" i="9" s="1"/>
  <c r="AD156" i="9"/>
  <c r="AF157" i="9"/>
  <c r="M206" i="6"/>
  <c r="AE174" i="9" s="1"/>
  <c r="AD155" i="9" l="1"/>
  <c r="AD163" i="9" s="1"/>
  <c r="H21" i="7"/>
  <c r="O180" i="6"/>
  <c r="P180" i="6" s="1"/>
  <c r="G70" i="18" l="1"/>
  <c r="L194" i="6"/>
  <c r="P202" i="6"/>
  <c r="P201" i="6"/>
  <c r="P198" i="6" l="1"/>
  <c r="O196" i="6"/>
  <c r="L196" i="6"/>
  <c r="E196" i="6"/>
  <c r="L193" i="6"/>
  <c r="P195" i="6"/>
  <c r="P194" i="6"/>
  <c r="O193" i="6"/>
  <c r="E193" i="6"/>
  <c r="K190" i="6"/>
  <c r="J203" i="6"/>
  <c r="Y157" i="9" s="1"/>
  <c r="Y156" i="9" s="1"/>
  <c r="Y155" i="9" s="1"/>
  <c r="P192" i="6"/>
  <c r="P191" i="6"/>
  <c r="O190" i="6"/>
  <c r="E190" i="6"/>
  <c r="J187" i="6"/>
  <c r="Y149" i="9" s="1"/>
  <c r="Y141" i="9" s="1"/>
  <c r="Y120" i="9" s="1"/>
  <c r="P189" i="6"/>
  <c r="O187" i="6"/>
  <c r="E187" i="6"/>
  <c r="H186" i="6"/>
  <c r="H185" i="6" s="1"/>
  <c r="H204" i="6"/>
  <c r="O185" i="6"/>
  <c r="E185" i="6"/>
  <c r="H182" i="6"/>
  <c r="P184" i="6"/>
  <c r="O182" i="6"/>
  <c r="E182" i="6"/>
  <c r="AB149" i="9" l="1"/>
  <c r="AB141" i="9" s="1"/>
  <c r="AB120" i="9" s="1"/>
  <c r="AB163" i="9" s="1"/>
  <c r="F28" i="12" s="1"/>
  <c r="H203" i="6"/>
  <c r="H206" i="6" s="1"/>
  <c r="W157" i="9"/>
  <c r="Y163" i="9"/>
  <c r="F24" i="12" s="1"/>
  <c r="K206" i="6"/>
  <c r="AA149" i="9"/>
  <c r="W149" i="9"/>
  <c r="Z149" i="9" s="1"/>
  <c r="L206" i="6"/>
  <c r="P186" i="6"/>
  <c r="P197" i="6"/>
  <c r="P196" i="6"/>
  <c r="P190" i="6"/>
  <c r="P193" i="6"/>
  <c r="J206" i="6"/>
  <c r="P188" i="6"/>
  <c r="P187" i="6"/>
  <c r="P183" i="6"/>
  <c r="P185" i="6"/>
  <c r="P182" i="6"/>
  <c r="AA141" i="9" l="1"/>
  <c r="AC149" i="9"/>
  <c r="W156" i="9"/>
  <c r="Z157" i="9"/>
  <c r="L209" i="6"/>
  <c r="L212" i="6" s="1"/>
  <c r="H31" i="7"/>
  <c r="H28" i="7"/>
  <c r="H25" i="7"/>
  <c r="O153" i="6"/>
  <c r="AG146" i="9" s="1"/>
  <c r="P154" i="6"/>
  <c r="P153" i="6" s="1"/>
  <c r="E153" i="6"/>
  <c r="O48" i="6"/>
  <c r="AG144" i="9" s="1"/>
  <c r="AI144" i="9" s="1"/>
  <c r="AA120" i="9" l="1"/>
  <c r="W155" i="9"/>
  <c r="Z156" i="9"/>
  <c r="J31" i="7"/>
  <c r="AG156" i="9"/>
  <c r="K69" i="18"/>
  <c r="K67" i="18" s="1"/>
  <c r="H62" i="7"/>
  <c r="AH158" i="9" s="1"/>
  <c r="AH156" i="9" s="1"/>
  <c r="AH155" i="9" s="1"/>
  <c r="O179" i="6"/>
  <c r="O24" i="6"/>
  <c r="O23" i="6" s="1"/>
  <c r="E23" i="6"/>
  <c r="E30" i="7"/>
  <c r="J28" i="7"/>
  <c r="E27" i="7"/>
  <c r="J25" i="7"/>
  <c r="E24" i="7"/>
  <c r="H20" i="7"/>
  <c r="AC120" i="9" l="1"/>
  <c r="AC163" i="9" s="1"/>
  <c r="AA163" i="9"/>
  <c r="F27" i="12" s="1"/>
  <c r="O206" i="6"/>
  <c r="Z155" i="9"/>
  <c r="AI158" i="9"/>
  <c r="P24" i="6"/>
  <c r="AG128" i="9"/>
  <c r="AI128" i="9" s="1"/>
  <c r="P23" i="6"/>
  <c r="AI156" i="9"/>
  <c r="AG149" i="9"/>
  <c r="AG141" i="9" s="1"/>
  <c r="H30" i="7"/>
  <c r="H24" i="7"/>
  <c r="J24" i="7" s="1"/>
  <c r="H27" i="7"/>
  <c r="J27" i="7" s="1"/>
  <c r="C19" i="8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4" i="9"/>
  <c r="AI95" i="9"/>
  <c r="AI97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2" i="9"/>
  <c r="AI123" i="9"/>
  <c r="AI124" i="9"/>
  <c r="AI127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3" i="9"/>
  <c r="AI145" i="9"/>
  <c r="AI146" i="9"/>
  <c r="AI147" i="9"/>
  <c r="AI148" i="9"/>
  <c r="AI150" i="9"/>
  <c r="AI151" i="9"/>
  <c r="AI152" i="9"/>
  <c r="AI153" i="9"/>
  <c r="AI157" i="9"/>
  <c r="AG155" i="9"/>
  <c r="AI155" i="9" s="1"/>
  <c r="C17" i="8"/>
  <c r="D64" i="8"/>
  <c r="E64" i="8"/>
  <c r="F64" i="8"/>
  <c r="G64" i="8"/>
  <c r="H64" i="8"/>
  <c r="C64" i="8"/>
  <c r="I64" i="8"/>
  <c r="C26" i="8"/>
  <c r="G9" i="20"/>
  <c r="E70" i="18"/>
  <c r="G67" i="18"/>
  <c r="G66" i="18" s="1"/>
  <c r="C71" i="18"/>
  <c r="C88" i="4"/>
  <c r="H66" i="7" l="1"/>
  <c r="H71" i="18"/>
  <c r="H70" i="18" s="1"/>
  <c r="AG121" i="9"/>
  <c r="C70" i="18"/>
  <c r="J30" i="7"/>
  <c r="AH142" i="9"/>
  <c r="AI142" i="9" s="1"/>
  <c r="H68" i="8"/>
  <c r="L71" i="18" l="1"/>
  <c r="AG120" i="9"/>
  <c r="AG163" i="9" s="1"/>
  <c r="AI121" i="9"/>
  <c r="E62" i="18"/>
  <c r="D62" i="18"/>
  <c r="C54" i="18"/>
  <c r="Z159" i="9"/>
  <c r="Z158" i="9"/>
  <c r="Z154" i="9"/>
  <c r="Z153" i="9"/>
  <c r="Z152" i="9"/>
  <c r="Z151" i="9"/>
  <c r="Z150" i="9"/>
  <c r="Z148" i="9"/>
  <c r="Z147" i="9"/>
  <c r="Z146" i="9"/>
  <c r="Z145" i="9"/>
  <c r="Z144" i="9"/>
  <c r="W143" i="9"/>
  <c r="W141" i="9" s="1"/>
  <c r="Z141" i="9" s="1"/>
  <c r="Z142" i="9"/>
  <c r="Z140" i="9"/>
  <c r="Z139" i="9"/>
  <c r="Z138" i="9"/>
  <c r="Z137" i="9"/>
  <c r="Z136" i="9"/>
  <c r="Z135" i="9"/>
  <c r="Z134" i="9"/>
  <c r="Z133" i="9"/>
  <c r="Z132" i="9"/>
  <c r="Z131" i="9"/>
  <c r="Z130" i="9"/>
  <c r="Z129" i="9"/>
  <c r="Z128" i="9"/>
  <c r="Z127" i="9"/>
  <c r="Z126" i="9"/>
  <c r="Z125" i="9"/>
  <c r="Z124" i="9"/>
  <c r="Z123" i="9"/>
  <c r="Z122" i="9"/>
  <c r="Z121" i="9"/>
  <c r="Z119" i="9"/>
  <c r="Z118" i="9"/>
  <c r="Z117" i="9"/>
  <c r="Z116" i="9"/>
  <c r="Z115" i="9"/>
  <c r="Z114" i="9"/>
  <c r="Z113" i="9"/>
  <c r="Z112" i="9"/>
  <c r="Z111" i="9"/>
  <c r="Z110" i="9"/>
  <c r="Z109" i="9"/>
  <c r="Z108" i="9"/>
  <c r="Z107" i="9"/>
  <c r="Z106" i="9"/>
  <c r="Z105" i="9"/>
  <c r="Z104" i="9"/>
  <c r="Z103" i="9"/>
  <c r="Z102" i="9"/>
  <c r="Z101" i="9"/>
  <c r="Z100" i="9"/>
  <c r="Z99" i="9"/>
  <c r="Z98" i="9"/>
  <c r="Z97" i="9"/>
  <c r="Z96" i="9"/>
  <c r="Z95" i="9"/>
  <c r="Z94" i="9"/>
  <c r="Z93" i="9"/>
  <c r="Z92" i="9"/>
  <c r="Z91" i="9"/>
  <c r="Z90" i="9"/>
  <c r="Z89" i="9"/>
  <c r="Z88" i="9"/>
  <c r="Z87" i="9"/>
  <c r="Z86" i="9"/>
  <c r="Z85" i="9"/>
  <c r="Z84" i="9"/>
  <c r="Z83" i="9"/>
  <c r="Z82" i="9"/>
  <c r="Z81" i="9"/>
  <c r="Z80" i="9"/>
  <c r="Z79" i="9"/>
  <c r="Z78" i="9"/>
  <c r="Z77" i="9"/>
  <c r="Z76" i="9"/>
  <c r="Z75" i="9"/>
  <c r="Z74" i="9"/>
  <c r="Z73" i="9"/>
  <c r="Z72" i="9"/>
  <c r="Z71" i="9"/>
  <c r="Z70" i="9"/>
  <c r="Z69" i="9"/>
  <c r="Z68" i="9"/>
  <c r="Z67" i="9"/>
  <c r="Z66" i="9"/>
  <c r="Z65" i="9"/>
  <c r="Z64" i="9"/>
  <c r="Z63" i="9"/>
  <c r="Z62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143" i="9" l="1"/>
  <c r="H62" i="18"/>
  <c r="H54" i="18"/>
  <c r="I12" i="5"/>
  <c r="X120" i="9"/>
  <c r="X163" i="9" s="1"/>
  <c r="AH70" i="22"/>
  <c r="AM70" i="22" s="1"/>
  <c r="AB70" i="22"/>
  <c r="K70" i="22"/>
  <c r="AJ70" i="22" s="1"/>
  <c r="I70" i="22"/>
  <c r="W120" i="9" l="1"/>
  <c r="W163" i="9" s="1"/>
  <c r="F22" i="12" s="1"/>
  <c r="AI70" i="22"/>
  <c r="M70" i="22"/>
  <c r="AE70" i="22" s="1"/>
  <c r="J70" i="22"/>
  <c r="X70" i="22"/>
  <c r="Z120" i="9" l="1"/>
  <c r="Z163" i="9" s="1"/>
  <c r="Q70" i="22"/>
  <c r="P70" i="22"/>
  <c r="N70" i="22"/>
  <c r="AA70" i="22" l="1"/>
  <c r="AL70" i="22"/>
  <c r="AO70" i="22"/>
  <c r="AD70" i="22"/>
  <c r="AN70" i="22"/>
  <c r="AC70" i="22"/>
  <c r="R70" i="22"/>
  <c r="S70" i="22" s="1"/>
  <c r="AS70" i="22" l="1"/>
  <c r="AQ70" i="22"/>
  <c r="AF70" i="22"/>
  <c r="H8" i="20" l="1"/>
  <c r="J8" i="20" s="1"/>
  <c r="F69" i="18" l="1"/>
  <c r="C69" i="18"/>
  <c r="H69" i="18" l="1"/>
  <c r="L69" i="18" s="1"/>
  <c r="G64" i="18"/>
  <c r="G63" i="18" s="1"/>
  <c r="G61" i="18"/>
  <c r="G60" i="18" s="1"/>
  <c r="G53" i="18"/>
  <c r="G52" i="18" s="1"/>
  <c r="G48" i="18" s="1"/>
  <c r="G50" i="18"/>
  <c r="G42" i="18"/>
  <c r="G40" i="18"/>
  <c r="G35" i="18"/>
  <c r="G32" i="18"/>
  <c r="G19" i="18"/>
  <c r="G9" i="18"/>
  <c r="G8" i="18" s="1"/>
  <c r="I37" i="18"/>
  <c r="G39" i="18" l="1"/>
  <c r="G18" i="18"/>
  <c r="G72" i="18" l="1"/>
  <c r="G73" i="18" s="1"/>
  <c r="Z174" i="9" s="1"/>
  <c r="Z175" i="9" s="1"/>
  <c r="I29" i="18"/>
  <c r="I23" i="18"/>
  <c r="I22" i="18"/>
  <c r="I16" i="18"/>
  <c r="I15" i="18"/>
  <c r="I11" i="18"/>
  <c r="I10" i="18"/>
  <c r="O131" i="9" l="1"/>
  <c r="C33" i="4" l="1"/>
  <c r="C35" i="5"/>
  <c r="E42" i="6" l="1"/>
  <c r="H214" i="6"/>
  <c r="N206" i="6"/>
  <c r="M63" i="9" l="1"/>
  <c r="M44" i="9" s="1"/>
  <c r="E111" i="6"/>
  <c r="N63" i="9" s="1"/>
  <c r="J49" i="7"/>
  <c r="J36" i="7"/>
  <c r="J37" i="7"/>
  <c r="J38" i="7"/>
  <c r="J39" i="7"/>
  <c r="J40" i="7"/>
  <c r="J41" i="7"/>
  <c r="J42" i="7"/>
  <c r="J35" i="7"/>
  <c r="P137" i="6" l="1"/>
  <c r="P165" i="6" l="1"/>
  <c r="P164" i="6" s="1"/>
  <c r="E167" i="6"/>
  <c r="P168" i="6"/>
  <c r="P167" i="6" s="1"/>
  <c r="P169" i="6"/>
  <c r="P52" i="6"/>
  <c r="P53" i="6"/>
  <c r="P54" i="6"/>
  <c r="P55" i="6"/>
  <c r="P56" i="6"/>
  <c r="P57" i="6"/>
  <c r="P58" i="6"/>
  <c r="P59" i="6"/>
  <c r="P65" i="6"/>
  <c r="P68" i="6"/>
  <c r="P145" i="6"/>
  <c r="P146" i="6"/>
  <c r="P147" i="6"/>
  <c r="P148" i="6"/>
  <c r="P98" i="6"/>
  <c r="P99" i="6"/>
  <c r="P100" i="6"/>
  <c r="P101" i="6"/>
  <c r="P102" i="6"/>
  <c r="P78" i="6"/>
  <c r="P27" i="6"/>
  <c r="P28" i="6"/>
  <c r="P29" i="6"/>
  <c r="P30" i="6"/>
  <c r="P31" i="6"/>
  <c r="P32" i="6"/>
  <c r="P33" i="6"/>
  <c r="P34" i="6"/>
  <c r="P35" i="6"/>
  <c r="P36" i="6"/>
  <c r="P37" i="6"/>
  <c r="V9" i="9" l="1"/>
  <c r="V159" i="9"/>
  <c r="V158" i="9"/>
  <c r="V157" i="9"/>
  <c r="V156" i="9"/>
  <c r="V155" i="9"/>
  <c r="V154" i="9"/>
  <c r="V153" i="9"/>
  <c r="V152" i="9"/>
  <c r="V151" i="9"/>
  <c r="V150" i="9"/>
  <c r="V149" i="9"/>
  <c r="V148" i="9"/>
  <c r="V147" i="9"/>
  <c r="V146" i="9"/>
  <c r="V145" i="9"/>
  <c r="V144" i="9"/>
  <c r="V140" i="9"/>
  <c r="V139" i="9"/>
  <c r="V138" i="9"/>
  <c r="V137" i="9"/>
  <c r="V136" i="9"/>
  <c r="V135" i="9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101" i="9"/>
  <c r="V100" i="9"/>
  <c r="AT100" i="9" s="1"/>
  <c r="V99" i="9"/>
  <c r="V98" i="9"/>
  <c r="V97" i="9"/>
  <c r="V96" i="9"/>
  <c r="V95" i="9"/>
  <c r="V94" i="9"/>
  <c r="V93" i="9"/>
  <c r="V92" i="9"/>
  <c r="V91" i="9"/>
  <c r="V90" i="9"/>
  <c r="V89" i="9"/>
  <c r="V88" i="9"/>
  <c r="V87" i="9"/>
  <c r="V86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S13" i="9"/>
  <c r="E14" i="6"/>
  <c r="P21" i="6"/>
  <c r="P18" i="6"/>
  <c r="P17" i="6"/>
  <c r="P16" i="6"/>
  <c r="P15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E170" i="6"/>
  <c r="E179" i="6"/>
  <c r="E164" i="6"/>
  <c r="P179" i="6" l="1"/>
  <c r="P14" i="6"/>
  <c r="AE149" i="9"/>
  <c r="AE141" i="9" l="1"/>
  <c r="AF141" i="9" s="1"/>
  <c r="AF149" i="9"/>
  <c r="T143" i="9"/>
  <c r="F77" i="6"/>
  <c r="F206" i="6" s="1"/>
  <c r="U141" i="9" l="1"/>
  <c r="V141" i="9" s="1"/>
  <c r="P77" i="6"/>
  <c r="U120" i="9"/>
  <c r="U163" i="9" s="1"/>
  <c r="G203" i="4"/>
  <c r="G202" i="4" s="1"/>
  <c r="G201" i="4" s="1"/>
  <c r="C118" i="9"/>
  <c r="G118" i="9" s="1"/>
  <c r="I66" i="7"/>
  <c r="J61" i="7"/>
  <c r="J64" i="7"/>
  <c r="E63" i="7"/>
  <c r="E62" i="7" s="1"/>
  <c r="P181" i="6"/>
  <c r="P171" i="6"/>
  <c r="P170" i="6" s="1"/>
  <c r="F139" i="4"/>
  <c r="N158" i="9" l="1"/>
  <c r="T120" i="9"/>
  <c r="T163" i="9" s="1"/>
  <c r="P204" i="6"/>
  <c r="P203" i="6" s="1"/>
  <c r="O158" i="9"/>
  <c r="O156" i="9" s="1"/>
  <c r="O155" i="9" s="1"/>
  <c r="J63" i="7"/>
  <c r="V120" i="9" l="1"/>
  <c r="V163" i="9" s="1"/>
  <c r="G139" i="4"/>
  <c r="F31" i="4"/>
  <c r="G95" i="4"/>
  <c r="W172" i="9" l="1"/>
  <c r="AE156" i="9"/>
  <c r="AF156" i="9" s="1"/>
  <c r="H59" i="7"/>
  <c r="J60" i="7"/>
  <c r="AE155" i="9" l="1"/>
  <c r="AF155" i="9" s="1"/>
  <c r="J59" i="7"/>
  <c r="AH149" i="9"/>
  <c r="H216" i="6"/>
  <c r="H217" i="6" s="1"/>
  <c r="J62" i="7"/>
  <c r="AH141" i="9" l="1"/>
  <c r="AI141" i="9" s="1"/>
  <c r="AI149" i="9"/>
  <c r="S122" i="9"/>
  <c r="S123" i="9"/>
  <c r="S124" i="9"/>
  <c r="J52" i="7"/>
  <c r="N58" i="9"/>
  <c r="N46" i="9"/>
  <c r="N126" i="9"/>
  <c r="M126" i="9"/>
  <c r="S125" i="9"/>
  <c r="AT125" i="9" s="1"/>
  <c r="M131" i="9"/>
  <c r="AH120" i="9" l="1"/>
  <c r="C121" i="10"/>
  <c r="S145" i="9"/>
  <c r="AI120" i="9" l="1"/>
  <c r="AI163" i="9" s="1"/>
  <c r="AH163" i="9"/>
  <c r="S126" i="9"/>
  <c r="AT126" i="9" s="1"/>
  <c r="N121" i="9"/>
  <c r="S119" i="9"/>
  <c r="C122" i="10" l="1"/>
  <c r="N116" i="9"/>
  <c r="O63" i="9"/>
  <c r="O60" i="9"/>
  <c r="O53" i="9"/>
  <c r="O50" i="9"/>
  <c r="O48" i="9"/>
  <c r="O47" i="9"/>
  <c r="O9" i="9"/>
  <c r="N146" i="9" l="1"/>
  <c r="N84" i="9"/>
  <c r="N82" i="9"/>
  <c r="N74" i="9"/>
  <c r="N65" i="9"/>
  <c r="N64" i="9" s="1"/>
  <c r="N60" i="9"/>
  <c r="M136" i="9" l="1"/>
  <c r="S136" i="9" s="1"/>
  <c r="N47" i="9"/>
  <c r="N44" i="9" s="1"/>
  <c r="M18" i="9"/>
  <c r="E106" i="6"/>
  <c r="N18" i="9" s="1"/>
  <c r="N17" i="9" s="1"/>
  <c r="M17" i="9" l="1"/>
  <c r="S18" i="9"/>
  <c r="P106" i="6"/>
  <c r="M127" i="9"/>
  <c r="E26" i="6" l="1"/>
  <c r="P26" i="6" s="1"/>
  <c r="E143" i="6" l="1"/>
  <c r="E51" i="6" l="1"/>
  <c r="P51" i="6" l="1"/>
  <c r="AH20" i="22"/>
  <c r="J48" i="7" l="1"/>
  <c r="J46" i="7"/>
  <c r="J47" i="7"/>
  <c r="J45" i="7"/>
  <c r="E20" i="6"/>
  <c r="P20" i="6" l="1"/>
  <c r="M128" i="9"/>
  <c r="M121" i="9" s="1"/>
  <c r="E120" i="6" l="1"/>
  <c r="E105" i="6"/>
  <c r="P105" i="6" s="1"/>
  <c r="E97" i="6" l="1"/>
  <c r="P97" i="6" s="1"/>
  <c r="P95" i="6" l="1"/>
  <c r="P93" i="6"/>
  <c r="P92" i="6"/>
  <c r="E91" i="6"/>
  <c r="E67" i="6"/>
  <c r="P67" i="6" s="1"/>
  <c r="E64" i="6"/>
  <c r="P64" i="6" s="1"/>
  <c r="E45" i="6"/>
  <c r="P91" i="6" l="1"/>
  <c r="AK56" i="22"/>
  <c r="AH56" i="22"/>
  <c r="AM56" i="22" s="1"/>
  <c r="AB56" i="22"/>
  <c r="K56" i="22"/>
  <c r="AJ56" i="22" s="1"/>
  <c r="I56" i="22"/>
  <c r="M56" i="22" s="1"/>
  <c r="AE56" i="22" s="1"/>
  <c r="J56" i="22" l="1"/>
  <c r="X56" i="22"/>
  <c r="AI56" i="22"/>
  <c r="P56" i="22" l="1"/>
  <c r="N56" i="22"/>
  <c r="Q56" i="22"/>
  <c r="F102" i="9"/>
  <c r="F101" i="9" s="1"/>
  <c r="D81" i="9"/>
  <c r="D146" i="4"/>
  <c r="C12" i="4"/>
  <c r="G141" i="4"/>
  <c r="AH66" i="22"/>
  <c r="AH67" i="22"/>
  <c r="AH68" i="22"/>
  <c r="AH69" i="22"/>
  <c r="AH71" i="22"/>
  <c r="AH72" i="22"/>
  <c r="AH73" i="22"/>
  <c r="AH74" i="22"/>
  <c r="AH75" i="22"/>
  <c r="AH52" i="22"/>
  <c r="AH53" i="22"/>
  <c r="AH54" i="22"/>
  <c r="AH55" i="22"/>
  <c r="AH57" i="22"/>
  <c r="AH58" i="22"/>
  <c r="AH59" i="22"/>
  <c r="AH17" i="22"/>
  <c r="AN56" i="22" l="1"/>
  <c r="AC56" i="22"/>
  <c r="R56" i="22"/>
  <c r="S56" i="22" s="1"/>
  <c r="AL56" i="22"/>
  <c r="AA56" i="22"/>
  <c r="AD56" i="22"/>
  <c r="AO56" i="22"/>
  <c r="D187" i="4"/>
  <c r="F140" i="4"/>
  <c r="F120" i="4"/>
  <c r="E120" i="4"/>
  <c r="D163" i="4"/>
  <c r="D120" i="4"/>
  <c r="C120" i="4"/>
  <c r="C146" i="4"/>
  <c r="D30" i="4"/>
  <c r="F37" i="4"/>
  <c r="F32" i="4" s="1"/>
  <c r="AS56" i="22" l="1"/>
  <c r="AF56" i="22"/>
  <c r="AQ56" i="22"/>
  <c r="AK15" i="22" l="1"/>
  <c r="AH16" i="22"/>
  <c r="AM16" i="22" s="1"/>
  <c r="AB16" i="22"/>
  <c r="K16" i="22"/>
  <c r="AJ16" i="22" s="1"/>
  <c r="I16" i="22"/>
  <c r="Q16" i="22" s="1"/>
  <c r="L67" i="22"/>
  <c r="AK67" i="22" s="1"/>
  <c r="AM57" i="22"/>
  <c r="AB57" i="22"/>
  <c r="K57" i="22"/>
  <c r="AJ57" i="22" s="1"/>
  <c r="I57" i="22"/>
  <c r="Q57" i="22" s="1"/>
  <c r="AM58" i="22"/>
  <c r="AB58" i="22"/>
  <c r="K58" i="22"/>
  <c r="AJ58" i="22" s="1"/>
  <c r="I58" i="22"/>
  <c r="Q58" i="22" s="1"/>
  <c r="AH21" i="22"/>
  <c r="AM21" i="22" s="1"/>
  <c r="AB21" i="22"/>
  <c r="K21" i="22"/>
  <c r="AJ21" i="22" s="1"/>
  <c r="I21" i="22"/>
  <c r="Q21" i="22" s="1"/>
  <c r="AH15" i="22"/>
  <c r="AM15" i="22" s="1"/>
  <c r="AB15" i="22"/>
  <c r="K15" i="22"/>
  <c r="AJ15" i="22" s="1"/>
  <c r="I15" i="22"/>
  <c r="Q15" i="22" s="1"/>
  <c r="I13" i="18"/>
  <c r="I12" i="18"/>
  <c r="E61" i="18"/>
  <c r="E60" i="18" s="1"/>
  <c r="E67" i="18"/>
  <c r="E66" i="18" s="1"/>
  <c r="E64" i="18"/>
  <c r="E63" i="18" s="1"/>
  <c r="E53" i="18"/>
  <c r="E52" i="18" s="1"/>
  <c r="E48" i="18" s="1"/>
  <c r="E50" i="18"/>
  <c r="E42" i="18"/>
  <c r="E40" i="18"/>
  <c r="E39" i="18" s="1"/>
  <c r="E35" i="18"/>
  <c r="E32" i="18"/>
  <c r="E19" i="18"/>
  <c r="E9" i="18"/>
  <c r="E8" i="18" s="1"/>
  <c r="C67" i="18"/>
  <c r="C66" i="18" s="1"/>
  <c r="H61" i="18" l="1"/>
  <c r="H60" i="18" s="1"/>
  <c r="E18" i="18"/>
  <c r="AO16" i="22"/>
  <c r="AD16" i="22"/>
  <c r="J16" i="22"/>
  <c r="M16" i="22"/>
  <c r="AE16" i="22" s="1"/>
  <c r="P16" i="22"/>
  <c r="X16" i="22"/>
  <c r="AI16" i="22"/>
  <c r="AO57" i="22"/>
  <c r="AD57" i="22"/>
  <c r="J57" i="22"/>
  <c r="M57" i="22"/>
  <c r="AE57" i="22" s="1"/>
  <c r="P57" i="22"/>
  <c r="X57" i="22"/>
  <c r="AI57" i="22"/>
  <c r="AO58" i="22"/>
  <c r="AD58" i="22"/>
  <c r="J58" i="22"/>
  <c r="M58" i="22"/>
  <c r="AE58" i="22" s="1"/>
  <c r="P58" i="22"/>
  <c r="X58" i="22"/>
  <c r="AI58" i="22"/>
  <c r="AO21" i="22"/>
  <c r="AD21" i="22"/>
  <c r="J21" i="22"/>
  <c r="M21" i="22"/>
  <c r="AE21" i="22" s="1"/>
  <c r="P21" i="22"/>
  <c r="X21" i="22"/>
  <c r="AI21" i="22"/>
  <c r="P15" i="22"/>
  <c r="AA15" i="22" s="1"/>
  <c r="AI15" i="22"/>
  <c r="J15" i="22"/>
  <c r="N15" i="22" s="1"/>
  <c r="M15" i="22"/>
  <c r="AE15" i="22" s="1"/>
  <c r="X15" i="22"/>
  <c r="AO15" i="22"/>
  <c r="AD15" i="22"/>
  <c r="E72" i="18"/>
  <c r="P144" i="6"/>
  <c r="P143" i="6"/>
  <c r="E73" i="18" l="1"/>
  <c r="V174" i="9" s="1"/>
  <c r="V175" i="9" s="1"/>
  <c r="AA16" i="22"/>
  <c r="AL16" i="22"/>
  <c r="N16" i="22"/>
  <c r="AA57" i="22"/>
  <c r="AL57" i="22"/>
  <c r="N57" i="22"/>
  <c r="AA58" i="22"/>
  <c r="AL58" i="22"/>
  <c r="N58" i="22"/>
  <c r="AA21" i="22"/>
  <c r="AL21" i="22"/>
  <c r="N21" i="22"/>
  <c r="AL15" i="22"/>
  <c r="AC15" i="22"/>
  <c r="AN15" i="22"/>
  <c r="R15" i="22"/>
  <c r="S15" i="22" s="1"/>
  <c r="AC16" i="22" l="1"/>
  <c r="AN16" i="22"/>
  <c r="AQ16" i="22" s="1"/>
  <c r="R16" i="22"/>
  <c r="S16" i="22" s="1"/>
  <c r="AC57" i="22"/>
  <c r="AN57" i="22"/>
  <c r="AQ57" i="22" s="1"/>
  <c r="R57" i="22"/>
  <c r="S57" i="22" s="1"/>
  <c r="AC58" i="22"/>
  <c r="AN58" i="22"/>
  <c r="AQ58" i="22" s="1"/>
  <c r="R58" i="22"/>
  <c r="S58" i="22" s="1"/>
  <c r="AC21" i="22"/>
  <c r="AN21" i="22"/>
  <c r="AQ21" i="22" s="1"/>
  <c r="R21" i="22"/>
  <c r="S21" i="22" s="1"/>
  <c r="AQ15" i="22"/>
  <c r="AS15" i="22"/>
  <c r="AF15" i="22"/>
  <c r="AS21" i="22" l="1"/>
  <c r="AS16" i="22"/>
  <c r="AF16" i="22"/>
  <c r="AS57" i="22"/>
  <c r="AF57" i="22"/>
  <c r="AS58" i="22"/>
  <c r="AF58" i="22"/>
  <c r="AF21" i="22"/>
  <c r="O44" i="9"/>
  <c r="O43" i="9" s="1"/>
  <c r="N156" i="9"/>
  <c r="N155" i="9" s="1"/>
  <c r="N75" i="9" l="1"/>
  <c r="N70" i="9" s="1"/>
  <c r="N43" i="9" s="1"/>
  <c r="E20" i="7"/>
  <c r="P126" i="6"/>
  <c r="P127" i="6"/>
  <c r="P128" i="6"/>
  <c r="P129" i="6"/>
  <c r="P125" i="6"/>
  <c r="P124" i="6"/>
  <c r="P123" i="6"/>
  <c r="P122" i="6"/>
  <c r="P121" i="6"/>
  <c r="E131" i="6" l="1"/>
  <c r="P136" i="6"/>
  <c r="P135" i="6"/>
  <c r="P134" i="6"/>
  <c r="P133" i="6"/>
  <c r="M158" i="9"/>
  <c r="S158" i="9" s="1"/>
  <c r="P120" i="6" l="1"/>
  <c r="J56" i="7" l="1"/>
  <c r="G186" i="4" l="1"/>
  <c r="D111" i="5" s="1"/>
  <c r="G185" i="4"/>
  <c r="D110" i="5" s="1"/>
  <c r="G187" i="4"/>
  <c r="D112" i="5" s="1"/>
  <c r="C105" i="9"/>
  <c r="G105" i="9" s="1"/>
  <c r="D104" i="9"/>
  <c r="G104" i="9" s="1"/>
  <c r="D85" i="9"/>
  <c r="E85" i="9"/>
  <c r="G162" i="4"/>
  <c r="S128" i="9" l="1"/>
  <c r="J34" i="7"/>
  <c r="P162" i="6"/>
  <c r="E161" i="6"/>
  <c r="P75" i="6"/>
  <c r="E74" i="6"/>
  <c r="P74" i="6" s="1"/>
  <c r="P161" i="6" l="1"/>
  <c r="F161" i="4"/>
  <c r="F146" i="4" s="1"/>
  <c r="AQ90" i="22" l="1"/>
  <c r="AQ88" i="22"/>
  <c r="K75" i="22" l="1"/>
  <c r="I74" i="22"/>
  <c r="J74" i="22" s="1"/>
  <c r="I17" i="22"/>
  <c r="P17" i="22" s="1"/>
  <c r="E79" i="22"/>
  <c r="E60" i="22"/>
  <c r="AM20" i="22"/>
  <c r="AB20" i="22"/>
  <c r="K20" i="22"/>
  <c r="AJ20" i="22" s="1"/>
  <c r="I20" i="22"/>
  <c r="P20" i="22" s="1"/>
  <c r="AJ73" i="22"/>
  <c r="AM73" i="22"/>
  <c r="AB73" i="22"/>
  <c r="I73" i="22"/>
  <c r="P73" i="22" s="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H15" i="21" s="1"/>
  <c r="F15" i="21"/>
  <c r="E16" i="21"/>
  <c r="F16" i="21"/>
  <c r="E80" i="22" l="1"/>
  <c r="Q17" i="22"/>
  <c r="J73" i="22"/>
  <c r="Q73" i="22" s="1"/>
  <c r="Q20" i="22"/>
  <c r="M20" i="22"/>
  <c r="AE20" i="22" s="1"/>
  <c r="AL20" i="22"/>
  <c r="AA20" i="22"/>
  <c r="J20" i="22"/>
  <c r="X20" i="22"/>
  <c r="AI20" i="22"/>
  <c r="M73" i="22"/>
  <c r="AE73" i="22" s="1"/>
  <c r="AL73" i="22"/>
  <c r="AA73" i="22"/>
  <c r="X73" i="22"/>
  <c r="AI73" i="22"/>
  <c r="N20" i="22" l="1"/>
  <c r="N73" i="22"/>
  <c r="AN20" i="22" l="1"/>
  <c r="AC20" i="22"/>
  <c r="R20" i="22"/>
  <c r="S20" i="22" s="1"/>
  <c r="AO20" i="22"/>
  <c r="AD20" i="22"/>
  <c r="AD73" i="22"/>
  <c r="AO73" i="22"/>
  <c r="AN73" i="22"/>
  <c r="AC73" i="22"/>
  <c r="R73" i="22"/>
  <c r="S73" i="22" s="1"/>
  <c r="AQ20" i="22" l="1"/>
  <c r="AS20" i="22"/>
  <c r="AF20" i="22"/>
  <c r="AQ73" i="22"/>
  <c r="AS73" i="22"/>
  <c r="AF73" i="22"/>
  <c r="I28" i="18" l="1"/>
  <c r="AF94" i="22" l="1"/>
  <c r="J55" i="7" l="1"/>
  <c r="J67" i="18" l="1"/>
  <c r="H68" i="18"/>
  <c r="L68" i="18" l="1"/>
  <c r="H67" i="18"/>
  <c r="H66" i="18" s="1"/>
  <c r="F67" i="18"/>
  <c r="F66" i="18" s="1"/>
  <c r="M150" i="9" l="1"/>
  <c r="J17" i="7"/>
  <c r="J14" i="7"/>
  <c r="J21" i="7"/>
  <c r="J16" i="7"/>
  <c r="F216" i="6" l="1"/>
  <c r="J13" i="7"/>
  <c r="J20" i="7"/>
  <c r="J66" i="7" s="1"/>
  <c r="P157" i="6" l="1"/>
  <c r="P151" i="6"/>
  <c r="P140" i="6"/>
  <c r="P132" i="6"/>
  <c r="P72" i="6"/>
  <c r="P62" i="6"/>
  <c r="P46" i="6"/>
  <c r="P43" i="6"/>
  <c r="E156" i="6"/>
  <c r="E150" i="6"/>
  <c r="P150" i="6" s="1"/>
  <c r="E139" i="6"/>
  <c r="P139" i="6" s="1"/>
  <c r="P131" i="6"/>
  <c r="E71" i="6"/>
  <c r="P71" i="6" s="1"/>
  <c r="E61" i="6"/>
  <c r="N143" i="9" s="1"/>
  <c r="P45" i="6"/>
  <c r="P42" i="6"/>
  <c r="S143" i="9" l="1"/>
  <c r="E206" i="6"/>
  <c r="F214" i="6" s="1"/>
  <c r="N149" i="9"/>
  <c r="P61" i="6"/>
  <c r="P156" i="6"/>
  <c r="M156" i="9"/>
  <c r="M155" i="9" s="1"/>
  <c r="S149" i="9" l="1"/>
  <c r="F217" i="6"/>
  <c r="M214" i="6"/>
  <c r="M216" i="6" s="1"/>
  <c r="D67" i="18"/>
  <c r="D70" i="18"/>
  <c r="I67" i="18"/>
  <c r="D66" i="18" l="1"/>
  <c r="C184" i="4"/>
  <c r="D17" i="24"/>
  <c r="E17" i="24" s="1"/>
  <c r="F17" i="24" s="1"/>
  <c r="D12" i="24"/>
  <c r="E12" i="24" s="1"/>
  <c r="D8" i="24"/>
  <c r="E8" i="24" s="1"/>
  <c r="D4" i="24"/>
  <c r="E4" i="24" s="1"/>
  <c r="D5" i="24"/>
  <c r="E5" i="24" s="1"/>
  <c r="E21" i="24" l="1"/>
  <c r="F12" i="24"/>
  <c r="O70" i="23"/>
  <c r="O69" i="23" s="1"/>
  <c r="N70" i="23"/>
  <c r="N69" i="23" s="1"/>
  <c r="M70" i="23"/>
  <c r="M69" i="23" s="1"/>
  <c r="L70" i="23"/>
  <c r="K70" i="23"/>
  <c r="K69" i="23" s="1"/>
  <c r="J70" i="23"/>
  <c r="J69" i="23" s="1"/>
  <c r="I70" i="23"/>
  <c r="I69" i="23" s="1"/>
  <c r="H70" i="23"/>
  <c r="H69" i="23" s="1"/>
  <c r="G70" i="23"/>
  <c r="G69" i="23" s="1"/>
  <c r="F70" i="23"/>
  <c r="F69" i="23" s="1"/>
  <c r="E70" i="23"/>
  <c r="E69" i="23" s="1"/>
  <c r="L69" i="23"/>
  <c r="O68" i="23"/>
  <c r="O67" i="23" s="1"/>
  <c r="N68" i="23"/>
  <c r="N67" i="23" s="1"/>
  <c r="M68" i="23"/>
  <c r="M67" i="23" s="1"/>
  <c r="L68" i="23"/>
  <c r="L67" i="23" s="1"/>
  <c r="K68" i="23"/>
  <c r="K67" i="23" s="1"/>
  <c r="J68" i="23"/>
  <c r="J67" i="23" s="1"/>
  <c r="I68" i="23"/>
  <c r="I67" i="23" s="1"/>
  <c r="H68" i="23"/>
  <c r="H67" i="23" s="1"/>
  <c r="G68" i="23"/>
  <c r="G67" i="23" s="1"/>
  <c r="F68" i="23"/>
  <c r="F67" i="23" s="1"/>
  <c r="E68" i="23"/>
  <c r="E67" i="23" s="1"/>
  <c r="O63" i="23"/>
  <c r="N63" i="23"/>
  <c r="M63" i="23"/>
  <c r="L63" i="23"/>
  <c r="K63" i="23"/>
  <c r="J63" i="23"/>
  <c r="I63" i="23"/>
  <c r="H63" i="23"/>
  <c r="G63" i="23"/>
  <c r="F63" i="23"/>
  <c r="E63" i="23"/>
  <c r="O62" i="23"/>
  <c r="O61" i="23" s="1"/>
  <c r="O60" i="23" s="1"/>
  <c r="N62" i="23"/>
  <c r="N61" i="23" s="1"/>
  <c r="N60" i="23" s="1"/>
  <c r="M62" i="23"/>
  <c r="M61" i="23" s="1"/>
  <c r="M60" i="23" s="1"/>
  <c r="L62" i="23"/>
  <c r="L61" i="23" s="1"/>
  <c r="L60" i="23" s="1"/>
  <c r="K62" i="23"/>
  <c r="K61" i="23" s="1"/>
  <c r="K60" i="23" s="1"/>
  <c r="J62" i="23"/>
  <c r="J61" i="23" s="1"/>
  <c r="J60" i="23" s="1"/>
  <c r="I62" i="23"/>
  <c r="I61" i="23" s="1"/>
  <c r="I60" i="23" s="1"/>
  <c r="H62" i="23"/>
  <c r="H61" i="23" s="1"/>
  <c r="H60" i="23" s="1"/>
  <c r="G62" i="23"/>
  <c r="G61" i="23" s="1"/>
  <c r="G60" i="23" s="1"/>
  <c r="F62" i="23"/>
  <c r="F61" i="23" s="1"/>
  <c r="F60" i="23" s="1"/>
  <c r="E62" i="23"/>
  <c r="E61" i="23" s="1"/>
  <c r="E60" i="23" s="1"/>
  <c r="O54" i="23"/>
  <c r="O53" i="23" s="1"/>
  <c r="O52" i="23" s="1"/>
  <c r="N54" i="23"/>
  <c r="N53" i="23" s="1"/>
  <c r="N52" i="23" s="1"/>
  <c r="M54" i="23"/>
  <c r="M53" i="23" s="1"/>
  <c r="M52" i="23" s="1"/>
  <c r="L54" i="23"/>
  <c r="L53" i="23" s="1"/>
  <c r="L52" i="23" s="1"/>
  <c r="K54" i="23"/>
  <c r="K53" i="23" s="1"/>
  <c r="K52" i="23" s="1"/>
  <c r="J54" i="23"/>
  <c r="J53" i="23" s="1"/>
  <c r="J52" i="23" s="1"/>
  <c r="I54" i="23"/>
  <c r="I53" i="23" s="1"/>
  <c r="I52" i="23" s="1"/>
  <c r="H54" i="23"/>
  <c r="H53" i="23" s="1"/>
  <c r="H52" i="23" s="1"/>
  <c r="G54" i="23"/>
  <c r="G53" i="23" s="1"/>
  <c r="G52" i="23" s="1"/>
  <c r="F54" i="23"/>
  <c r="F53" i="23" s="1"/>
  <c r="F52" i="23" s="1"/>
  <c r="E54" i="23"/>
  <c r="E53" i="23" s="1"/>
  <c r="E52" i="23" s="1"/>
  <c r="O51" i="23"/>
  <c r="N51" i="23"/>
  <c r="M51" i="23"/>
  <c r="L51" i="23"/>
  <c r="K51" i="23"/>
  <c r="J51" i="23"/>
  <c r="I51" i="23"/>
  <c r="H51" i="23"/>
  <c r="G51" i="23"/>
  <c r="F51" i="23"/>
  <c r="E51" i="23"/>
  <c r="O49" i="23"/>
  <c r="N49" i="23"/>
  <c r="M49" i="23"/>
  <c r="L49" i="23"/>
  <c r="K49" i="23"/>
  <c r="J49" i="23"/>
  <c r="I49" i="23"/>
  <c r="H49" i="23"/>
  <c r="G49" i="23"/>
  <c r="F49" i="23"/>
  <c r="E49" i="23"/>
  <c r="O48" i="23"/>
  <c r="N48" i="23"/>
  <c r="M48" i="23"/>
  <c r="L48" i="23"/>
  <c r="K48" i="23"/>
  <c r="J48" i="23"/>
  <c r="I48" i="23"/>
  <c r="H48" i="23"/>
  <c r="G48" i="23"/>
  <c r="F48" i="23"/>
  <c r="E48" i="23"/>
  <c r="O47" i="23"/>
  <c r="N47" i="23"/>
  <c r="M47" i="23"/>
  <c r="L47" i="23"/>
  <c r="K47" i="23"/>
  <c r="J47" i="23"/>
  <c r="I47" i="23"/>
  <c r="H47" i="23"/>
  <c r="G47" i="23"/>
  <c r="F47" i="23"/>
  <c r="E47" i="23"/>
  <c r="O46" i="23"/>
  <c r="N46" i="23"/>
  <c r="M46" i="23"/>
  <c r="L46" i="23"/>
  <c r="K46" i="23"/>
  <c r="J46" i="23"/>
  <c r="I46" i="23"/>
  <c r="H46" i="23"/>
  <c r="G46" i="23"/>
  <c r="F46" i="23"/>
  <c r="E46" i="23"/>
  <c r="O45" i="23"/>
  <c r="N45" i="23"/>
  <c r="M45" i="23"/>
  <c r="L45" i="23"/>
  <c r="K45" i="23"/>
  <c r="J45" i="23"/>
  <c r="I45" i="23"/>
  <c r="H45" i="23"/>
  <c r="G45" i="23"/>
  <c r="F45" i="23"/>
  <c r="E45" i="23"/>
  <c r="O44" i="23"/>
  <c r="N44" i="23"/>
  <c r="M44" i="23"/>
  <c r="L44" i="23"/>
  <c r="K44" i="23"/>
  <c r="J44" i="23"/>
  <c r="I44" i="23"/>
  <c r="H44" i="23"/>
  <c r="G44" i="23"/>
  <c r="F44" i="23"/>
  <c r="E44" i="23"/>
  <c r="O43" i="23"/>
  <c r="N43" i="23"/>
  <c r="M43" i="23"/>
  <c r="L43" i="23"/>
  <c r="K43" i="23"/>
  <c r="J43" i="23"/>
  <c r="I43" i="23"/>
  <c r="H43" i="23"/>
  <c r="G43" i="23"/>
  <c r="F43" i="23"/>
  <c r="E43" i="23"/>
  <c r="O38" i="23"/>
  <c r="N38" i="23"/>
  <c r="M38" i="23"/>
  <c r="L38" i="23"/>
  <c r="K38" i="23"/>
  <c r="J38" i="23"/>
  <c r="I38" i="23"/>
  <c r="H38" i="23"/>
  <c r="G38" i="23"/>
  <c r="F38" i="23"/>
  <c r="E38" i="23"/>
  <c r="O37" i="23"/>
  <c r="N37" i="23"/>
  <c r="M37" i="23"/>
  <c r="L37" i="23"/>
  <c r="K37" i="23"/>
  <c r="J37" i="23"/>
  <c r="I37" i="23"/>
  <c r="H37" i="23"/>
  <c r="G37" i="23"/>
  <c r="F37" i="23"/>
  <c r="E37" i="23"/>
  <c r="O34" i="23"/>
  <c r="N34" i="23"/>
  <c r="M34" i="23"/>
  <c r="L34" i="23"/>
  <c r="K34" i="23"/>
  <c r="J34" i="23"/>
  <c r="I34" i="23"/>
  <c r="H34" i="23"/>
  <c r="G34" i="23"/>
  <c r="F34" i="23"/>
  <c r="E34" i="23"/>
  <c r="O33" i="23"/>
  <c r="N33" i="23"/>
  <c r="M33" i="23"/>
  <c r="L33" i="23"/>
  <c r="K33" i="23"/>
  <c r="J33" i="23"/>
  <c r="I33" i="23"/>
  <c r="H33" i="23"/>
  <c r="G33" i="23"/>
  <c r="F33" i="23"/>
  <c r="F32" i="23" s="1"/>
  <c r="E33" i="23"/>
  <c r="O31" i="23"/>
  <c r="N31" i="23"/>
  <c r="M31" i="23"/>
  <c r="L31" i="23"/>
  <c r="K31" i="23"/>
  <c r="J31" i="23"/>
  <c r="I31" i="23"/>
  <c r="H31" i="23"/>
  <c r="G31" i="23"/>
  <c r="F31" i="23"/>
  <c r="E31" i="23"/>
  <c r="O30" i="23"/>
  <c r="N30" i="23"/>
  <c r="M30" i="23"/>
  <c r="L30" i="23"/>
  <c r="K30" i="23"/>
  <c r="J30" i="23"/>
  <c r="I30" i="23"/>
  <c r="H30" i="23"/>
  <c r="G30" i="23"/>
  <c r="F30" i="23"/>
  <c r="E30" i="23"/>
  <c r="O29" i="23"/>
  <c r="N29" i="23"/>
  <c r="M29" i="23"/>
  <c r="L29" i="23"/>
  <c r="K29" i="23"/>
  <c r="J29" i="23"/>
  <c r="I29" i="23"/>
  <c r="H29" i="23"/>
  <c r="G29" i="23"/>
  <c r="F29" i="23"/>
  <c r="E29" i="23"/>
  <c r="O28" i="23"/>
  <c r="N28" i="23"/>
  <c r="M28" i="23"/>
  <c r="L28" i="23"/>
  <c r="K28" i="23"/>
  <c r="J28" i="23"/>
  <c r="I28" i="23"/>
  <c r="H28" i="23"/>
  <c r="G28" i="23"/>
  <c r="F28" i="23"/>
  <c r="E28" i="23"/>
  <c r="O27" i="23"/>
  <c r="N27" i="23"/>
  <c r="M27" i="23"/>
  <c r="L27" i="23"/>
  <c r="K27" i="23"/>
  <c r="J27" i="23"/>
  <c r="I27" i="23"/>
  <c r="H27" i="23"/>
  <c r="G27" i="23"/>
  <c r="F27" i="23"/>
  <c r="E27" i="23"/>
  <c r="O26" i="23"/>
  <c r="N26" i="23"/>
  <c r="M26" i="23"/>
  <c r="L26" i="23"/>
  <c r="K26" i="23"/>
  <c r="J26" i="23"/>
  <c r="I26" i="23"/>
  <c r="H26" i="23"/>
  <c r="G26" i="23"/>
  <c r="F26" i="23"/>
  <c r="E26" i="23"/>
  <c r="O25" i="23"/>
  <c r="N25" i="23"/>
  <c r="M25" i="23"/>
  <c r="L25" i="23"/>
  <c r="K25" i="23"/>
  <c r="J25" i="23"/>
  <c r="I25" i="23"/>
  <c r="H25" i="23"/>
  <c r="G25" i="23"/>
  <c r="F25" i="23"/>
  <c r="E25" i="23"/>
  <c r="O24" i="23"/>
  <c r="N24" i="23"/>
  <c r="M24" i="23"/>
  <c r="L24" i="23"/>
  <c r="K24" i="23"/>
  <c r="J24" i="23"/>
  <c r="I24" i="23"/>
  <c r="H24" i="23"/>
  <c r="G24" i="23"/>
  <c r="F24" i="23"/>
  <c r="E24" i="23"/>
  <c r="O23" i="23"/>
  <c r="N23" i="23"/>
  <c r="M23" i="23"/>
  <c r="L23" i="23"/>
  <c r="K23" i="23"/>
  <c r="J23" i="23"/>
  <c r="I23" i="23"/>
  <c r="H23" i="23"/>
  <c r="G23" i="23"/>
  <c r="F23" i="23"/>
  <c r="E23" i="23"/>
  <c r="O22" i="23"/>
  <c r="N22" i="23"/>
  <c r="M22" i="23"/>
  <c r="L22" i="23"/>
  <c r="K22" i="23"/>
  <c r="J22" i="23"/>
  <c r="I22" i="23"/>
  <c r="H22" i="23"/>
  <c r="G22" i="23"/>
  <c r="F22" i="23"/>
  <c r="E22" i="23"/>
  <c r="O21" i="23"/>
  <c r="N21" i="23"/>
  <c r="M21" i="23"/>
  <c r="L21" i="23"/>
  <c r="K21" i="23"/>
  <c r="J21" i="23"/>
  <c r="I21" i="23"/>
  <c r="H21" i="23"/>
  <c r="G21" i="23"/>
  <c r="F21" i="23"/>
  <c r="E21" i="23"/>
  <c r="O20" i="23"/>
  <c r="N20" i="23"/>
  <c r="M20" i="23"/>
  <c r="L20" i="23"/>
  <c r="K20" i="23"/>
  <c r="J20" i="23"/>
  <c r="I20" i="23"/>
  <c r="H20" i="23"/>
  <c r="G20" i="23"/>
  <c r="F20" i="23"/>
  <c r="E20" i="23"/>
  <c r="O17" i="23"/>
  <c r="N17" i="23"/>
  <c r="M17" i="23"/>
  <c r="L17" i="23"/>
  <c r="K17" i="23"/>
  <c r="J17" i="23"/>
  <c r="I17" i="23"/>
  <c r="H17" i="23"/>
  <c r="G17" i="23"/>
  <c r="F17" i="23"/>
  <c r="E17" i="23"/>
  <c r="O16" i="23"/>
  <c r="N16" i="23"/>
  <c r="M16" i="23"/>
  <c r="L16" i="23"/>
  <c r="K16" i="23"/>
  <c r="J16" i="23"/>
  <c r="I16" i="23"/>
  <c r="H16" i="23"/>
  <c r="G16" i="23"/>
  <c r="F16" i="23"/>
  <c r="E16" i="23"/>
  <c r="O15" i="23"/>
  <c r="N15" i="23"/>
  <c r="M15" i="23"/>
  <c r="L15" i="23"/>
  <c r="K15" i="23"/>
  <c r="J15" i="23"/>
  <c r="I15" i="23"/>
  <c r="H15" i="23"/>
  <c r="G15" i="23"/>
  <c r="F15" i="23"/>
  <c r="E15" i="23"/>
  <c r="O14" i="23"/>
  <c r="N14" i="23"/>
  <c r="M14" i="23"/>
  <c r="L14" i="23"/>
  <c r="K14" i="23"/>
  <c r="J14" i="23"/>
  <c r="I14" i="23"/>
  <c r="H14" i="23"/>
  <c r="G14" i="23"/>
  <c r="F14" i="23"/>
  <c r="E14" i="23"/>
  <c r="O13" i="23"/>
  <c r="N13" i="23"/>
  <c r="M13" i="23"/>
  <c r="L13" i="23"/>
  <c r="K13" i="23"/>
  <c r="J13" i="23"/>
  <c r="I13" i="23"/>
  <c r="H13" i="23"/>
  <c r="G13" i="23"/>
  <c r="F13" i="23"/>
  <c r="E13" i="23"/>
  <c r="O12" i="23"/>
  <c r="N12" i="23"/>
  <c r="M12" i="23"/>
  <c r="L12" i="23"/>
  <c r="K12" i="23"/>
  <c r="J12" i="23"/>
  <c r="I12" i="23"/>
  <c r="H12" i="23"/>
  <c r="G12" i="23"/>
  <c r="F12" i="23"/>
  <c r="E12" i="23"/>
  <c r="O11" i="23"/>
  <c r="N11" i="23"/>
  <c r="M11" i="23"/>
  <c r="L11" i="23"/>
  <c r="K11" i="23"/>
  <c r="J11" i="23"/>
  <c r="I11" i="23"/>
  <c r="H11" i="23"/>
  <c r="G11" i="23"/>
  <c r="F11" i="23"/>
  <c r="E11" i="23"/>
  <c r="O10" i="23"/>
  <c r="N10" i="23"/>
  <c r="M10" i="23"/>
  <c r="L10" i="23"/>
  <c r="K10" i="23"/>
  <c r="J10" i="23"/>
  <c r="I10" i="23"/>
  <c r="H10" i="23"/>
  <c r="G10" i="23"/>
  <c r="F10" i="23"/>
  <c r="E10" i="23"/>
  <c r="D70" i="23"/>
  <c r="D69" i="23" s="1"/>
  <c r="D68" i="23"/>
  <c r="D67" i="23" s="1"/>
  <c r="D63" i="23"/>
  <c r="D62" i="23"/>
  <c r="D61" i="23" s="1"/>
  <c r="D60" i="23" s="1"/>
  <c r="D54" i="23"/>
  <c r="D53" i="23" s="1"/>
  <c r="D52" i="23" s="1"/>
  <c r="D51" i="23"/>
  <c r="D49" i="23"/>
  <c r="D48" i="23"/>
  <c r="D47" i="23"/>
  <c r="D46" i="23"/>
  <c r="D45" i="23"/>
  <c r="D44" i="23"/>
  <c r="D43" i="23"/>
  <c r="D38" i="23"/>
  <c r="D37" i="23"/>
  <c r="D34" i="23"/>
  <c r="D33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7" i="23"/>
  <c r="D16" i="23"/>
  <c r="D15" i="23"/>
  <c r="D14" i="23"/>
  <c r="D13" i="23"/>
  <c r="D12" i="23"/>
  <c r="D11" i="23"/>
  <c r="D10" i="23"/>
  <c r="C63" i="23"/>
  <c r="C47" i="23"/>
  <c r="AL163" i="9"/>
  <c r="AM163" i="9"/>
  <c r="AN163" i="9"/>
  <c r="AO163" i="9"/>
  <c r="AP163" i="9"/>
  <c r="AQ163" i="9"/>
  <c r="AR163" i="9"/>
  <c r="E35" i="9"/>
  <c r="G35" i="9" s="1"/>
  <c r="J16" i="9"/>
  <c r="I16" i="9"/>
  <c r="H16" i="9"/>
  <c r="N32" i="23" l="1"/>
  <c r="G66" i="23"/>
  <c r="O66" i="23"/>
  <c r="J66" i="23"/>
  <c r="M36" i="23"/>
  <c r="M35" i="23" s="1"/>
  <c r="L32" i="23"/>
  <c r="J36" i="23"/>
  <c r="J35" i="23" s="1"/>
  <c r="F36" i="23"/>
  <c r="F35" i="23" s="1"/>
  <c r="E32" i="23"/>
  <c r="E36" i="23"/>
  <c r="E35" i="23" s="1"/>
  <c r="F66" i="23"/>
  <c r="K66" i="23"/>
  <c r="I36" i="23"/>
  <c r="I35" i="23" s="1"/>
  <c r="D42" i="23"/>
  <c r="D39" i="23" s="1"/>
  <c r="M66" i="23"/>
  <c r="H36" i="23"/>
  <c r="H35" i="23" s="1"/>
  <c r="D32" i="23"/>
  <c r="M32" i="23"/>
  <c r="L19" i="23"/>
  <c r="H32" i="23"/>
  <c r="G36" i="23"/>
  <c r="G35" i="23" s="1"/>
  <c r="O36" i="23"/>
  <c r="O35" i="23" s="1"/>
  <c r="I32" i="23"/>
  <c r="J9" i="23"/>
  <c r="J8" i="23" s="1"/>
  <c r="K32" i="23"/>
  <c r="N36" i="23"/>
  <c r="N35" i="23" s="1"/>
  <c r="N66" i="23"/>
  <c r="H19" i="23"/>
  <c r="H18" i="23" s="1"/>
  <c r="E19" i="23"/>
  <c r="M19" i="23"/>
  <c r="J32" i="23"/>
  <c r="G32" i="23"/>
  <c r="O32" i="23"/>
  <c r="E66" i="23"/>
  <c r="D36" i="23"/>
  <c r="D35" i="23" s="1"/>
  <c r="K42" i="23"/>
  <c r="K39" i="23" s="1"/>
  <c r="E42" i="23"/>
  <c r="E39" i="23" s="1"/>
  <c r="M42" i="23"/>
  <c r="M39" i="23" s="1"/>
  <c r="D9" i="23"/>
  <c r="D8" i="23" s="1"/>
  <c r="E73" i="23"/>
  <c r="I73" i="23"/>
  <c r="M73" i="23"/>
  <c r="D66" i="23"/>
  <c r="F73" i="23"/>
  <c r="J73" i="23"/>
  <c r="N73" i="23"/>
  <c r="I19" i="23"/>
  <c r="I18" i="23" s="1"/>
  <c r="F19" i="23"/>
  <c r="F18" i="23" s="1"/>
  <c r="N19" i="23"/>
  <c r="N18" i="23" s="1"/>
  <c r="K19" i="23"/>
  <c r="J19" i="23"/>
  <c r="L36" i="23"/>
  <c r="L35" i="23" s="1"/>
  <c r="H42" i="23"/>
  <c r="H39" i="23" s="1"/>
  <c r="H66" i="23"/>
  <c r="G73" i="23"/>
  <c r="K73" i="23"/>
  <c r="O73" i="23"/>
  <c r="L9" i="23"/>
  <c r="L8" i="23" s="1"/>
  <c r="I9" i="23"/>
  <c r="I8" i="23" s="1"/>
  <c r="F9" i="23"/>
  <c r="K9" i="23"/>
  <c r="K8" i="23" s="1"/>
  <c r="H9" i="23"/>
  <c r="E9" i="23"/>
  <c r="M9" i="23"/>
  <c r="M8" i="23" s="1"/>
  <c r="L66" i="23"/>
  <c r="I66" i="23"/>
  <c r="D73" i="23"/>
  <c r="D19" i="23"/>
  <c r="L73" i="23"/>
  <c r="G19" i="23"/>
  <c r="O19" i="23"/>
  <c r="K36" i="23"/>
  <c r="K35" i="23" s="1"/>
  <c r="J42" i="23"/>
  <c r="J39" i="23" s="1"/>
  <c r="G42" i="23"/>
  <c r="G39" i="23" s="1"/>
  <c r="O42" i="23"/>
  <c r="O39" i="23" s="1"/>
  <c r="L42" i="23"/>
  <c r="L39" i="23" s="1"/>
  <c r="I42" i="23"/>
  <c r="I39" i="23" s="1"/>
  <c r="F42" i="23"/>
  <c r="F39" i="23" s="1"/>
  <c r="N42" i="23"/>
  <c r="N39" i="23" s="1"/>
  <c r="H73" i="23"/>
  <c r="N9" i="23"/>
  <c r="G9" i="23"/>
  <c r="O9" i="23"/>
  <c r="L18" i="23" l="1"/>
  <c r="L71" i="23" s="1"/>
  <c r="D18" i="23"/>
  <c r="D71" i="23" s="1"/>
  <c r="E18" i="23"/>
  <c r="O18" i="23"/>
  <c r="M18" i="23"/>
  <c r="M71" i="23" s="1"/>
  <c r="I72" i="23"/>
  <c r="H72" i="23"/>
  <c r="H8" i="23"/>
  <c r="H71" i="23" s="1"/>
  <c r="E72" i="23"/>
  <c r="K18" i="23"/>
  <c r="K71" i="23" s="1"/>
  <c r="J18" i="23"/>
  <c r="J71" i="23" s="1"/>
  <c r="G18" i="23"/>
  <c r="F72" i="23"/>
  <c r="J72" i="23"/>
  <c r="E8" i="23"/>
  <c r="I71" i="23"/>
  <c r="K72" i="23"/>
  <c r="L72" i="23"/>
  <c r="M72" i="23"/>
  <c r="D72" i="23"/>
  <c r="F8" i="23"/>
  <c r="F71" i="23" s="1"/>
  <c r="N72" i="23"/>
  <c r="N8" i="23"/>
  <c r="N71" i="23" s="1"/>
  <c r="O72" i="23"/>
  <c r="O8" i="23"/>
  <c r="O71" i="23" s="1"/>
  <c r="G72" i="23"/>
  <c r="G8" i="23"/>
  <c r="E71" i="23" l="1"/>
  <c r="G71" i="23"/>
  <c r="I36" i="18" l="1"/>
  <c r="L36" i="18" s="1"/>
  <c r="AB67" i="22" l="1"/>
  <c r="D25" i="5" l="1"/>
  <c r="Y79" i="22"/>
  <c r="Y80" i="22" s="1"/>
  <c r="Y82" i="22" s="1"/>
  <c r="C25" i="5"/>
  <c r="AF89" i="22"/>
  <c r="AF88" i="22"/>
  <c r="AE36" i="22"/>
  <c r="AE28" i="22"/>
  <c r="AM69" i="22"/>
  <c r="AB69" i="22"/>
  <c r="K69" i="22"/>
  <c r="AJ69" i="22" s="1"/>
  <c r="I69" i="22"/>
  <c r="X69" i="22" s="1"/>
  <c r="H25" i="5" l="1"/>
  <c r="M69" i="22"/>
  <c r="AE69" i="22" s="1"/>
  <c r="AI69" i="22"/>
  <c r="J69" i="22"/>
  <c r="Q69" i="22" s="1"/>
  <c r="N69" i="22" l="1"/>
  <c r="P69" i="22"/>
  <c r="R69" i="22" l="1"/>
  <c r="S69" i="22" s="1"/>
  <c r="AD69" i="22"/>
  <c r="AO69" i="22"/>
  <c r="AL69" i="22"/>
  <c r="AA69" i="22"/>
  <c r="AC69" i="22"/>
  <c r="AN69" i="22"/>
  <c r="AQ69" i="22" l="1"/>
  <c r="AS69" i="22"/>
  <c r="AF69" i="22"/>
  <c r="I14" i="18" l="1"/>
  <c r="I26" i="18" l="1"/>
  <c r="K35" i="9"/>
  <c r="L35" i="9" s="1"/>
  <c r="L12" i="9"/>
  <c r="C58" i="9"/>
  <c r="F49" i="9"/>
  <c r="F23" i="9"/>
  <c r="L34" i="9" l="1"/>
  <c r="G122" i="4"/>
  <c r="G123" i="4"/>
  <c r="G125" i="4"/>
  <c r="D51" i="5" s="1"/>
  <c r="H51" i="5" s="1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21" i="4"/>
  <c r="G120" i="4" l="1"/>
  <c r="AH10" i="22" l="1"/>
  <c r="AH11" i="22"/>
  <c r="AH12" i="22"/>
  <c r="AM12" i="22" s="1"/>
  <c r="AH13" i="22"/>
  <c r="AM13" i="22" s="1"/>
  <c r="AH14" i="22"/>
  <c r="AM14" i="22" s="1"/>
  <c r="AM17" i="22"/>
  <c r="AM75" i="22"/>
  <c r="AM74" i="22"/>
  <c r="AM72" i="22"/>
  <c r="AM71" i="22"/>
  <c r="AM68" i="22"/>
  <c r="AM67" i="22"/>
  <c r="AM59" i="22"/>
  <c r="AM55" i="22"/>
  <c r="AM53" i="22"/>
  <c r="AM52" i="22"/>
  <c r="AH26" i="22"/>
  <c r="AM26" i="22" s="1"/>
  <c r="AH25" i="22"/>
  <c r="AM25" i="22" s="1"/>
  <c r="AH24" i="22"/>
  <c r="AH23" i="22"/>
  <c r="AM23" i="22" s="1"/>
  <c r="AH22" i="22"/>
  <c r="AM22" i="22" s="1"/>
  <c r="AH19" i="22"/>
  <c r="AM19" i="22" s="1"/>
  <c r="AN78" i="22"/>
  <c r="AM78" i="22"/>
  <c r="AN77" i="22"/>
  <c r="AM77" i="22"/>
  <c r="AN76" i="22"/>
  <c r="AM76" i="22"/>
  <c r="AN65" i="22"/>
  <c r="AM65" i="22"/>
  <c r="AN64" i="22"/>
  <c r="AM64" i="22"/>
  <c r="AN63" i="22"/>
  <c r="AM63" i="22"/>
  <c r="AN62" i="22"/>
  <c r="AM62" i="22"/>
  <c r="AN61" i="22"/>
  <c r="AM61" i="22"/>
  <c r="AN51" i="22"/>
  <c r="AM51" i="22"/>
  <c r="AN50" i="22"/>
  <c r="AM50" i="22"/>
  <c r="AN49" i="22"/>
  <c r="AM49" i="22"/>
  <c r="AN48" i="22"/>
  <c r="AM48" i="22"/>
  <c r="AN47" i="22"/>
  <c r="AM47" i="22"/>
  <c r="AN46" i="22"/>
  <c r="AM46" i="22"/>
  <c r="AN45" i="22"/>
  <c r="AM45" i="22"/>
  <c r="AN44" i="22"/>
  <c r="AM44" i="22"/>
  <c r="AN43" i="22"/>
  <c r="AM43" i="22"/>
  <c r="AN42" i="22"/>
  <c r="AM42" i="22"/>
  <c r="AN41" i="22"/>
  <c r="AM41" i="22"/>
  <c r="AN40" i="22"/>
  <c r="AM40" i="22"/>
  <c r="AN39" i="22"/>
  <c r="AM39" i="22"/>
  <c r="AN38" i="22"/>
  <c r="AM38" i="22"/>
  <c r="AN36" i="22"/>
  <c r="AM36" i="22"/>
  <c r="AN35" i="22"/>
  <c r="AM35" i="22"/>
  <c r="AN34" i="22"/>
  <c r="AM34" i="22"/>
  <c r="AN33" i="22"/>
  <c r="AM33" i="22"/>
  <c r="AN32" i="22"/>
  <c r="AM32" i="22"/>
  <c r="AN31" i="22"/>
  <c r="AM31" i="22"/>
  <c r="AN30" i="22"/>
  <c r="AM30" i="22"/>
  <c r="AN29" i="22"/>
  <c r="AM29" i="22"/>
  <c r="AN28" i="22"/>
  <c r="AM28" i="22"/>
  <c r="AD28" i="22"/>
  <c r="AD29" i="22"/>
  <c r="AD30" i="22"/>
  <c r="AD31" i="22"/>
  <c r="AD32" i="22"/>
  <c r="AD33" i="22"/>
  <c r="AD34" i="22"/>
  <c r="AD36" i="22"/>
  <c r="AD38" i="22"/>
  <c r="AD39" i="22"/>
  <c r="AD40" i="22"/>
  <c r="AD41" i="22"/>
  <c r="AD42" i="22"/>
  <c r="AD44" i="22"/>
  <c r="AD45" i="22"/>
  <c r="AD46" i="22"/>
  <c r="AD48" i="22"/>
  <c r="AD49" i="22"/>
  <c r="AD50" i="22"/>
  <c r="AD61" i="22"/>
  <c r="AD62" i="22"/>
  <c r="AD63" i="22"/>
  <c r="AD64" i="22"/>
  <c r="AB10" i="22"/>
  <c r="AC28" i="22"/>
  <c r="AC36" i="22"/>
  <c r="AC38" i="22"/>
  <c r="AC44" i="22"/>
  <c r="AC48" i="22"/>
  <c r="AC61" i="22"/>
  <c r="AB11" i="22"/>
  <c r="AB12" i="22"/>
  <c r="AB13" i="22"/>
  <c r="AB14" i="22"/>
  <c r="AB17" i="22"/>
  <c r="AB19" i="22"/>
  <c r="AB22" i="22"/>
  <c r="AB23" i="22"/>
  <c r="AB24" i="22"/>
  <c r="AB25" i="22"/>
  <c r="AB26" i="22"/>
  <c r="AB28" i="22"/>
  <c r="AB29" i="22"/>
  <c r="AB30" i="22"/>
  <c r="AB31" i="22"/>
  <c r="AB32" i="22"/>
  <c r="AB33" i="22"/>
  <c r="AB34" i="22"/>
  <c r="AB36" i="22"/>
  <c r="AB38" i="22"/>
  <c r="AB39" i="22"/>
  <c r="AB40" i="22"/>
  <c r="AB41" i="22"/>
  <c r="AB42" i="22"/>
  <c r="AB44" i="22"/>
  <c r="AB45" i="22"/>
  <c r="AB46" i="22"/>
  <c r="AB48" i="22"/>
  <c r="AB49" i="22"/>
  <c r="AB50" i="22"/>
  <c r="AB52" i="22"/>
  <c r="AB53" i="22"/>
  <c r="AB55" i="22"/>
  <c r="AB59" i="22"/>
  <c r="AB61" i="22"/>
  <c r="AB62" i="22"/>
  <c r="AB63" i="22"/>
  <c r="AB64" i="22"/>
  <c r="AB68" i="22"/>
  <c r="AB71" i="22"/>
  <c r="AB72" i="22"/>
  <c r="AB74" i="22"/>
  <c r="AB75" i="22"/>
  <c r="AB76" i="22"/>
  <c r="AB77" i="22"/>
  <c r="AB78" i="22"/>
  <c r="AM11" i="22" l="1"/>
  <c r="AM24" i="22"/>
  <c r="AM27" i="22" s="1"/>
  <c r="AM10" i="22"/>
  <c r="AO36" i="22"/>
  <c r="AS36" i="22"/>
  <c r="AO48" i="22"/>
  <c r="AS48" i="22"/>
  <c r="AO28" i="22"/>
  <c r="AS28" i="22"/>
  <c r="AO44" i="22"/>
  <c r="AS44" i="22"/>
  <c r="AO38" i="22"/>
  <c r="AS38" i="22"/>
  <c r="AO61" i="22"/>
  <c r="AS61" i="22"/>
  <c r="AB27" i="22"/>
  <c r="AB18" i="22"/>
  <c r="AM18" i="22" l="1"/>
  <c r="AM37" i="22" s="1"/>
  <c r="AB37" i="22"/>
  <c r="K54" i="22" l="1"/>
  <c r="AJ54" i="22" s="1"/>
  <c r="I54" i="22"/>
  <c r="P54" i="22" l="1"/>
  <c r="AL54" i="22" s="1"/>
  <c r="Q54" i="22"/>
  <c r="X54" i="22"/>
  <c r="AI54" i="22"/>
  <c r="M54" i="22"/>
  <c r="AE54" i="22" s="1"/>
  <c r="J54" i="22"/>
  <c r="AA54" i="22" l="1"/>
  <c r="O54" i="22"/>
  <c r="N54" i="22"/>
  <c r="R54" i="22" l="1"/>
  <c r="S54" i="22" s="1"/>
  <c r="AM54" i="22"/>
  <c r="AM60" i="22" s="1"/>
  <c r="AB54" i="22"/>
  <c r="AB60" i="22" s="1"/>
  <c r="AC54" i="22"/>
  <c r="AN54" i="22"/>
  <c r="AD54" i="22"/>
  <c r="AO54" i="22"/>
  <c r="AF54" i="22" l="1"/>
  <c r="AQ54" i="22"/>
  <c r="AS54" i="22"/>
  <c r="L14" i="18"/>
  <c r="C14" i="23" s="1"/>
  <c r="P10" i="9" l="1"/>
  <c r="Q10" i="9"/>
  <c r="R10" i="9"/>
  <c r="M10" i="9"/>
  <c r="M9" i="9" s="1"/>
  <c r="N10" i="9"/>
  <c r="P17" i="9"/>
  <c r="Q17" i="9"/>
  <c r="R17" i="9"/>
  <c r="S17" i="9" l="1"/>
  <c r="S10" i="9"/>
  <c r="AE128" i="9" l="1"/>
  <c r="O116" i="9" l="1"/>
  <c r="M116" i="9"/>
  <c r="M112" i="9" s="1"/>
  <c r="K116" i="9"/>
  <c r="M39" i="9"/>
  <c r="M43" i="9"/>
  <c r="L18" i="9"/>
  <c r="L19" i="9"/>
  <c r="L20" i="9"/>
  <c r="L21" i="9"/>
  <c r="M141" i="9" l="1"/>
  <c r="S141" i="9" s="1"/>
  <c r="N39" i="9"/>
  <c r="N9" i="9" s="1"/>
  <c r="S9" i="9" l="1"/>
  <c r="N112" i="9"/>
  <c r="AK141" i="9" l="1"/>
  <c r="K23" i="9"/>
  <c r="L23" i="9" s="1"/>
  <c r="E27" i="22" l="1"/>
  <c r="E18" i="22"/>
  <c r="E37" i="22" l="1"/>
  <c r="E82" i="22" s="1"/>
  <c r="K156" i="9" l="1"/>
  <c r="K155" i="9" s="1"/>
  <c r="J156" i="9"/>
  <c r="J155" i="9" s="1"/>
  <c r="I156" i="9"/>
  <c r="I155" i="9" s="1"/>
  <c r="H157" i="9"/>
  <c r="H156" i="9" s="1"/>
  <c r="H155" i="9" s="1"/>
  <c r="G94" i="4"/>
  <c r="G93" i="4" s="1"/>
  <c r="C141" i="5" s="1"/>
  <c r="C140" i="5" s="1"/>
  <c r="C139" i="5" s="1"/>
  <c r="F94" i="4"/>
  <c r="F93" i="4" s="1"/>
  <c r="E94" i="4"/>
  <c r="E93" i="4" s="1"/>
  <c r="D94" i="4"/>
  <c r="D93" i="4" s="1"/>
  <c r="C94" i="4"/>
  <c r="C93" i="4" s="1"/>
  <c r="D156" i="9"/>
  <c r="D155" i="9" s="1"/>
  <c r="E156" i="9"/>
  <c r="E155" i="9" s="1"/>
  <c r="F156" i="9"/>
  <c r="F155" i="9" s="1"/>
  <c r="C157" i="9"/>
  <c r="D202" i="4"/>
  <c r="D201" i="4" s="1"/>
  <c r="E202" i="4"/>
  <c r="E201" i="4" s="1"/>
  <c r="F202" i="4"/>
  <c r="F201" i="4" s="1"/>
  <c r="C202" i="4"/>
  <c r="C201" i="4" s="1"/>
  <c r="C156" i="9" l="1"/>
  <c r="G157" i="9"/>
  <c r="L155" i="9"/>
  <c r="D141" i="5"/>
  <c r="D140" i="5" s="1"/>
  <c r="D139" i="5" s="1"/>
  <c r="I139" i="5" s="1"/>
  <c r="L156" i="9"/>
  <c r="G156" i="9"/>
  <c r="C155" i="9"/>
  <c r="G155" i="9" s="1"/>
  <c r="E75" i="4"/>
  <c r="F75" i="4"/>
  <c r="C75" i="4"/>
  <c r="D75" i="4"/>
  <c r="G75" i="4" l="1"/>
  <c r="K105" i="9"/>
  <c r="J105" i="9"/>
  <c r="I105" i="9"/>
  <c r="H105" i="9"/>
  <c r="K104" i="9"/>
  <c r="J104" i="9"/>
  <c r="I104" i="9"/>
  <c r="H104" i="9"/>
  <c r="G76" i="4"/>
  <c r="C110" i="5" s="1"/>
  <c r="G77" i="4"/>
  <c r="C111" i="5" s="1"/>
  <c r="S147" i="9" l="1"/>
  <c r="S139" i="9"/>
  <c r="S138" i="9"/>
  <c r="S137" i="9"/>
  <c r="S135" i="9"/>
  <c r="S133" i="9"/>
  <c r="S130" i="9"/>
  <c r="S129" i="9"/>
  <c r="S118" i="9"/>
  <c r="S117" i="9"/>
  <c r="S115" i="9"/>
  <c r="S114" i="9"/>
  <c r="S102" i="9"/>
  <c r="Q151" i="9"/>
  <c r="Q150" i="9" s="1"/>
  <c r="Q103" i="9"/>
  <c r="F55" i="9" l="1"/>
  <c r="F54" i="9"/>
  <c r="L75" i="22"/>
  <c r="AK75" i="22" s="1"/>
  <c r="L74" i="22"/>
  <c r="L72" i="22"/>
  <c r="AK72" i="22" s="1"/>
  <c r="L71" i="22"/>
  <c r="AK71" i="22" s="1"/>
  <c r="L68" i="22"/>
  <c r="AK68" i="22" s="1"/>
  <c r="AK74" i="22" l="1"/>
  <c r="AK79" i="22" s="1"/>
  <c r="AK80" i="22" s="1"/>
  <c r="AK82" i="22" s="1"/>
  <c r="Q74" i="22"/>
  <c r="Z79" i="22"/>
  <c r="Z80" i="22" s="1"/>
  <c r="Z82" i="22" s="1"/>
  <c r="AJ75" i="22"/>
  <c r="K74" i="22"/>
  <c r="AJ74" i="22" s="1"/>
  <c r="K72" i="22"/>
  <c r="AJ72" i="22" s="1"/>
  <c r="K71" i="22"/>
  <c r="AJ71" i="22" s="1"/>
  <c r="K68" i="22"/>
  <c r="AJ68" i="22" s="1"/>
  <c r="K67" i="22"/>
  <c r="AJ67" i="22" s="1"/>
  <c r="AJ66" i="22"/>
  <c r="K59" i="22"/>
  <c r="AJ59" i="22" s="1"/>
  <c r="K55" i="22"/>
  <c r="AJ55" i="22" s="1"/>
  <c r="K53" i="22"/>
  <c r="AJ53" i="22" s="1"/>
  <c r="K52" i="22"/>
  <c r="AJ52" i="22" s="1"/>
  <c r="K26" i="22"/>
  <c r="AJ26" i="22" s="1"/>
  <c r="K25" i="22"/>
  <c r="AJ25" i="22" s="1"/>
  <c r="K24" i="22"/>
  <c r="AJ24" i="22" s="1"/>
  <c r="K23" i="22"/>
  <c r="AJ23" i="22" s="1"/>
  <c r="K22" i="22"/>
  <c r="AJ22" i="22" s="1"/>
  <c r="K19" i="22"/>
  <c r="AJ19" i="22" s="1"/>
  <c r="AJ17" i="22"/>
  <c r="K14" i="22"/>
  <c r="AJ14" i="22" s="1"/>
  <c r="K13" i="22"/>
  <c r="AJ13" i="22" s="1"/>
  <c r="K12" i="22"/>
  <c r="AJ12" i="22" s="1"/>
  <c r="K11" i="22"/>
  <c r="AJ11" i="22" s="1"/>
  <c r="K10" i="22"/>
  <c r="AJ10" i="22" s="1"/>
  <c r="E89" i="4"/>
  <c r="F89" i="4"/>
  <c r="C19" i="5" l="1"/>
  <c r="K16" i="9"/>
  <c r="L16" i="9" s="1"/>
  <c r="AJ79" i="22"/>
  <c r="F16" i="9" s="1"/>
  <c r="AJ18" i="22"/>
  <c r="AJ60" i="22"/>
  <c r="AJ27" i="22"/>
  <c r="K79" i="22"/>
  <c r="K27" i="22"/>
  <c r="D16" i="9" s="1"/>
  <c r="K60" i="22"/>
  <c r="E16" i="9" s="1"/>
  <c r="K18" i="22"/>
  <c r="AJ80" i="22" l="1"/>
  <c r="AJ37" i="22"/>
  <c r="K80" i="22"/>
  <c r="AJ82" i="22" l="1"/>
  <c r="C34" i="5"/>
  <c r="H32" i="9" l="1"/>
  <c r="L32" i="9" s="1"/>
  <c r="I75" i="22"/>
  <c r="I72" i="22"/>
  <c r="J72" i="22" s="1"/>
  <c r="Q72" i="22" s="1"/>
  <c r="I71" i="22"/>
  <c r="I68" i="22"/>
  <c r="I67" i="22"/>
  <c r="J67" i="22" s="1"/>
  <c r="Q67" i="22" s="1"/>
  <c r="I66" i="22"/>
  <c r="I59" i="22"/>
  <c r="Q59" i="22" s="1"/>
  <c r="I55" i="22"/>
  <c r="I53" i="22"/>
  <c r="I52" i="22"/>
  <c r="I19" i="22"/>
  <c r="I26" i="22"/>
  <c r="I25" i="22"/>
  <c r="I24" i="22"/>
  <c r="I23" i="22"/>
  <c r="I22" i="22"/>
  <c r="I14" i="22"/>
  <c r="I13" i="22"/>
  <c r="I12" i="22"/>
  <c r="I11" i="22"/>
  <c r="I10" i="22"/>
  <c r="G18" i="21"/>
  <c r="I79" i="22" l="1"/>
  <c r="X10" i="22"/>
  <c r="M10" i="22"/>
  <c r="Q11" i="22"/>
  <c r="P11" i="22"/>
  <c r="AL11" i="22" s="1"/>
  <c r="P24" i="22"/>
  <c r="AL24" i="22" s="1"/>
  <c r="Q24" i="22"/>
  <c r="P25" i="22"/>
  <c r="AL25" i="22" s="1"/>
  <c r="Q25" i="22"/>
  <c r="P19" i="22"/>
  <c r="AL19" i="22" s="1"/>
  <c r="Q19" i="22"/>
  <c r="P52" i="22"/>
  <c r="AL52" i="22" s="1"/>
  <c r="Q52" i="22"/>
  <c r="P10" i="22"/>
  <c r="AA10" i="22" s="1"/>
  <c r="Q10" i="22"/>
  <c r="P26" i="22"/>
  <c r="AA26" i="22" s="1"/>
  <c r="Q26" i="22"/>
  <c r="Q12" i="22"/>
  <c r="P12" i="22"/>
  <c r="AL12" i="22" s="1"/>
  <c r="P13" i="22"/>
  <c r="AL13" i="22" s="1"/>
  <c r="Q13" i="22"/>
  <c r="P14" i="22"/>
  <c r="AL14" i="22" s="1"/>
  <c r="Q14" i="22"/>
  <c r="P53" i="22"/>
  <c r="AL53" i="22" s="1"/>
  <c r="Q53" i="22"/>
  <c r="P22" i="22"/>
  <c r="AL22" i="22" s="1"/>
  <c r="Q22" i="22"/>
  <c r="P55" i="22"/>
  <c r="AA55" i="22" s="1"/>
  <c r="Q55" i="22"/>
  <c r="P23" i="22"/>
  <c r="AA23" i="22" s="1"/>
  <c r="Q23" i="22"/>
  <c r="X66" i="22"/>
  <c r="J66" i="22"/>
  <c r="Q66" i="22" s="1"/>
  <c r="AA17" i="22"/>
  <c r="AL17" i="22"/>
  <c r="AI59" i="22"/>
  <c r="P59" i="22"/>
  <c r="AA13" i="22"/>
  <c r="P67" i="22"/>
  <c r="N67" i="22"/>
  <c r="X52" i="22"/>
  <c r="AI52" i="22"/>
  <c r="X68" i="22"/>
  <c r="AI68" i="22"/>
  <c r="X11" i="22"/>
  <c r="AI11" i="22"/>
  <c r="X25" i="22"/>
  <c r="AI25" i="22"/>
  <c r="X53" i="22"/>
  <c r="AI53" i="22"/>
  <c r="X12" i="22"/>
  <c r="AI12" i="22"/>
  <c r="X22" i="22"/>
  <c r="AI22" i="22"/>
  <c r="X26" i="22"/>
  <c r="AI26" i="22"/>
  <c r="AI10" i="22"/>
  <c r="X13" i="22"/>
  <c r="AI13" i="22"/>
  <c r="X23" i="22"/>
  <c r="AI23" i="22"/>
  <c r="X19" i="22"/>
  <c r="AI19" i="22"/>
  <c r="X55" i="22"/>
  <c r="AI55" i="22"/>
  <c r="X67" i="22"/>
  <c r="AI67" i="22"/>
  <c r="X71" i="22"/>
  <c r="AI71" i="22"/>
  <c r="X75" i="22"/>
  <c r="AI75" i="22"/>
  <c r="X14" i="22"/>
  <c r="AI14" i="22"/>
  <c r="X24" i="22"/>
  <c r="AI24" i="22"/>
  <c r="X72" i="22"/>
  <c r="AI72" i="22"/>
  <c r="X17" i="22"/>
  <c r="AI17" i="22"/>
  <c r="AI66" i="22"/>
  <c r="X74" i="22"/>
  <c r="AI74" i="22"/>
  <c r="I60" i="22"/>
  <c r="I80" i="22" s="1"/>
  <c r="X59" i="22"/>
  <c r="AE10" i="22"/>
  <c r="J10" i="22"/>
  <c r="N10" i="22" s="1"/>
  <c r="AA24" i="22" l="1"/>
  <c r="AA14" i="22"/>
  <c r="AA19" i="22"/>
  <c r="AA52" i="22"/>
  <c r="AA12" i="22"/>
  <c r="AL55" i="22"/>
  <c r="AA53" i="22"/>
  <c r="AL26" i="22"/>
  <c r="AA25" i="22"/>
  <c r="AA11" i="22"/>
  <c r="AL23" i="22"/>
  <c r="AL10" i="22"/>
  <c r="AA22" i="22"/>
  <c r="AD10" i="22"/>
  <c r="AO10" i="22"/>
  <c r="AD24" i="22"/>
  <c r="AO24" i="22"/>
  <c r="AC10" i="22"/>
  <c r="AN10" i="22"/>
  <c r="AA67" i="22"/>
  <c r="AL67" i="22"/>
  <c r="AN67" i="22"/>
  <c r="AC67" i="22"/>
  <c r="AO67" i="22"/>
  <c r="AD67" i="22"/>
  <c r="AA59" i="22"/>
  <c r="AL59" i="22"/>
  <c r="X18" i="22"/>
  <c r="H11" i="9" s="1"/>
  <c r="X27" i="22"/>
  <c r="X60" i="22"/>
  <c r="J11" i="9" s="1"/>
  <c r="X79" i="22"/>
  <c r="K11" i="9" s="1"/>
  <c r="AI79" i="22"/>
  <c r="F11" i="9" s="1"/>
  <c r="AI27" i="22"/>
  <c r="D11" i="9" s="1"/>
  <c r="AI60" i="22"/>
  <c r="E11" i="9" s="1"/>
  <c r="AI18" i="22"/>
  <c r="C11" i="9" s="1"/>
  <c r="X37" i="22" l="1"/>
  <c r="I11" i="9"/>
  <c r="X80" i="22"/>
  <c r="AI37" i="22"/>
  <c r="AI80" i="22"/>
  <c r="X82" i="22" l="1"/>
  <c r="C14" i="5" s="1"/>
  <c r="AI82" i="22"/>
  <c r="D14" i="5" s="1"/>
  <c r="H14" i="5" l="1"/>
  <c r="AS67" i="22"/>
  <c r="H19" i="8"/>
  <c r="R96" i="9" s="1"/>
  <c r="J25" i="20"/>
  <c r="I25" i="20"/>
  <c r="G25" i="20"/>
  <c r="J20" i="20"/>
  <c r="I20" i="20"/>
  <c r="G20" i="20"/>
  <c r="J14" i="22" l="1"/>
  <c r="L60" i="22"/>
  <c r="L27" i="22"/>
  <c r="L18" i="22"/>
  <c r="N14" i="22" l="1"/>
  <c r="L79" i="22"/>
  <c r="AO14" i="22" l="1"/>
  <c r="AD14" i="22"/>
  <c r="AN14" i="22"/>
  <c r="AC14" i="22"/>
  <c r="L80" i="22"/>
  <c r="J53" i="22"/>
  <c r="A10" i="21"/>
  <c r="A11" i="21" s="1"/>
  <c r="A12" i="21" s="1"/>
  <c r="A13" i="21" s="1"/>
  <c r="A14" i="21" s="1"/>
  <c r="A15" i="21" s="1"/>
  <c r="A16" i="21" s="1"/>
  <c r="A17" i="21" s="1"/>
  <c r="N53" i="22" l="1"/>
  <c r="AN53" i="22" l="1"/>
  <c r="AC53" i="22"/>
  <c r="AD53" i="22"/>
  <c r="AO53" i="22"/>
  <c r="Q40" i="23"/>
  <c r="Q55" i="23"/>
  <c r="Q56" i="23"/>
  <c r="Q57" i="23"/>
  <c r="Q58" i="23"/>
  <c r="Q64" i="23"/>
  <c r="P39" i="23"/>
  <c r="P67" i="23"/>
  <c r="P66" i="23" s="1"/>
  <c r="P50" i="23"/>
  <c r="Q50" i="23" s="1"/>
  <c r="P45" i="23"/>
  <c r="P44" i="23"/>
  <c r="P33" i="23"/>
  <c r="P32" i="23"/>
  <c r="P28" i="23"/>
  <c r="Q47" i="23"/>
  <c r="P61" i="23" l="1"/>
  <c r="P60" i="23" s="1"/>
  <c r="P59" i="23" s="1"/>
  <c r="P21" i="23"/>
  <c r="P37" i="23"/>
  <c r="P53" i="23"/>
  <c r="P19" i="23"/>
  <c r="P23" i="23"/>
  <c r="P27" i="23"/>
  <c r="P30" i="23"/>
  <c r="P36" i="23"/>
  <c r="P42" i="23"/>
  <c r="P43" i="23"/>
  <c r="P29" i="23"/>
  <c r="P20" i="23"/>
  <c r="P22" i="23"/>
  <c r="P24" i="23"/>
  <c r="P26" i="23"/>
  <c r="P31" i="23"/>
  <c r="P35" i="23" l="1"/>
  <c r="P34" i="23" s="1"/>
  <c r="P41" i="23"/>
  <c r="P68" i="23"/>
  <c r="P65" i="23" s="1"/>
  <c r="Q65" i="23" s="1"/>
  <c r="P15" i="23"/>
  <c r="P13" i="23"/>
  <c r="P11" i="23"/>
  <c r="P25" i="23"/>
  <c r="P14" i="23"/>
  <c r="Q14" i="23" s="1"/>
  <c r="P12" i="23"/>
  <c r="P10" i="23"/>
  <c r="Q41" i="23" l="1"/>
  <c r="P18" i="23"/>
  <c r="P17" i="23" l="1"/>
  <c r="P63" i="23"/>
  <c r="P62" i="23" s="1"/>
  <c r="P52" i="23"/>
  <c r="P51" i="23" s="1"/>
  <c r="P49" i="23"/>
  <c r="P9" i="23"/>
  <c r="P8" i="23" l="1"/>
  <c r="Q59" i="23"/>
  <c r="P38" i="23"/>
  <c r="Q63" i="23"/>
  <c r="P71" i="23" l="1"/>
  <c r="M14" i="22"/>
  <c r="AE14" i="22" s="1"/>
  <c r="P73" i="23" l="1"/>
  <c r="N66" i="22" l="1"/>
  <c r="P66" i="22"/>
  <c r="O66" i="22"/>
  <c r="AQ14" i="22"/>
  <c r="AM66" i="22" l="1"/>
  <c r="AM79" i="22" s="1"/>
  <c r="AM80" i="22" s="1"/>
  <c r="AM82" i="22" s="1"/>
  <c r="AB66" i="22"/>
  <c r="AB79" i="22" s="1"/>
  <c r="AB80" i="22" s="1"/>
  <c r="AB82" i="22" s="1"/>
  <c r="AD66" i="22"/>
  <c r="AO66" i="22"/>
  <c r="AA66" i="22"/>
  <c r="AL66" i="22"/>
  <c r="AC66" i="22"/>
  <c r="AN66" i="22"/>
  <c r="R14" i="22"/>
  <c r="AF14" i="22"/>
  <c r="I9" i="20"/>
  <c r="AS66" i="22" l="1"/>
  <c r="AS14" i="22"/>
  <c r="AQ66" i="22"/>
  <c r="S14" i="22"/>
  <c r="G164" i="4"/>
  <c r="S127" i="9" l="1"/>
  <c r="K102" i="9" l="1"/>
  <c r="K101" i="9" s="1"/>
  <c r="J102" i="9"/>
  <c r="J101" i="9" s="1"/>
  <c r="I102" i="9"/>
  <c r="I101" i="9" s="1"/>
  <c r="H102" i="9"/>
  <c r="H101" i="9" s="1"/>
  <c r="L102" i="9" l="1"/>
  <c r="H7" i="20"/>
  <c r="H9" i="20" s="1"/>
  <c r="L101" i="9" l="1"/>
  <c r="M74" i="22"/>
  <c r="AE74" i="22" s="1"/>
  <c r="J7" i="20"/>
  <c r="J9" i="20" s="1"/>
  <c r="C43" i="5" l="1"/>
  <c r="C42" i="5" s="1"/>
  <c r="D43" i="5"/>
  <c r="C40" i="9" s="1"/>
  <c r="G40" i="9" s="1"/>
  <c r="G39" i="9" s="1"/>
  <c r="N74" i="22"/>
  <c r="P74" i="22"/>
  <c r="AD74" i="22" l="1"/>
  <c r="AO74" i="22"/>
  <c r="AL74" i="22"/>
  <c r="AA74" i="22"/>
  <c r="AC74" i="22"/>
  <c r="AN74" i="22"/>
  <c r="H40" i="9"/>
  <c r="R74" i="22"/>
  <c r="L40" i="9" l="1"/>
  <c r="AF74" i="22"/>
  <c r="AQ74" i="22"/>
  <c r="AS74" i="22"/>
  <c r="S74" i="22"/>
  <c r="L39" i="9" l="1"/>
  <c r="F70" i="18"/>
  <c r="P97" i="9" l="1"/>
  <c r="S97" i="9" s="1"/>
  <c r="L96" i="9"/>
  <c r="L97" i="9"/>
  <c r="H20" i="8"/>
  <c r="H21" i="8"/>
  <c r="Q98" i="9" s="1"/>
  <c r="S96" i="9"/>
  <c r="AT96" i="9" l="1"/>
  <c r="C95" i="10" s="1"/>
  <c r="Q95" i="9"/>
  <c r="Q94" i="9" s="1"/>
  <c r="Q163" i="9" s="1"/>
  <c r="S98" i="9"/>
  <c r="R95" i="9"/>
  <c r="C61" i="9"/>
  <c r="K66" i="9"/>
  <c r="G74" i="4"/>
  <c r="F73" i="4"/>
  <c r="D73" i="4"/>
  <c r="E73" i="4"/>
  <c r="E68" i="4" s="1"/>
  <c r="C73" i="4"/>
  <c r="C68" i="4" s="1"/>
  <c r="F38" i="12" l="1"/>
  <c r="D35" i="14" s="1"/>
  <c r="I35" i="14" s="1"/>
  <c r="G73" i="4"/>
  <c r="C108" i="5"/>
  <c r="C107" i="5" s="1"/>
  <c r="F66" i="9"/>
  <c r="C45" i="9" l="1"/>
  <c r="F84" i="9" l="1"/>
  <c r="D86" i="5"/>
  <c r="I50" i="18" l="1"/>
  <c r="I42" i="18"/>
  <c r="I70" i="18" l="1"/>
  <c r="I66" i="18" s="1"/>
  <c r="C70" i="23"/>
  <c r="C69" i="23" s="1"/>
  <c r="I35" i="18"/>
  <c r="C68" i="23" l="1"/>
  <c r="C67" i="23" s="1"/>
  <c r="L67" i="18"/>
  <c r="M78" i="22"/>
  <c r="M76" i="22"/>
  <c r="J26" i="22"/>
  <c r="J25" i="22"/>
  <c r="M22" i="22"/>
  <c r="AE22" i="22" s="1"/>
  <c r="J13" i="22"/>
  <c r="J12" i="22"/>
  <c r="M67" i="22"/>
  <c r="AE67" i="22" s="1"/>
  <c r="M77" i="22"/>
  <c r="J77" i="22"/>
  <c r="J78" i="22"/>
  <c r="N78" i="22" s="1"/>
  <c r="AC78" i="22" s="1"/>
  <c r="AS78" i="22" s="1"/>
  <c r="P78" i="22"/>
  <c r="P77" i="22"/>
  <c r="M26" i="22"/>
  <c r="AE26" i="22" s="1"/>
  <c r="M19" i="22"/>
  <c r="AE19" i="22" s="1"/>
  <c r="J19" i="22"/>
  <c r="Q68" i="23" l="1"/>
  <c r="N12" i="22"/>
  <c r="N19" i="22"/>
  <c r="N13" i="22"/>
  <c r="N26" i="22"/>
  <c r="N25" i="22"/>
  <c r="C66" i="23"/>
  <c r="Q66" i="23" s="1"/>
  <c r="Q67" i="23"/>
  <c r="AF67" i="22"/>
  <c r="AQ67" i="22"/>
  <c r="M24" i="22"/>
  <c r="AE24" i="22" s="1"/>
  <c r="M75" i="22"/>
  <c r="AE75" i="22" s="1"/>
  <c r="I18" i="22"/>
  <c r="M71" i="22"/>
  <c r="AE71" i="22" s="1"/>
  <c r="M72" i="22"/>
  <c r="AE72" i="22" s="1"/>
  <c r="M23" i="22"/>
  <c r="AE23" i="22" s="1"/>
  <c r="J68" i="22"/>
  <c r="Q68" i="22" s="1"/>
  <c r="M59" i="22"/>
  <c r="AE59" i="22" s="1"/>
  <c r="J55" i="22"/>
  <c r="J17" i="22"/>
  <c r="J11" i="22"/>
  <c r="N11" i="22" s="1"/>
  <c r="J52" i="22"/>
  <c r="M66" i="22"/>
  <c r="AE66" i="22" s="1"/>
  <c r="M55" i="22"/>
  <c r="AE55" i="22" s="1"/>
  <c r="M68" i="22"/>
  <c r="AE68" i="22" s="1"/>
  <c r="M53" i="22"/>
  <c r="AE53" i="22" s="1"/>
  <c r="J75" i="22"/>
  <c r="Q75" i="22" s="1"/>
  <c r="J23" i="22"/>
  <c r="J24" i="22"/>
  <c r="N24" i="22" s="1"/>
  <c r="J59" i="22"/>
  <c r="J22" i="22"/>
  <c r="I19" i="18"/>
  <c r="I18" i="18" s="1"/>
  <c r="I9" i="18"/>
  <c r="I8" i="18" s="1"/>
  <c r="R78" i="22"/>
  <c r="N77" i="22"/>
  <c r="P76" i="22"/>
  <c r="J76" i="22"/>
  <c r="N76" i="22" s="1"/>
  <c r="AC76" i="22" s="1"/>
  <c r="AS76" i="22" s="1"/>
  <c r="J71" i="22"/>
  <c r="Q71" i="22" s="1"/>
  <c r="M52" i="22"/>
  <c r="AE52" i="22" s="1"/>
  <c r="M25" i="22"/>
  <c r="AE25" i="22" s="1"/>
  <c r="S78" i="22"/>
  <c r="AC11" i="22" l="1"/>
  <c r="AN11" i="22"/>
  <c r="AE60" i="22"/>
  <c r="AC19" i="22"/>
  <c r="AN19" i="22"/>
  <c r="N23" i="22"/>
  <c r="N17" i="22"/>
  <c r="AD25" i="22"/>
  <c r="AO25" i="22"/>
  <c r="AD19" i="22"/>
  <c r="AO19" i="22"/>
  <c r="AD11" i="22"/>
  <c r="AO11" i="22"/>
  <c r="P71" i="22"/>
  <c r="N71" i="22"/>
  <c r="N22" i="22"/>
  <c r="P75" i="22"/>
  <c r="N75" i="22"/>
  <c r="N55" i="22"/>
  <c r="AC26" i="22"/>
  <c r="AN26" i="22"/>
  <c r="AC13" i="22"/>
  <c r="AN13" i="22"/>
  <c r="AC12" i="22"/>
  <c r="AN12" i="22"/>
  <c r="AN24" i="22"/>
  <c r="AC24" i="22"/>
  <c r="P68" i="22"/>
  <c r="N68" i="22"/>
  <c r="AC25" i="22"/>
  <c r="AN25" i="22"/>
  <c r="N72" i="22"/>
  <c r="P72" i="22"/>
  <c r="N59" i="22"/>
  <c r="N52" i="22"/>
  <c r="AD26" i="22"/>
  <c r="AO26" i="22"/>
  <c r="AD13" i="22"/>
  <c r="AO13" i="22"/>
  <c r="AD12" i="22"/>
  <c r="AO12" i="22"/>
  <c r="AE27" i="22"/>
  <c r="AE79" i="22"/>
  <c r="AF66" i="22"/>
  <c r="AA60" i="22"/>
  <c r="AL60" i="22"/>
  <c r="S77" i="22"/>
  <c r="AC77" i="22"/>
  <c r="AS77" i="22" s="1"/>
  <c r="AF78" i="22"/>
  <c r="AQ78" i="22" s="1"/>
  <c r="J79" i="22"/>
  <c r="P18" i="22"/>
  <c r="J18" i="22"/>
  <c r="M60" i="22"/>
  <c r="J13" i="9" s="1"/>
  <c r="M79" i="22"/>
  <c r="K13" i="9" s="1"/>
  <c r="R77" i="22"/>
  <c r="S76" i="22"/>
  <c r="R76" i="22"/>
  <c r="AS11" i="22" l="1"/>
  <c r="AS12" i="22"/>
  <c r="AE80" i="22"/>
  <c r="AD72" i="22"/>
  <c r="AO72" i="22"/>
  <c r="AN23" i="22"/>
  <c r="AC23" i="22"/>
  <c r="AN59" i="22"/>
  <c r="AC59" i="22"/>
  <c r="AC72" i="22"/>
  <c r="AN72" i="22"/>
  <c r="AN68" i="22"/>
  <c r="AC68" i="22"/>
  <c r="AA75" i="22"/>
  <c r="AL75" i="22"/>
  <c r="AN71" i="22"/>
  <c r="AC71" i="22"/>
  <c r="AO23" i="22"/>
  <c r="AD23" i="22"/>
  <c r="AN52" i="22"/>
  <c r="AC52" i="22"/>
  <c r="AN75" i="22"/>
  <c r="AC75" i="22"/>
  <c r="AD59" i="22"/>
  <c r="AO59" i="22"/>
  <c r="AA68" i="22"/>
  <c r="AL68" i="22"/>
  <c r="AN55" i="22"/>
  <c r="AC55" i="22"/>
  <c r="AO75" i="22"/>
  <c r="AD75" i="22"/>
  <c r="AD71" i="22"/>
  <c r="AO71" i="22"/>
  <c r="AN17" i="22"/>
  <c r="AC17" i="22"/>
  <c r="AD68" i="22"/>
  <c r="AO68" i="22"/>
  <c r="AD22" i="22"/>
  <c r="AO22" i="22"/>
  <c r="AO52" i="22"/>
  <c r="AD52" i="22"/>
  <c r="AA72" i="22"/>
  <c r="AL72" i="22"/>
  <c r="AO55" i="22"/>
  <c r="AD55" i="22"/>
  <c r="AC22" i="22"/>
  <c r="AN22" i="22"/>
  <c r="AA71" i="22"/>
  <c r="AL71" i="22"/>
  <c r="AD17" i="22"/>
  <c r="AO17" i="22"/>
  <c r="AF77" i="22"/>
  <c r="AQ77" i="22" s="1"/>
  <c r="AA18" i="22"/>
  <c r="AL18" i="22"/>
  <c r="AQ11" i="22"/>
  <c r="AL27" i="22"/>
  <c r="AA27" i="22"/>
  <c r="AF76" i="22"/>
  <c r="AQ76" i="22" s="1"/>
  <c r="Q60" i="22"/>
  <c r="Q18" i="22"/>
  <c r="Q27" i="22"/>
  <c r="Q79" i="22"/>
  <c r="M80" i="22"/>
  <c r="R11" i="22"/>
  <c r="R71" i="22"/>
  <c r="S134" i="9"/>
  <c r="AT93" i="9"/>
  <c r="C92" i="10" s="1"/>
  <c r="AJ141" i="9"/>
  <c r="AJ120" i="9" s="1"/>
  <c r="AJ163" i="9" s="1"/>
  <c r="H19" i="14" s="1"/>
  <c r="H17" i="14" s="1"/>
  <c r="H16" i="14" s="1"/>
  <c r="O121" i="9"/>
  <c r="E71" i="9"/>
  <c r="E70" i="9" s="1"/>
  <c r="D71" i="9"/>
  <c r="G33" i="4"/>
  <c r="C67" i="5" s="1"/>
  <c r="C102" i="9"/>
  <c r="G102" i="9" s="1"/>
  <c r="AT102" i="9" s="1"/>
  <c r="F85" i="9"/>
  <c r="S148" i="9"/>
  <c r="H118" i="9"/>
  <c r="H116" i="9" s="1"/>
  <c r="L12" i="18"/>
  <c r="C12" i="23" s="1"/>
  <c r="Q12" i="23" s="1"/>
  <c r="L11" i="18"/>
  <c r="C11" i="23" s="1"/>
  <c r="Q11" i="23" s="1"/>
  <c r="C188" i="4"/>
  <c r="E188" i="4"/>
  <c r="F188" i="4"/>
  <c r="F107" i="5"/>
  <c r="E107" i="5"/>
  <c r="G183" i="4"/>
  <c r="D108" i="5" s="1"/>
  <c r="D182" i="4"/>
  <c r="E182" i="4"/>
  <c r="E177" i="4" s="1"/>
  <c r="F182" i="4"/>
  <c r="F177" i="4" s="1"/>
  <c r="C182" i="4"/>
  <c r="G78" i="4"/>
  <c r="C112" i="5" s="1"/>
  <c r="C109" i="5" s="1"/>
  <c r="C102" i="5" s="1"/>
  <c r="G55" i="4"/>
  <c r="C89" i="5" s="1"/>
  <c r="L23" i="18"/>
  <c r="C23" i="23" s="1"/>
  <c r="Q23" i="23" s="1"/>
  <c r="L26" i="18"/>
  <c r="C26" i="23" s="1"/>
  <c r="Q26" i="23" s="1"/>
  <c r="D18" i="21"/>
  <c r="AT97" i="9"/>
  <c r="S74" i="9"/>
  <c r="S152" i="9"/>
  <c r="S113" i="9"/>
  <c r="S88" i="9"/>
  <c r="S89" i="9"/>
  <c r="S90" i="9"/>
  <c r="S91" i="9"/>
  <c r="S92" i="9"/>
  <c r="S73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71" i="9"/>
  <c r="S46" i="9"/>
  <c r="S49" i="9"/>
  <c r="S50" i="9"/>
  <c r="S56" i="9"/>
  <c r="S57" i="9"/>
  <c r="S58" i="9"/>
  <c r="S59" i="9"/>
  <c r="S60" i="9"/>
  <c r="S62" i="9"/>
  <c r="S63" i="9"/>
  <c r="S64" i="9"/>
  <c r="S65" i="9"/>
  <c r="S66" i="9"/>
  <c r="S67" i="9"/>
  <c r="S68" i="9"/>
  <c r="S69" i="9"/>
  <c r="S45" i="9"/>
  <c r="S40" i="9"/>
  <c r="AT40" i="9" s="1"/>
  <c r="S39" i="9"/>
  <c r="S32" i="9"/>
  <c r="S31" i="9"/>
  <c r="S29" i="9"/>
  <c r="S28" i="9"/>
  <c r="S26" i="9"/>
  <c r="S25" i="9"/>
  <c r="S11" i="9"/>
  <c r="S12" i="9"/>
  <c r="S14" i="9"/>
  <c r="S15" i="9"/>
  <c r="S16" i="9"/>
  <c r="N132" i="9"/>
  <c r="N163" i="9" s="1"/>
  <c r="S61" i="9"/>
  <c r="S54" i="9"/>
  <c r="S53" i="9"/>
  <c r="S52" i="9"/>
  <c r="S48" i="9"/>
  <c r="S47" i="9"/>
  <c r="S70" i="9"/>
  <c r="R151" i="9"/>
  <c r="S99" i="9"/>
  <c r="S104" i="9"/>
  <c r="S105" i="9"/>
  <c r="S107" i="9"/>
  <c r="S108" i="9"/>
  <c r="S109" i="9"/>
  <c r="S110" i="9"/>
  <c r="S111" i="9"/>
  <c r="C52" i="9"/>
  <c r="D52" i="9"/>
  <c r="E52" i="9"/>
  <c r="F52" i="9"/>
  <c r="F48" i="9"/>
  <c r="E17" i="21"/>
  <c r="C48" i="18"/>
  <c r="L10" i="18"/>
  <c r="C10" i="23" s="1"/>
  <c r="H92" i="9"/>
  <c r="H91" i="9" s="1"/>
  <c r="L14" i="9"/>
  <c r="F71" i="9"/>
  <c r="E48" i="9"/>
  <c r="D48" i="9"/>
  <c r="C92" i="9"/>
  <c r="C91" i="9" s="1"/>
  <c r="C48" i="9"/>
  <c r="C95" i="5"/>
  <c r="C93" i="5" s="1"/>
  <c r="C38" i="4"/>
  <c r="C32" i="4"/>
  <c r="C59" i="4"/>
  <c r="C54" i="4"/>
  <c r="G13" i="4"/>
  <c r="C48" i="5" s="1"/>
  <c r="I48" i="18"/>
  <c r="I39" i="18" s="1"/>
  <c r="I72" i="18" s="1"/>
  <c r="I73" i="18" s="1"/>
  <c r="H24" i="8"/>
  <c r="R106" i="9"/>
  <c r="I47" i="9"/>
  <c r="L21" i="18"/>
  <c r="C21" i="23" s="1"/>
  <c r="Q21" i="23" s="1"/>
  <c r="AQ12" i="22"/>
  <c r="M12" i="22"/>
  <c r="AE12" i="22" s="1"/>
  <c r="M17" i="22"/>
  <c r="AE17" i="22" s="1"/>
  <c r="G98" i="4"/>
  <c r="G97" i="4" s="1"/>
  <c r="G96" i="4" s="1"/>
  <c r="G45" i="9"/>
  <c r="C47" i="9"/>
  <c r="C53" i="9"/>
  <c r="C56" i="9"/>
  <c r="C57" i="9"/>
  <c r="C60" i="9"/>
  <c r="C63" i="9"/>
  <c r="C65" i="9"/>
  <c r="C66" i="9"/>
  <c r="G66" i="9" s="1"/>
  <c r="C67" i="9"/>
  <c r="C71" i="9"/>
  <c r="C72" i="9"/>
  <c r="C74" i="9"/>
  <c r="G74" i="9" s="1"/>
  <c r="C75" i="9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4" i="9"/>
  <c r="G84" i="9" s="1"/>
  <c r="C85" i="9"/>
  <c r="C87" i="9"/>
  <c r="C89" i="9"/>
  <c r="C90" i="9"/>
  <c r="D47" i="9"/>
  <c r="D53" i="9"/>
  <c r="D56" i="9"/>
  <c r="D57" i="9"/>
  <c r="D60" i="9"/>
  <c r="D63" i="9"/>
  <c r="D67" i="9"/>
  <c r="D64" i="9" s="1"/>
  <c r="D75" i="9"/>
  <c r="D87" i="9"/>
  <c r="D89" i="9"/>
  <c r="D90" i="9"/>
  <c r="E47" i="9"/>
  <c r="E53" i="9"/>
  <c r="E56" i="9"/>
  <c r="E57" i="9"/>
  <c r="E60" i="9"/>
  <c r="E63" i="9"/>
  <c r="E67" i="9"/>
  <c r="E64" i="9" s="1"/>
  <c r="E87" i="9"/>
  <c r="E89" i="9"/>
  <c r="E90" i="9"/>
  <c r="F47" i="9"/>
  <c r="F50" i="9"/>
  <c r="G50" i="9" s="1"/>
  <c r="F53" i="9"/>
  <c r="F56" i="9"/>
  <c r="F57" i="9"/>
  <c r="F60" i="9"/>
  <c r="F63" i="9"/>
  <c r="F67" i="9"/>
  <c r="F69" i="9"/>
  <c r="G69" i="9" s="1"/>
  <c r="F72" i="9"/>
  <c r="F87" i="9"/>
  <c r="F89" i="9"/>
  <c r="F90" i="9"/>
  <c r="H45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3" i="9"/>
  <c r="H65" i="9"/>
  <c r="H66" i="9"/>
  <c r="L66" i="9" s="1"/>
  <c r="H67" i="9"/>
  <c r="H71" i="9"/>
  <c r="H72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9" i="9"/>
  <c r="H90" i="9"/>
  <c r="I45" i="9"/>
  <c r="I46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L62" i="9" s="1"/>
  <c r="I63" i="9"/>
  <c r="I71" i="9"/>
  <c r="I72" i="9"/>
  <c r="I74" i="9"/>
  <c r="I75" i="9"/>
  <c r="I76" i="9"/>
  <c r="I77" i="9"/>
  <c r="I78" i="9"/>
  <c r="I79" i="9"/>
  <c r="I80" i="9"/>
  <c r="I81" i="9"/>
  <c r="I82" i="9"/>
  <c r="I83" i="9"/>
  <c r="I84" i="9"/>
  <c r="I85" i="9"/>
  <c r="I87" i="9"/>
  <c r="I89" i="9"/>
  <c r="I6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3" i="9"/>
  <c r="J71" i="9"/>
  <c r="J72" i="9"/>
  <c r="J74" i="9"/>
  <c r="J75" i="9"/>
  <c r="J76" i="9"/>
  <c r="J77" i="9"/>
  <c r="J78" i="9"/>
  <c r="J79" i="9"/>
  <c r="J80" i="9"/>
  <c r="J81" i="9"/>
  <c r="J82" i="9"/>
  <c r="J83" i="9"/>
  <c r="J84" i="9"/>
  <c r="J85" i="9"/>
  <c r="J87" i="9"/>
  <c r="J89" i="9"/>
  <c r="J6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3" i="9"/>
  <c r="K67" i="9"/>
  <c r="K69" i="9"/>
  <c r="L69" i="9" s="1"/>
  <c r="K71" i="9"/>
  <c r="K72" i="9"/>
  <c r="K74" i="9"/>
  <c r="K75" i="9"/>
  <c r="K76" i="9"/>
  <c r="K77" i="9"/>
  <c r="K78" i="9"/>
  <c r="K79" i="9"/>
  <c r="K80" i="9"/>
  <c r="K81" i="9"/>
  <c r="K82" i="9"/>
  <c r="K83" i="9"/>
  <c r="K84" i="9"/>
  <c r="K85" i="9"/>
  <c r="K87" i="9"/>
  <c r="K89" i="9"/>
  <c r="H106" i="9"/>
  <c r="H103" i="9" s="1"/>
  <c r="I106" i="9"/>
  <c r="I103" i="9" s="1"/>
  <c r="I107" i="9"/>
  <c r="I95" i="9"/>
  <c r="J106" i="9"/>
  <c r="J103" i="9" s="1"/>
  <c r="D106" i="9"/>
  <c r="G106" i="9" s="1"/>
  <c r="G103" i="9" s="1"/>
  <c r="D107" i="9"/>
  <c r="D95" i="9"/>
  <c r="F103" i="9"/>
  <c r="I113" i="9"/>
  <c r="I116" i="9"/>
  <c r="C116" i="9"/>
  <c r="D113" i="9"/>
  <c r="D116" i="9"/>
  <c r="L143" i="9"/>
  <c r="AT143" i="9" s="1"/>
  <c r="G141" i="9"/>
  <c r="G120" i="9" s="1"/>
  <c r="L37" i="9"/>
  <c r="C17" i="9"/>
  <c r="C22" i="9"/>
  <c r="C34" i="9"/>
  <c r="C37" i="9"/>
  <c r="D17" i="9"/>
  <c r="D31" i="9"/>
  <c r="D37" i="9"/>
  <c r="D39" i="9"/>
  <c r="D28" i="9"/>
  <c r="D25" i="9"/>
  <c r="E17" i="9"/>
  <c r="E31" i="9"/>
  <c r="E34" i="9"/>
  <c r="E37" i="9"/>
  <c r="E28" i="9"/>
  <c r="E25" i="9"/>
  <c r="F17" i="9"/>
  <c r="F31" i="9"/>
  <c r="F34" i="9"/>
  <c r="F37" i="9"/>
  <c r="F28" i="9"/>
  <c r="F25" i="9"/>
  <c r="G35" i="4"/>
  <c r="C69" i="5" s="1"/>
  <c r="G34" i="4"/>
  <c r="C68" i="5" s="1"/>
  <c r="G37" i="4"/>
  <c r="C71" i="5" s="1"/>
  <c r="G20" i="4"/>
  <c r="C54" i="5" s="1"/>
  <c r="G21" i="4"/>
  <c r="C55" i="5" s="1"/>
  <c r="G15" i="4"/>
  <c r="C49" i="5" s="1"/>
  <c r="G16" i="4"/>
  <c r="C50" i="5" s="1"/>
  <c r="G18" i="4"/>
  <c r="C52" i="5" s="1"/>
  <c r="G24" i="4"/>
  <c r="C58" i="5" s="1"/>
  <c r="G25" i="4"/>
  <c r="C59" i="5" s="1"/>
  <c r="G26" i="4"/>
  <c r="C60" i="5" s="1"/>
  <c r="G28" i="4"/>
  <c r="C62" i="5" s="1"/>
  <c r="G29" i="4"/>
  <c r="C63" i="5" s="1"/>
  <c r="G30" i="4"/>
  <c r="C64" i="5" s="1"/>
  <c r="H64" i="5" s="1"/>
  <c r="G31" i="4"/>
  <c r="C65" i="5" s="1"/>
  <c r="G39" i="4"/>
  <c r="C73" i="5" s="1"/>
  <c r="G40" i="4"/>
  <c r="C74" i="5" s="1"/>
  <c r="G41" i="4"/>
  <c r="C75" i="5" s="1"/>
  <c r="G42" i="4"/>
  <c r="C76" i="5" s="1"/>
  <c r="G43" i="4"/>
  <c r="C77" i="5" s="1"/>
  <c r="G45" i="4"/>
  <c r="C79" i="5" s="1"/>
  <c r="G50" i="4"/>
  <c r="C84" i="5" s="1"/>
  <c r="G51" i="4"/>
  <c r="C85" i="5" s="1"/>
  <c r="H85" i="5" s="1"/>
  <c r="G52" i="4"/>
  <c r="C86" i="5" s="1"/>
  <c r="G53" i="4"/>
  <c r="C87" i="5" s="1"/>
  <c r="G56" i="4"/>
  <c r="C90" i="5" s="1"/>
  <c r="G57" i="4"/>
  <c r="C91" i="5" s="1"/>
  <c r="C92" i="5"/>
  <c r="H98" i="5"/>
  <c r="G91" i="4"/>
  <c r="C125" i="5" s="1"/>
  <c r="H111" i="5"/>
  <c r="F22" i="9"/>
  <c r="C37" i="5"/>
  <c r="C40" i="5"/>
  <c r="G142" i="4"/>
  <c r="D68" i="5" s="1"/>
  <c r="G143" i="4"/>
  <c r="D69" i="5" s="1"/>
  <c r="G145" i="4"/>
  <c r="D71" i="5" s="1"/>
  <c r="G159" i="4"/>
  <c r="D84" i="5" s="1"/>
  <c r="G148" i="4"/>
  <c r="D74" i="5" s="1"/>
  <c r="G150" i="4"/>
  <c r="D76" i="5" s="1"/>
  <c r="G151" i="4"/>
  <c r="D87" i="5"/>
  <c r="D54" i="5"/>
  <c r="D58" i="5"/>
  <c r="D48" i="5"/>
  <c r="D49" i="5"/>
  <c r="D50" i="5"/>
  <c r="D52" i="5"/>
  <c r="D55" i="5"/>
  <c r="D59" i="5"/>
  <c r="D60" i="5"/>
  <c r="D62" i="5"/>
  <c r="D63" i="5"/>
  <c r="D65" i="5"/>
  <c r="D89" i="5"/>
  <c r="G165" i="4"/>
  <c r="D90" i="5" s="1"/>
  <c r="G166" i="4"/>
  <c r="D91" i="5" s="1"/>
  <c r="G167" i="4"/>
  <c r="D92" i="5" s="1"/>
  <c r="H94" i="5"/>
  <c r="H99" i="5"/>
  <c r="G206" i="4"/>
  <c r="D128" i="5" s="1"/>
  <c r="G199" i="4"/>
  <c r="H104" i="5"/>
  <c r="H114" i="5"/>
  <c r="H115" i="5"/>
  <c r="H26" i="5"/>
  <c r="D37" i="5"/>
  <c r="D40" i="5"/>
  <c r="H143" i="5"/>
  <c r="H139" i="5"/>
  <c r="G73" i="9"/>
  <c r="G83" i="9"/>
  <c r="C103" i="9"/>
  <c r="G110" i="9"/>
  <c r="G12" i="9"/>
  <c r="C197" i="4"/>
  <c r="G197" i="4" s="1"/>
  <c r="D184" i="4"/>
  <c r="G184" i="4" s="1"/>
  <c r="D188" i="4"/>
  <c r="G144" i="4"/>
  <c r="E163" i="4"/>
  <c r="F163" i="4"/>
  <c r="G147" i="4"/>
  <c r="D73" i="5" s="1"/>
  <c r="G149" i="4"/>
  <c r="D75" i="5" s="1"/>
  <c r="G152" i="4"/>
  <c r="G153" i="4"/>
  <c r="G154" i="4"/>
  <c r="D80" i="5" s="1"/>
  <c r="H80" i="5" s="1"/>
  <c r="G155" i="4"/>
  <c r="D81" i="5" s="1"/>
  <c r="H81" i="5" s="1"/>
  <c r="G156" i="4"/>
  <c r="D82" i="5" s="1"/>
  <c r="H82" i="5" s="1"/>
  <c r="G157" i="4"/>
  <c r="D83" i="5" s="1"/>
  <c r="H83" i="5" s="1"/>
  <c r="G158" i="4"/>
  <c r="D79" i="5" s="1"/>
  <c r="G160" i="4"/>
  <c r="G161" i="4"/>
  <c r="D32" i="4"/>
  <c r="E32" i="4"/>
  <c r="G44" i="4"/>
  <c r="G46" i="4"/>
  <c r="G47" i="4"/>
  <c r="G48" i="4"/>
  <c r="G49" i="4"/>
  <c r="D12" i="4"/>
  <c r="F12" i="4"/>
  <c r="E12" i="4"/>
  <c r="G60" i="4"/>
  <c r="G61" i="4"/>
  <c r="G59" i="4" s="1"/>
  <c r="G62" i="4"/>
  <c r="G63" i="4"/>
  <c r="G64" i="4"/>
  <c r="G65" i="4"/>
  <c r="G66" i="4"/>
  <c r="C103" i="5"/>
  <c r="H106" i="5"/>
  <c r="C113" i="5"/>
  <c r="J29" i="22"/>
  <c r="K29" i="22" s="1"/>
  <c r="M29" i="22"/>
  <c r="P29" i="22"/>
  <c r="J30" i="22"/>
  <c r="K30" i="22" s="1"/>
  <c r="M30" i="22"/>
  <c r="P30" i="22"/>
  <c r="R30" i="22" s="1"/>
  <c r="AE30" i="22" s="1"/>
  <c r="J31" i="22"/>
  <c r="M31" i="22"/>
  <c r="P31" i="22"/>
  <c r="R31" i="22" s="1"/>
  <c r="AE31" i="22" s="1"/>
  <c r="J32" i="22"/>
  <c r="K32" i="22" s="1"/>
  <c r="M32" i="22"/>
  <c r="P32" i="22"/>
  <c r="R32" i="22" s="1"/>
  <c r="AE32" i="22" s="1"/>
  <c r="J33" i="22"/>
  <c r="K33" i="22" s="1"/>
  <c r="M33" i="22"/>
  <c r="P33" i="22"/>
  <c r="R33" i="22" s="1"/>
  <c r="AE33" i="22" s="1"/>
  <c r="J34" i="22"/>
  <c r="K34" i="22" s="1"/>
  <c r="M34" i="22"/>
  <c r="P34" i="22"/>
  <c r="R34" i="22" s="1"/>
  <c r="AE34" i="22" s="1"/>
  <c r="M11" i="22"/>
  <c r="AE11" i="22" s="1"/>
  <c r="AQ13" i="22"/>
  <c r="M13" i="22"/>
  <c r="AE13" i="22" s="1"/>
  <c r="K53" i="18"/>
  <c r="K52" i="18" s="1"/>
  <c r="K48" i="18" s="1"/>
  <c r="J53" i="18"/>
  <c r="J52" i="18" s="1"/>
  <c r="J48" i="18" s="1"/>
  <c r="F53" i="18"/>
  <c r="F52" i="18" s="1"/>
  <c r="F48" i="18" s="1"/>
  <c r="D53" i="18"/>
  <c r="D52" i="18" s="1"/>
  <c r="L62" i="18"/>
  <c r="C62" i="23" s="1"/>
  <c r="J9" i="18"/>
  <c r="J8" i="18" s="1"/>
  <c r="J19" i="18"/>
  <c r="J32" i="18"/>
  <c r="J35" i="18"/>
  <c r="J40" i="18"/>
  <c r="J39" i="18" s="1"/>
  <c r="J61" i="18"/>
  <c r="J60" i="18" s="1"/>
  <c r="J64" i="18"/>
  <c r="J63" i="18" s="1"/>
  <c r="J66" i="18"/>
  <c r="J70" i="18"/>
  <c r="J50" i="18"/>
  <c r="J42" i="18"/>
  <c r="F112" i="9"/>
  <c r="G49" i="9"/>
  <c r="G51" i="9"/>
  <c r="G54" i="9"/>
  <c r="G55" i="9"/>
  <c r="G58" i="9"/>
  <c r="G59" i="9"/>
  <c r="G61" i="9"/>
  <c r="G62" i="9"/>
  <c r="G46" i="9"/>
  <c r="K70" i="18"/>
  <c r="L70" i="18" s="1"/>
  <c r="L66" i="18" s="1"/>
  <c r="D24" i="27" s="1"/>
  <c r="I40" i="18"/>
  <c r="K9" i="18"/>
  <c r="K8" i="18" s="1"/>
  <c r="K19" i="18"/>
  <c r="K32" i="18"/>
  <c r="L32" i="18" s="1"/>
  <c r="K35" i="18"/>
  <c r="L35" i="18" s="1"/>
  <c r="D14" i="27" s="1"/>
  <c r="K40" i="18"/>
  <c r="I53" i="18"/>
  <c r="I52" i="18" s="1"/>
  <c r="K61" i="18"/>
  <c r="I61" i="18"/>
  <c r="I60" i="18" s="1"/>
  <c r="C19" i="18"/>
  <c r="C32" i="18"/>
  <c r="C40" i="18"/>
  <c r="C39" i="18" s="1"/>
  <c r="C9" i="18"/>
  <c r="C8" i="18" s="1"/>
  <c r="C35" i="18"/>
  <c r="C61" i="18"/>
  <c r="C60" i="18" s="1"/>
  <c r="C64" i="18"/>
  <c r="C63" i="18" s="1"/>
  <c r="D61" i="18"/>
  <c r="D60" i="18" s="1"/>
  <c r="D19" i="18"/>
  <c r="D32" i="18"/>
  <c r="D40" i="18"/>
  <c r="D39" i="18" s="1"/>
  <c r="D9" i="18"/>
  <c r="D8" i="18" s="1"/>
  <c r="D35" i="18"/>
  <c r="D64" i="18"/>
  <c r="D63" i="18" s="1"/>
  <c r="E95" i="9"/>
  <c r="E103" i="9"/>
  <c r="E112" i="9"/>
  <c r="H17" i="9"/>
  <c r="H22" i="9"/>
  <c r="H34" i="9"/>
  <c r="H37" i="9"/>
  <c r="H120" i="9"/>
  <c r="I17" i="9"/>
  <c r="I25" i="9"/>
  <c r="I28" i="9"/>
  <c r="I31" i="9"/>
  <c r="I34" i="9"/>
  <c r="I39" i="9"/>
  <c r="I37" i="9" s="1"/>
  <c r="I120" i="9"/>
  <c r="L108" i="9"/>
  <c r="J17" i="9"/>
  <c r="J25" i="9"/>
  <c r="J28" i="9"/>
  <c r="J31" i="9"/>
  <c r="J34" i="9"/>
  <c r="L115" i="9"/>
  <c r="J120" i="9"/>
  <c r="K106" i="9"/>
  <c r="K103" i="9" s="1"/>
  <c r="K17" i="9"/>
  <c r="K10" i="9" s="1"/>
  <c r="K22" i="9"/>
  <c r="K25" i="9"/>
  <c r="K28" i="9"/>
  <c r="K31" i="9"/>
  <c r="K34" i="9"/>
  <c r="K113" i="9"/>
  <c r="K64" i="18"/>
  <c r="G14" i="9"/>
  <c r="G18" i="9"/>
  <c r="G17" i="9" s="1"/>
  <c r="G37" i="9"/>
  <c r="I64" i="18"/>
  <c r="I63" i="18" s="1"/>
  <c r="L63" i="18" s="1"/>
  <c r="D22" i="27" s="1"/>
  <c r="L134" i="9"/>
  <c r="L127" i="9"/>
  <c r="L68" i="9"/>
  <c r="G68" i="9"/>
  <c r="L73" i="9"/>
  <c r="L88" i="9"/>
  <c r="G88" i="9"/>
  <c r="I90" i="9"/>
  <c r="J90" i="9"/>
  <c r="D36" i="10"/>
  <c r="L150" i="9"/>
  <c r="F97" i="4"/>
  <c r="F96" i="4" s="1"/>
  <c r="E97" i="4"/>
  <c r="E96" i="4" s="1"/>
  <c r="D97" i="4"/>
  <c r="D96" i="4" s="1"/>
  <c r="K90" i="9"/>
  <c r="F205" i="4"/>
  <c r="F204" i="4" s="1"/>
  <c r="E205" i="4"/>
  <c r="E204" i="4" s="1"/>
  <c r="D205" i="4"/>
  <c r="D204" i="4" s="1"/>
  <c r="C205" i="4"/>
  <c r="C204" i="4" s="1"/>
  <c r="C158" i="9" s="1"/>
  <c r="G158" i="9" s="1"/>
  <c r="C25" i="8"/>
  <c r="F168" i="4"/>
  <c r="C168" i="4"/>
  <c r="C163" i="4" s="1"/>
  <c r="F68" i="4"/>
  <c r="C97" i="4"/>
  <c r="C96" i="4" s="1"/>
  <c r="H158" i="9" s="1"/>
  <c r="L158" i="9" s="1"/>
  <c r="O18" i="22"/>
  <c r="I27" i="22"/>
  <c r="O27" i="22"/>
  <c r="E35" i="22"/>
  <c r="I35" i="22"/>
  <c r="O35" i="22"/>
  <c r="AB35" i="22" s="1"/>
  <c r="Q35" i="22"/>
  <c r="AD35" i="22" s="1"/>
  <c r="J39" i="22"/>
  <c r="N39" i="22" s="1"/>
  <c r="AC39" i="22" s="1"/>
  <c r="M39" i="22"/>
  <c r="P39" i="22"/>
  <c r="R39" i="22" s="1"/>
  <c r="J40" i="22"/>
  <c r="N40" i="22" s="1"/>
  <c r="AC40" i="22" s="1"/>
  <c r="M40" i="22"/>
  <c r="P40" i="22"/>
  <c r="R40" i="22" s="1"/>
  <c r="J41" i="22"/>
  <c r="N41" i="22" s="1"/>
  <c r="AC41" i="22" s="1"/>
  <c r="M41" i="22"/>
  <c r="P41" i="22"/>
  <c r="R41" i="22" s="1"/>
  <c r="J42" i="22"/>
  <c r="N42" i="22" s="1"/>
  <c r="AC42" i="22" s="1"/>
  <c r="M42" i="22"/>
  <c r="P42" i="22"/>
  <c r="R42" i="22" s="1"/>
  <c r="E43" i="22"/>
  <c r="I43" i="22"/>
  <c r="O43" i="22"/>
  <c r="AB43" i="22" s="1"/>
  <c r="Q43" i="22"/>
  <c r="AD43" i="22" s="1"/>
  <c r="J45" i="22"/>
  <c r="N45" i="22" s="1"/>
  <c r="AC45" i="22" s="1"/>
  <c r="M45" i="22"/>
  <c r="P45" i="22"/>
  <c r="R45" i="22" s="1"/>
  <c r="J46" i="22"/>
  <c r="N46" i="22" s="1"/>
  <c r="AC46" i="22" s="1"/>
  <c r="M46" i="22"/>
  <c r="P46" i="22"/>
  <c r="R46" i="22" s="1"/>
  <c r="E47" i="22"/>
  <c r="I47" i="22"/>
  <c r="O47" i="22"/>
  <c r="AB47" i="22" s="1"/>
  <c r="Q47" i="22"/>
  <c r="AD47" i="22" s="1"/>
  <c r="J49" i="22"/>
  <c r="M49" i="22"/>
  <c r="P49" i="22"/>
  <c r="R49" i="22" s="1"/>
  <c r="J50" i="22"/>
  <c r="N50" i="22" s="1"/>
  <c r="AC50" i="22" s="1"/>
  <c r="M50" i="22"/>
  <c r="P50" i="22"/>
  <c r="R50" i="22" s="1"/>
  <c r="E51" i="22"/>
  <c r="I51" i="22"/>
  <c r="O51" i="22"/>
  <c r="AB51" i="22" s="1"/>
  <c r="Q51" i="22"/>
  <c r="AD51" i="22" s="1"/>
  <c r="O60" i="22"/>
  <c r="J62" i="22"/>
  <c r="N62" i="22" s="1"/>
  <c r="AC62" i="22" s="1"/>
  <c r="M62" i="22"/>
  <c r="P62" i="22"/>
  <c r="R62" i="22" s="1"/>
  <c r="J63" i="22"/>
  <c r="N63" i="22" s="1"/>
  <c r="AC63" i="22" s="1"/>
  <c r="M63" i="22"/>
  <c r="P63" i="22"/>
  <c r="R63" i="22" s="1"/>
  <c r="J64" i="22"/>
  <c r="N64" i="22" s="1"/>
  <c r="AC64" i="22" s="1"/>
  <c r="M64" i="22"/>
  <c r="P64" i="22"/>
  <c r="R64" i="22" s="1"/>
  <c r="E65" i="22"/>
  <c r="I65" i="22"/>
  <c r="O65" i="22"/>
  <c r="AB65" i="22" s="1"/>
  <c r="Q65" i="22"/>
  <c r="AD65" i="22" s="1"/>
  <c r="F17" i="21"/>
  <c r="K9" i="20"/>
  <c r="L9" i="20"/>
  <c r="N9" i="20"/>
  <c r="P9" i="20"/>
  <c r="Q9" i="20"/>
  <c r="H10" i="20"/>
  <c r="P10" i="20" s="1"/>
  <c r="O10" i="20"/>
  <c r="H11" i="20"/>
  <c r="P11" i="20" s="1"/>
  <c r="O11" i="20"/>
  <c r="H12" i="20"/>
  <c r="P12" i="20" s="1"/>
  <c r="O12" i="20"/>
  <c r="H13" i="20"/>
  <c r="P13" i="20" s="1"/>
  <c r="O13" i="20"/>
  <c r="H14" i="20"/>
  <c r="P14" i="20" s="1"/>
  <c r="O14" i="20"/>
  <c r="H15" i="20"/>
  <c r="P15" i="20" s="1"/>
  <c r="O15" i="20"/>
  <c r="H16" i="20"/>
  <c r="P16" i="20" s="1"/>
  <c r="O16" i="20"/>
  <c r="H17" i="20"/>
  <c r="P17" i="20" s="1"/>
  <c r="O17" i="20"/>
  <c r="G18" i="20"/>
  <c r="G26" i="20" s="1"/>
  <c r="I18" i="20"/>
  <c r="I26" i="20" s="1"/>
  <c r="J18" i="20"/>
  <c r="K18" i="20"/>
  <c r="L18" i="20"/>
  <c r="M18" i="20"/>
  <c r="N18" i="20"/>
  <c r="Q18" i="20"/>
  <c r="H19" i="20"/>
  <c r="H20" i="20" s="1"/>
  <c r="O19" i="20"/>
  <c r="O20" i="20" s="1"/>
  <c r="K20" i="20"/>
  <c r="L20" i="20"/>
  <c r="M20" i="20"/>
  <c r="N20" i="20"/>
  <c r="Q20" i="20"/>
  <c r="H21" i="20"/>
  <c r="P21" i="20" s="1"/>
  <c r="O21" i="20"/>
  <c r="H22" i="20"/>
  <c r="P22" i="20" s="1"/>
  <c r="O22" i="20"/>
  <c r="H23" i="20"/>
  <c r="P23" i="20" s="1"/>
  <c r="O23" i="20"/>
  <c r="H24" i="20"/>
  <c r="O24" i="20"/>
  <c r="K25" i="20"/>
  <c r="L25" i="20"/>
  <c r="M25" i="20"/>
  <c r="N25" i="20"/>
  <c r="Q25" i="20"/>
  <c r="F9" i="18"/>
  <c r="F8" i="18" s="1"/>
  <c r="L13" i="18"/>
  <c r="C13" i="23" s="1"/>
  <c r="Q13" i="23" s="1"/>
  <c r="L15" i="18"/>
  <c r="C15" i="23" s="1"/>
  <c r="Q15" i="23" s="1"/>
  <c r="L17" i="18"/>
  <c r="C17" i="23" s="1"/>
  <c r="Q17" i="23" s="1"/>
  <c r="F19" i="18"/>
  <c r="F32" i="18"/>
  <c r="L20" i="18"/>
  <c r="C20" i="23" s="1"/>
  <c r="L22" i="18"/>
  <c r="C22" i="23" s="1"/>
  <c r="Q22" i="23" s="1"/>
  <c r="L24" i="18"/>
  <c r="C24" i="23" s="1"/>
  <c r="Q24" i="23" s="1"/>
  <c r="L25" i="18"/>
  <c r="C25" i="23" s="1"/>
  <c r="Q25" i="23" s="1"/>
  <c r="L27" i="18"/>
  <c r="C27" i="23" s="1"/>
  <c r="Q27" i="23" s="1"/>
  <c r="L28" i="18"/>
  <c r="C28" i="23" s="1"/>
  <c r="Q28" i="23" s="1"/>
  <c r="L29" i="18"/>
  <c r="C29" i="23" s="1"/>
  <c r="Q29" i="23" s="1"/>
  <c r="L30" i="18"/>
  <c r="C30" i="23" s="1"/>
  <c r="Q30" i="23" s="1"/>
  <c r="L31" i="18"/>
  <c r="C31" i="23" s="1"/>
  <c r="Q31" i="23" s="1"/>
  <c r="L33" i="18"/>
  <c r="C33" i="23" s="1"/>
  <c r="L34" i="18"/>
  <c r="C34" i="23" s="1"/>
  <c r="Q34" i="23" s="1"/>
  <c r="F35" i="18"/>
  <c r="L38" i="18"/>
  <c r="C38" i="23" s="1"/>
  <c r="Q38" i="23" s="1"/>
  <c r="F40" i="18"/>
  <c r="L41" i="18"/>
  <c r="C42" i="18"/>
  <c r="D42" i="18"/>
  <c r="F42" i="18"/>
  <c r="K42" i="18"/>
  <c r="L42" i="18" s="1"/>
  <c r="L43" i="18"/>
  <c r="C43" i="23" s="1"/>
  <c r="L44" i="18"/>
  <c r="C44" i="23" s="1"/>
  <c r="Q44" i="23" s="1"/>
  <c r="L45" i="18"/>
  <c r="C45" i="23" s="1"/>
  <c r="Q45" i="23" s="1"/>
  <c r="L46" i="18"/>
  <c r="C46" i="23" s="1"/>
  <c r="Q46" i="23" s="1"/>
  <c r="C50" i="18"/>
  <c r="D50" i="18"/>
  <c r="F50" i="18"/>
  <c r="K50" i="18"/>
  <c r="L51" i="18"/>
  <c r="C51" i="23" s="1"/>
  <c r="Q51" i="23" s="1"/>
  <c r="I57" i="18"/>
  <c r="F61" i="18"/>
  <c r="F60" i="18" s="1"/>
  <c r="F64" i="18"/>
  <c r="F63" i="18" s="1"/>
  <c r="G33" i="14"/>
  <c r="G32" i="14" s="1"/>
  <c r="E17" i="14"/>
  <c r="E16" i="14" s="1"/>
  <c r="E29" i="14"/>
  <c r="E28" i="14" s="1"/>
  <c r="E33" i="14"/>
  <c r="E32" i="14" s="1"/>
  <c r="H33" i="14"/>
  <c r="H32" i="14" s="1"/>
  <c r="F33" i="14"/>
  <c r="F32" i="14" s="1"/>
  <c r="H29" i="14"/>
  <c r="H28" i="14" s="1"/>
  <c r="F29" i="14"/>
  <c r="F28" i="14" s="1"/>
  <c r="F17" i="14"/>
  <c r="F16" i="14" s="1"/>
  <c r="D160" i="10"/>
  <c r="E159" i="10" s="1"/>
  <c r="H20" i="5"/>
  <c r="AS163" i="9"/>
  <c r="L162" i="9"/>
  <c r="S162" i="9"/>
  <c r="L161" i="9"/>
  <c r="S161" i="9"/>
  <c r="L160" i="9"/>
  <c r="S160" i="9"/>
  <c r="L159" i="9"/>
  <c r="S159" i="9"/>
  <c r="L157" i="9"/>
  <c r="S157" i="9"/>
  <c r="S156" i="9"/>
  <c r="AT156" i="9" s="1"/>
  <c r="S155" i="9"/>
  <c r="AT155" i="9" s="1"/>
  <c r="D46" i="27" s="1"/>
  <c r="L154" i="9"/>
  <c r="L153" i="9"/>
  <c r="L152" i="9"/>
  <c r="L151" i="9"/>
  <c r="L149" i="9"/>
  <c r="AT149" i="9" s="1"/>
  <c r="L148" i="9"/>
  <c r="L147" i="9"/>
  <c r="AT147" i="9" s="1"/>
  <c r="L146" i="9"/>
  <c r="L145" i="9"/>
  <c r="AT145" i="9" s="1"/>
  <c r="L144" i="9"/>
  <c r="AT144" i="9" s="1"/>
  <c r="L142" i="9"/>
  <c r="AT142" i="9" s="1"/>
  <c r="L140" i="9"/>
  <c r="AT140" i="9" s="1"/>
  <c r="L139" i="9"/>
  <c r="AT139" i="9" s="1"/>
  <c r="L138" i="9"/>
  <c r="AT138" i="9" s="1"/>
  <c r="L137" i="9"/>
  <c r="AT137" i="9" s="1"/>
  <c r="L136" i="9"/>
  <c r="AT136" i="9" s="1"/>
  <c r="L135" i="9"/>
  <c r="L133" i="9"/>
  <c r="AT133" i="9" s="1"/>
  <c r="L132" i="9"/>
  <c r="L131" i="9"/>
  <c r="L130" i="9"/>
  <c r="AT130" i="9" s="1"/>
  <c r="L129" i="9"/>
  <c r="AT129" i="9" s="1"/>
  <c r="L128" i="9"/>
  <c r="AT128" i="9" s="1"/>
  <c r="C125" i="10" s="1"/>
  <c r="L124" i="9"/>
  <c r="AT124" i="9" s="1"/>
  <c r="L123" i="9"/>
  <c r="AT123" i="9" s="1"/>
  <c r="L122" i="9"/>
  <c r="AT122" i="9" s="1"/>
  <c r="L121" i="9"/>
  <c r="L119" i="9"/>
  <c r="G119" i="9"/>
  <c r="G117" i="9"/>
  <c r="G115" i="9"/>
  <c r="L111" i="9"/>
  <c r="L110" i="9"/>
  <c r="L109" i="9"/>
  <c r="AT109" i="9" s="1"/>
  <c r="L105" i="9"/>
  <c r="L104" i="9"/>
  <c r="L98" i="9"/>
  <c r="AT98" i="9" s="1"/>
  <c r="C97" i="10" s="1"/>
  <c r="S42" i="9"/>
  <c r="AT42" i="9" s="1"/>
  <c r="S41" i="9"/>
  <c r="AT41" i="9" s="1"/>
  <c r="S38" i="9"/>
  <c r="AT38" i="9" s="1"/>
  <c r="S37" i="9"/>
  <c r="S36" i="9"/>
  <c r="S35" i="9"/>
  <c r="S34" i="9"/>
  <c r="S33" i="9"/>
  <c r="AT33" i="9" s="1"/>
  <c r="S30" i="9"/>
  <c r="AT30" i="9" s="1"/>
  <c r="S27" i="9"/>
  <c r="S24" i="9"/>
  <c r="AT24" i="9" s="1"/>
  <c r="AT21" i="9"/>
  <c r="AT20" i="9"/>
  <c r="D17" i="8"/>
  <c r="D16" i="8" s="1"/>
  <c r="E17" i="8"/>
  <c r="E16" i="8" s="1"/>
  <c r="F17" i="8"/>
  <c r="F16" i="8" s="1"/>
  <c r="G17" i="8"/>
  <c r="G16" i="8" s="1"/>
  <c r="D26" i="8"/>
  <c r="D25" i="8" s="1"/>
  <c r="D23" i="8" s="1"/>
  <c r="E26" i="8"/>
  <c r="E25" i="8" s="1"/>
  <c r="E23" i="8" s="1"/>
  <c r="F26" i="8"/>
  <c r="F25" i="8" s="1"/>
  <c r="F23" i="8" s="1"/>
  <c r="G26" i="8"/>
  <c r="G25" i="8" s="1"/>
  <c r="G23" i="8" s="1"/>
  <c r="H28" i="8"/>
  <c r="P153" i="9" s="1"/>
  <c r="H27" i="8"/>
  <c r="H18" i="8"/>
  <c r="C140" i="4"/>
  <c r="D140" i="4"/>
  <c r="D194" i="4"/>
  <c r="D197" i="4"/>
  <c r="E146" i="4"/>
  <c r="E140" i="4"/>
  <c r="D57" i="5"/>
  <c r="D56" i="5"/>
  <c r="F38" i="4"/>
  <c r="F54" i="4"/>
  <c r="E38" i="4"/>
  <c r="E54" i="4"/>
  <c r="D38" i="4"/>
  <c r="D54" i="4"/>
  <c r="D86" i="4"/>
  <c r="D89" i="4"/>
  <c r="G36" i="4"/>
  <c r="G27" i="4"/>
  <c r="G23" i="4"/>
  <c r="C57" i="5" s="1"/>
  <c r="G22" i="4"/>
  <c r="C56" i="5" s="1"/>
  <c r="G19" i="4"/>
  <c r="G17" i="4"/>
  <c r="D79" i="4"/>
  <c r="G79" i="4" s="1"/>
  <c r="G146" i="5"/>
  <c r="F146" i="5"/>
  <c r="E146" i="5"/>
  <c r="H145" i="5"/>
  <c r="H144" i="5"/>
  <c r="H141" i="5"/>
  <c r="H140" i="5"/>
  <c r="H138" i="5"/>
  <c r="H137" i="5"/>
  <c r="H136" i="5"/>
  <c r="H135" i="5"/>
  <c r="H134" i="5"/>
  <c r="H133" i="5"/>
  <c r="H132" i="5"/>
  <c r="H131" i="5"/>
  <c r="H130" i="5"/>
  <c r="H116" i="5"/>
  <c r="H110" i="5"/>
  <c r="H100" i="5"/>
  <c r="H97" i="5"/>
  <c r="H96" i="5"/>
  <c r="H78" i="5"/>
  <c r="H70" i="5"/>
  <c r="H61" i="5"/>
  <c r="H53" i="5"/>
  <c r="H44" i="5"/>
  <c r="H41" i="5"/>
  <c r="H39" i="5"/>
  <c r="H38" i="5"/>
  <c r="D34" i="9" s="1"/>
  <c r="H36" i="5"/>
  <c r="H33" i="5"/>
  <c r="H30" i="5"/>
  <c r="H27" i="5"/>
  <c r="H24" i="5"/>
  <c r="H23" i="5"/>
  <c r="H22" i="5"/>
  <c r="H21" i="5"/>
  <c r="H17" i="5"/>
  <c r="H15" i="5"/>
  <c r="D168" i="4"/>
  <c r="G198" i="4"/>
  <c r="G195" i="4"/>
  <c r="G191" i="4"/>
  <c r="G190" i="4"/>
  <c r="G189" i="4"/>
  <c r="G181" i="4"/>
  <c r="G180" i="4"/>
  <c r="G179" i="4"/>
  <c r="G175" i="4"/>
  <c r="G174" i="4"/>
  <c r="G173" i="4"/>
  <c r="G172" i="4"/>
  <c r="G171" i="4"/>
  <c r="G170" i="4"/>
  <c r="D95" i="5" s="1"/>
  <c r="D93" i="5" s="1"/>
  <c r="G169" i="4"/>
  <c r="G90" i="4"/>
  <c r="G87" i="4"/>
  <c r="G72" i="4"/>
  <c r="G71" i="4"/>
  <c r="G70" i="4"/>
  <c r="G69" i="4"/>
  <c r="G14" i="4"/>
  <c r="H95" i="9"/>
  <c r="J113" i="9"/>
  <c r="J95" i="9"/>
  <c r="J116" i="9"/>
  <c r="H107" i="9"/>
  <c r="D35" i="5"/>
  <c r="S154" i="9"/>
  <c r="C152" i="10"/>
  <c r="D106" i="10"/>
  <c r="F95" i="9"/>
  <c r="K107" i="9"/>
  <c r="J107" i="9"/>
  <c r="J22" i="9"/>
  <c r="E22" i="9"/>
  <c r="I22" i="9"/>
  <c r="C53" i="18"/>
  <c r="C52" i="18" s="1"/>
  <c r="L49" i="18"/>
  <c r="C49" i="23" s="1"/>
  <c r="Q49" i="23" s="1"/>
  <c r="D113" i="5"/>
  <c r="L99" i="9"/>
  <c r="L117" i="9"/>
  <c r="C107" i="9"/>
  <c r="K95" i="9"/>
  <c r="C95" i="9"/>
  <c r="F85" i="4"/>
  <c r="L16" i="18"/>
  <c r="C16" i="23" s="1"/>
  <c r="Q16" i="23" s="1"/>
  <c r="D22" i="9"/>
  <c r="S131" i="9"/>
  <c r="D103" i="5"/>
  <c r="H105" i="5"/>
  <c r="H124" i="5"/>
  <c r="G178" i="4"/>
  <c r="L141" i="9"/>
  <c r="AT141" i="9" s="1"/>
  <c r="G23" i="9"/>
  <c r="G22" i="9" s="1"/>
  <c r="M27" i="22"/>
  <c r="J27" i="22"/>
  <c r="L37" i="18"/>
  <c r="C37" i="23" s="1"/>
  <c r="F141" i="9"/>
  <c r="F120" i="9" s="1"/>
  <c r="C23" i="8"/>
  <c r="F65" i="9"/>
  <c r="C89" i="4"/>
  <c r="G89" i="4" s="1"/>
  <c r="O9" i="20"/>
  <c r="M9" i="20"/>
  <c r="S55" i="9"/>
  <c r="S51" i="9"/>
  <c r="K65" i="9"/>
  <c r="S44" i="9"/>
  <c r="S72" i="9"/>
  <c r="S116" i="9"/>
  <c r="S112" i="9"/>
  <c r="AT19" i="9"/>
  <c r="S43" i="9"/>
  <c r="K120" i="9"/>
  <c r="F19" i="12" l="1"/>
  <c r="D19" i="14"/>
  <c r="AT158" i="9"/>
  <c r="C157" i="10" s="1"/>
  <c r="AT148" i="9"/>
  <c r="AT62" i="9"/>
  <c r="AT157" i="9"/>
  <c r="C156" i="10" s="1"/>
  <c r="K70" i="9"/>
  <c r="J26" i="20"/>
  <c r="AQ87" i="22" s="1"/>
  <c r="F94" i="9"/>
  <c r="AT69" i="9"/>
  <c r="C68" i="10" s="1"/>
  <c r="AT104" i="9"/>
  <c r="K66" i="18"/>
  <c r="AT14" i="9"/>
  <c r="AT110" i="9"/>
  <c r="AT18" i="9"/>
  <c r="C17" i="10" s="1"/>
  <c r="AT12" i="9"/>
  <c r="AT111" i="9"/>
  <c r="AT119" i="9"/>
  <c r="C117" i="10" s="1"/>
  <c r="AT117" i="9"/>
  <c r="AT105" i="9"/>
  <c r="C104" i="10" s="1"/>
  <c r="AT152" i="9"/>
  <c r="AT36" i="9"/>
  <c r="AT108" i="9"/>
  <c r="AT135" i="9"/>
  <c r="AT127" i="9"/>
  <c r="C124" i="10" s="1"/>
  <c r="AT88" i="9"/>
  <c r="C87" i="10" s="1"/>
  <c r="AT27" i="9"/>
  <c r="AT131" i="9"/>
  <c r="C128" i="10" s="1"/>
  <c r="AT99" i="9"/>
  <c r="C98" i="10" s="1"/>
  <c r="AT35" i="9"/>
  <c r="AT73" i="9"/>
  <c r="C72" i="10" s="1"/>
  <c r="D48" i="18"/>
  <c r="AT154" i="9"/>
  <c r="AT160" i="9"/>
  <c r="AT162" i="9"/>
  <c r="AT23" i="9"/>
  <c r="C22" i="10" s="1"/>
  <c r="D21" i="10" s="1"/>
  <c r="AT68" i="9"/>
  <c r="C67" i="10" s="1"/>
  <c r="C146" i="10"/>
  <c r="AT159" i="9"/>
  <c r="AT161" i="9"/>
  <c r="AT37" i="9"/>
  <c r="AT134" i="9"/>
  <c r="C131" i="10" s="1"/>
  <c r="D129" i="10" s="1"/>
  <c r="AT115" i="9"/>
  <c r="C86" i="9"/>
  <c r="C61" i="10"/>
  <c r="AT66" i="9"/>
  <c r="C65" i="10" s="1"/>
  <c r="C101" i="10"/>
  <c r="D100" i="10" s="1"/>
  <c r="L8" i="18"/>
  <c r="D10" i="27" s="1"/>
  <c r="K60" i="18"/>
  <c r="L61" i="18"/>
  <c r="L60" i="18" s="1"/>
  <c r="D20" i="27" s="1"/>
  <c r="R150" i="9"/>
  <c r="E94" i="9"/>
  <c r="C72" i="5"/>
  <c r="C11" i="4"/>
  <c r="S121" i="9"/>
  <c r="D125" i="5"/>
  <c r="D123" i="5" s="1"/>
  <c r="AS52" i="22"/>
  <c r="C18" i="10"/>
  <c r="D72" i="5"/>
  <c r="C70" i="9"/>
  <c r="AA79" i="22"/>
  <c r="AA80" i="22" s="1"/>
  <c r="C40" i="10"/>
  <c r="AL79" i="22"/>
  <c r="AL80" i="22" s="1"/>
  <c r="H9" i="21"/>
  <c r="I9" i="21"/>
  <c r="I15" i="21"/>
  <c r="I11" i="21"/>
  <c r="H11" i="21"/>
  <c r="D19" i="21"/>
  <c r="C16" i="9"/>
  <c r="Q43" i="23"/>
  <c r="C61" i="23"/>
  <c r="Q62" i="23"/>
  <c r="H10" i="21"/>
  <c r="I10" i="21"/>
  <c r="C32" i="23"/>
  <c r="Q32" i="23" s="1"/>
  <c r="Q33" i="23"/>
  <c r="I17" i="21"/>
  <c r="H17" i="21"/>
  <c r="C19" i="23"/>
  <c r="Q20" i="23"/>
  <c r="C9" i="23"/>
  <c r="Q10" i="23"/>
  <c r="H37" i="5"/>
  <c r="C36" i="23"/>
  <c r="Q37" i="23"/>
  <c r="AF68" i="22"/>
  <c r="AQ71" i="22"/>
  <c r="AF71" i="22"/>
  <c r="F39" i="18"/>
  <c r="AF59" i="22"/>
  <c r="AF87" i="22"/>
  <c r="AE18" i="22"/>
  <c r="AE37" i="22" s="1"/>
  <c r="AE82" i="22" s="1"/>
  <c r="AQ68" i="22"/>
  <c r="AQ10" i="22"/>
  <c r="AF11" i="22"/>
  <c r="AF75" i="22"/>
  <c r="AF72" i="22"/>
  <c r="AF55" i="22"/>
  <c r="AD27" i="22"/>
  <c r="AQ59" i="22"/>
  <c r="AQ17" i="22"/>
  <c r="AC79" i="22"/>
  <c r="AO62" i="22"/>
  <c r="AS62" i="22"/>
  <c r="AO50" i="22"/>
  <c r="AS50" i="22"/>
  <c r="AO42" i="22"/>
  <c r="AS42" i="22"/>
  <c r="AS71" i="22"/>
  <c r="AS55" i="22"/>
  <c r="AO63" i="22"/>
  <c r="AS63" i="22"/>
  <c r="AO45" i="22"/>
  <c r="AS45" i="22"/>
  <c r="AO39" i="22"/>
  <c r="AS39" i="22"/>
  <c r="AS72" i="22"/>
  <c r="AO64" i="22"/>
  <c r="AS64" i="22"/>
  <c r="AO46" i="22"/>
  <c r="AS46" i="22"/>
  <c r="AO40" i="22"/>
  <c r="AS40" i="22"/>
  <c r="AS68" i="22"/>
  <c r="AS59" i="22"/>
  <c r="H35" i="5"/>
  <c r="C32" i="9"/>
  <c r="AO41" i="22"/>
  <c r="AS41" i="22"/>
  <c r="D88" i="5"/>
  <c r="AS75" i="22"/>
  <c r="D67" i="5"/>
  <c r="G140" i="4"/>
  <c r="D47" i="5"/>
  <c r="I47" i="5" s="1"/>
  <c r="K94" i="9"/>
  <c r="AA37" i="22"/>
  <c r="AL37" i="22"/>
  <c r="AQ72" i="22"/>
  <c r="AD18" i="22"/>
  <c r="AQ55" i="22"/>
  <c r="AD79" i="22"/>
  <c r="AQ75" i="22"/>
  <c r="AO79" i="22"/>
  <c r="AF23" i="22"/>
  <c r="AQ23" i="22"/>
  <c r="AF26" i="22"/>
  <c r="AQ26" i="22"/>
  <c r="AF22" i="22"/>
  <c r="AQ22" i="22"/>
  <c r="AF53" i="22"/>
  <c r="AQ53" i="22"/>
  <c r="AF25" i="22"/>
  <c r="AQ25" i="22"/>
  <c r="AF19" i="22"/>
  <c r="AQ19" i="22"/>
  <c r="AF52" i="22"/>
  <c r="AF24" i="22"/>
  <c r="AQ24" i="22"/>
  <c r="AN79" i="22"/>
  <c r="AO60" i="22"/>
  <c r="AD60" i="22"/>
  <c r="AO27" i="22"/>
  <c r="R10" i="22"/>
  <c r="R12" i="22"/>
  <c r="S12" i="22" s="1"/>
  <c r="AF12" i="22"/>
  <c r="R13" i="22"/>
  <c r="S13" i="22" s="1"/>
  <c r="AF13" i="22"/>
  <c r="S71" i="22"/>
  <c r="R17" i="22"/>
  <c r="S17" i="22" s="1"/>
  <c r="AF17" i="22"/>
  <c r="C119" i="4"/>
  <c r="L50" i="18"/>
  <c r="K39" i="18"/>
  <c r="C44" i="9"/>
  <c r="L103" i="9"/>
  <c r="H94" i="9"/>
  <c r="L17" i="9"/>
  <c r="AT17" i="9" s="1"/>
  <c r="Q37" i="22"/>
  <c r="L116" i="9"/>
  <c r="L22" i="9"/>
  <c r="AT22" i="9" s="1"/>
  <c r="AE121" i="9"/>
  <c r="H113" i="5"/>
  <c r="C140" i="10"/>
  <c r="H17" i="8"/>
  <c r="G34" i="9"/>
  <c r="AT34" i="9" s="1"/>
  <c r="I13" i="9"/>
  <c r="L31" i="22"/>
  <c r="K31" i="22"/>
  <c r="K35" i="22" s="1"/>
  <c r="K37" i="22" s="1"/>
  <c r="K82" i="22" s="1"/>
  <c r="M18" i="22"/>
  <c r="H13" i="9" s="1"/>
  <c r="S11" i="22"/>
  <c r="Q80" i="22"/>
  <c r="H57" i="5"/>
  <c r="J112" i="9"/>
  <c r="P151" i="9"/>
  <c r="S151" i="9" s="1"/>
  <c r="AT151" i="9" s="1"/>
  <c r="S153" i="9"/>
  <c r="AT153" i="9" s="1"/>
  <c r="C151" i="10" s="1"/>
  <c r="D149" i="10" s="1"/>
  <c r="L118" i="9"/>
  <c r="R103" i="9"/>
  <c r="R94" i="9" s="1"/>
  <c r="S106" i="9"/>
  <c r="H56" i="5"/>
  <c r="L52" i="9"/>
  <c r="AT52" i="9" s="1"/>
  <c r="L48" i="9"/>
  <c r="AT48" i="9" s="1"/>
  <c r="L51" i="9"/>
  <c r="AT51" i="9" s="1"/>
  <c r="L50" i="9"/>
  <c r="AT50" i="9" s="1"/>
  <c r="D11" i="4"/>
  <c r="N18" i="22"/>
  <c r="N33" i="22"/>
  <c r="AC33" i="22" s="1"/>
  <c r="L33" i="22"/>
  <c r="N29" i="22"/>
  <c r="AC29" i="22" s="1"/>
  <c r="L29" i="22"/>
  <c r="N34" i="22"/>
  <c r="AC34" i="22" s="1"/>
  <c r="L34" i="22"/>
  <c r="N30" i="22"/>
  <c r="AC30" i="22" s="1"/>
  <c r="L30" i="22"/>
  <c r="N32" i="22"/>
  <c r="AC32" i="22" s="1"/>
  <c r="L32" i="22"/>
  <c r="L54" i="18"/>
  <c r="L53" i="18" s="1"/>
  <c r="L54" i="9"/>
  <c r="AT54" i="9" s="1"/>
  <c r="P24" i="20"/>
  <c r="P25" i="20" s="1"/>
  <c r="H25" i="20"/>
  <c r="J86" i="9"/>
  <c r="H31" i="9"/>
  <c r="D34" i="5"/>
  <c r="H34" i="5" s="1"/>
  <c r="C101" i="9"/>
  <c r="J94" i="9"/>
  <c r="C144" i="10"/>
  <c r="F18" i="21"/>
  <c r="F19" i="21" s="1"/>
  <c r="D19" i="5" s="1"/>
  <c r="L40" i="18"/>
  <c r="D177" i="4"/>
  <c r="L47" i="9"/>
  <c r="AT47" i="9" s="1"/>
  <c r="I86" i="9"/>
  <c r="L46" i="9"/>
  <c r="AT46" i="9" s="1"/>
  <c r="R59" i="22"/>
  <c r="K18" i="18"/>
  <c r="L18" i="18" s="1"/>
  <c r="D12" i="27" s="1"/>
  <c r="D193" i="4"/>
  <c r="F18" i="18"/>
  <c r="G71" i="9"/>
  <c r="C128" i="5"/>
  <c r="C127" i="5" s="1"/>
  <c r="C126" i="5" s="1"/>
  <c r="R47" i="22"/>
  <c r="K86" i="9"/>
  <c r="L67" i="9"/>
  <c r="H60" i="5"/>
  <c r="D85" i="4"/>
  <c r="L84" i="9"/>
  <c r="AT84" i="9" s="1"/>
  <c r="L80" i="9"/>
  <c r="AT80" i="9" s="1"/>
  <c r="L83" i="9"/>
  <c r="AT83" i="9" s="1"/>
  <c r="L79" i="9"/>
  <c r="AT79" i="9" s="1"/>
  <c r="L75" i="9"/>
  <c r="H86" i="9"/>
  <c r="G108" i="5"/>
  <c r="D107" i="5"/>
  <c r="G75" i="9"/>
  <c r="M51" i="22"/>
  <c r="L55" i="9"/>
  <c r="AT55" i="9" s="1"/>
  <c r="L120" i="9"/>
  <c r="C103" i="10"/>
  <c r="L89" i="9"/>
  <c r="L107" i="9"/>
  <c r="AT107" i="9" s="1"/>
  <c r="L95" i="9"/>
  <c r="L49" i="9"/>
  <c r="AT49" i="9" s="1"/>
  <c r="L58" i="9"/>
  <c r="AT58" i="9" s="1"/>
  <c r="I94" i="9"/>
  <c r="H64" i="9"/>
  <c r="L53" i="9"/>
  <c r="AT53" i="9" s="1"/>
  <c r="H71" i="5"/>
  <c r="L63" i="9"/>
  <c r="AT63" i="9" s="1"/>
  <c r="L60" i="9"/>
  <c r="AT60" i="9" s="1"/>
  <c r="L56" i="9"/>
  <c r="AT56" i="9" s="1"/>
  <c r="S64" i="22"/>
  <c r="AF64" i="22" s="1"/>
  <c r="AQ64" i="22" s="1"/>
  <c r="N60" i="22"/>
  <c r="H18" i="20"/>
  <c r="O18" i="20"/>
  <c r="O25" i="20"/>
  <c r="K26" i="20"/>
  <c r="S46" i="22"/>
  <c r="AF46" i="22" s="1"/>
  <c r="AQ46" i="22" s="1"/>
  <c r="M35" i="22"/>
  <c r="J51" i="22"/>
  <c r="R55" i="22"/>
  <c r="J47" i="22"/>
  <c r="N43" i="22"/>
  <c r="AC43" i="22" s="1"/>
  <c r="J65" i="22"/>
  <c r="S41" i="22"/>
  <c r="AF41" i="22" s="1"/>
  <c r="AQ41" i="22" s="1"/>
  <c r="P43" i="22"/>
  <c r="N49" i="22"/>
  <c r="P47" i="22"/>
  <c r="R65" i="22"/>
  <c r="M65" i="22"/>
  <c r="R43" i="22"/>
  <c r="R24" i="22"/>
  <c r="R53" i="22"/>
  <c r="P51" i="22"/>
  <c r="N47" i="22"/>
  <c r="AC47" i="22" s="1"/>
  <c r="P60" i="22"/>
  <c r="S40" i="22"/>
  <c r="AF40" i="22" s="1"/>
  <c r="AQ40" i="22" s="1"/>
  <c r="R68" i="22"/>
  <c r="O79" i="22"/>
  <c r="O80" i="22" s="1"/>
  <c r="N65" i="22"/>
  <c r="AC65" i="22" s="1"/>
  <c r="O37" i="22"/>
  <c r="S63" i="22"/>
  <c r="AF63" i="22" s="1"/>
  <c r="AQ63" i="22" s="1"/>
  <c r="P65" i="22"/>
  <c r="R72" i="22"/>
  <c r="R23" i="22"/>
  <c r="R25" i="22"/>
  <c r="R22" i="22"/>
  <c r="P27" i="22"/>
  <c r="H54" i="5"/>
  <c r="G32" i="4"/>
  <c r="L92" i="9"/>
  <c r="G54" i="4"/>
  <c r="G92" i="9"/>
  <c r="H49" i="5"/>
  <c r="H74" i="5"/>
  <c r="L85" i="9"/>
  <c r="L81" i="9"/>
  <c r="AT81" i="9" s="1"/>
  <c r="R66" i="22"/>
  <c r="H53" i="18"/>
  <c r="H52" i="18" s="1"/>
  <c r="L52" i="18" s="1"/>
  <c r="D18" i="27" s="1"/>
  <c r="S39" i="22"/>
  <c r="AF39" i="22" s="1"/>
  <c r="AQ39" i="22" s="1"/>
  <c r="M43" i="22"/>
  <c r="K112" i="9"/>
  <c r="P95" i="9"/>
  <c r="S95" i="9" s="1"/>
  <c r="C16" i="8"/>
  <c r="C47" i="8" s="1"/>
  <c r="L82" i="9"/>
  <c r="AT82" i="9" s="1"/>
  <c r="L74" i="9"/>
  <c r="AT74" i="9" s="1"/>
  <c r="S45" i="22"/>
  <c r="AF45" i="22" s="1"/>
  <c r="AQ45" i="22" s="1"/>
  <c r="M47" i="22"/>
  <c r="N31" i="22"/>
  <c r="AC31" i="22" s="1"/>
  <c r="J35" i="22"/>
  <c r="J37" i="22" s="1"/>
  <c r="R29" i="22"/>
  <c r="AE29" i="22" s="1"/>
  <c r="P35" i="22"/>
  <c r="D109" i="5"/>
  <c r="H112" i="5"/>
  <c r="H58" i="5"/>
  <c r="H69" i="5"/>
  <c r="D112" i="9"/>
  <c r="I112" i="9"/>
  <c r="I70" i="9"/>
  <c r="L59" i="9"/>
  <c r="AT59" i="9" s="1"/>
  <c r="G90" i="9"/>
  <c r="S50" i="22"/>
  <c r="AF50" i="22" s="1"/>
  <c r="AQ50" i="22" s="1"/>
  <c r="I37" i="22"/>
  <c r="I82" i="22" s="1"/>
  <c r="H26" i="8"/>
  <c r="D103" i="9"/>
  <c r="D94" i="9" s="1"/>
  <c r="S42" i="22"/>
  <c r="AF42" i="22" s="1"/>
  <c r="AQ42" i="22" s="1"/>
  <c r="R26" i="22"/>
  <c r="M26" i="20"/>
  <c r="D47" i="8"/>
  <c r="H103" i="5"/>
  <c r="S62" i="22"/>
  <c r="AF62" i="22" s="1"/>
  <c r="AQ62" i="22" s="1"/>
  <c r="R51" i="22"/>
  <c r="L48" i="18"/>
  <c r="C48" i="23" s="1"/>
  <c r="Q48" i="23" s="1"/>
  <c r="L65" i="9"/>
  <c r="J43" i="22"/>
  <c r="E18" i="21"/>
  <c r="E19" i="21" s="1"/>
  <c r="L106" i="9"/>
  <c r="L26" i="20"/>
  <c r="H40" i="5"/>
  <c r="L76" i="9"/>
  <c r="AT76" i="9" s="1"/>
  <c r="L87" i="9"/>
  <c r="L78" i="9"/>
  <c r="AT78" i="9" s="1"/>
  <c r="F70" i="9"/>
  <c r="G52" i="9"/>
  <c r="L90" i="9"/>
  <c r="D18" i="18"/>
  <c r="D72" i="18" s="1"/>
  <c r="D73" i="18" s="1"/>
  <c r="S174" i="9" s="1"/>
  <c r="J18" i="18"/>
  <c r="J72" i="18" s="1"/>
  <c r="J73" i="18" s="1"/>
  <c r="C22" i="13" s="1"/>
  <c r="D22" i="13" s="1"/>
  <c r="L64" i="18"/>
  <c r="F11" i="4"/>
  <c r="F99" i="4" s="1"/>
  <c r="J70" i="9"/>
  <c r="L57" i="9"/>
  <c r="AT57" i="9" s="1"/>
  <c r="L77" i="9"/>
  <c r="AT77" i="9" s="1"/>
  <c r="L72" i="9"/>
  <c r="L61" i="9"/>
  <c r="AT61" i="9" s="1"/>
  <c r="H70" i="9"/>
  <c r="F44" i="9"/>
  <c r="G72" i="9"/>
  <c r="C64" i="9"/>
  <c r="G188" i="4"/>
  <c r="E86" i="9"/>
  <c r="G47" i="9"/>
  <c r="G63" i="9"/>
  <c r="G53" i="9"/>
  <c r="G48" i="9"/>
  <c r="D70" i="9"/>
  <c r="G57" i="9"/>
  <c r="F64" i="9"/>
  <c r="G205" i="4"/>
  <c r="G204" i="4" s="1"/>
  <c r="E44" i="9"/>
  <c r="G146" i="4"/>
  <c r="G60" i="9"/>
  <c r="D86" i="9"/>
  <c r="D44" i="9"/>
  <c r="G182" i="4"/>
  <c r="G177" i="4" s="1"/>
  <c r="G168" i="4"/>
  <c r="H73" i="5"/>
  <c r="D68" i="4"/>
  <c r="G68" i="4" s="1"/>
  <c r="L71" i="9"/>
  <c r="G67" i="9"/>
  <c r="G56" i="9"/>
  <c r="G38" i="4"/>
  <c r="G85" i="9"/>
  <c r="H79" i="5"/>
  <c r="H48" i="5"/>
  <c r="J44" i="9"/>
  <c r="H76" i="5"/>
  <c r="G87" i="9"/>
  <c r="F86" i="9"/>
  <c r="H91" i="5"/>
  <c r="H90" i="5"/>
  <c r="H68" i="5"/>
  <c r="H63" i="5"/>
  <c r="H62" i="5"/>
  <c r="H55" i="5"/>
  <c r="I55" i="5" s="1"/>
  <c r="K44" i="9"/>
  <c r="I44" i="9"/>
  <c r="G12" i="4"/>
  <c r="L45" i="9"/>
  <c r="AT45" i="9" s="1"/>
  <c r="H44" i="9"/>
  <c r="H108" i="5"/>
  <c r="C177" i="4"/>
  <c r="G89" i="9"/>
  <c r="G163" i="4"/>
  <c r="D119" i="4"/>
  <c r="E119" i="4"/>
  <c r="E207" i="4" s="1"/>
  <c r="D127" i="5"/>
  <c r="D126" i="5" s="1"/>
  <c r="H95" i="5"/>
  <c r="H89" i="5"/>
  <c r="G65" i="9"/>
  <c r="E11" i="4"/>
  <c r="E99" i="4" s="1"/>
  <c r="H59" i="5"/>
  <c r="K64" i="9"/>
  <c r="H52" i="5"/>
  <c r="H87" i="5"/>
  <c r="C66" i="5"/>
  <c r="F119" i="4"/>
  <c r="F207" i="4" s="1"/>
  <c r="H50" i="5"/>
  <c r="L19" i="18"/>
  <c r="C18" i="18"/>
  <c r="C72" i="18" s="1"/>
  <c r="P79" i="22"/>
  <c r="R75" i="22"/>
  <c r="N79" i="22"/>
  <c r="R67" i="22"/>
  <c r="J60" i="22"/>
  <c r="J80" i="22" s="1"/>
  <c r="R19" i="22"/>
  <c r="N27" i="22"/>
  <c r="N26" i="20"/>
  <c r="L9" i="18"/>
  <c r="R52" i="22"/>
  <c r="H77" i="5"/>
  <c r="H86" i="5"/>
  <c r="H84" i="5"/>
  <c r="E39" i="9"/>
  <c r="F39" i="9"/>
  <c r="C145" i="10"/>
  <c r="G116" i="9"/>
  <c r="H23" i="8"/>
  <c r="F47" i="8"/>
  <c r="G47" i="8"/>
  <c r="H25" i="8"/>
  <c r="E47" i="8"/>
  <c r="C123" i="5"/>
  <c r="H75" i="5"/>
  <c r="H65" i="5"/>
  <c r="C47" i="5"/>
  <c r="C88" i="5"/>
  <c r="H92" i="5"/>
  <c r="G91" i="9"/>
  <c r="Q26" i="20"/>
  <c r="P18" i="20"/>
  <c r="P19" i="20"/>
  <c r="P20" i="20" s="1"/>
  <c r="D155" i="10" l="1"/>
  <c r="E154" i="10" s="1"/>
  <c r="D16" i="10"/>
  <c r="L70" i="9"/>
  <c r="G86" i="9"/>
  <c r="K43" i="9"/>
  <c r="C73" i="18"/>
  <c r="K72" i="18"/>
  <c r="AT75" i="9"/>
  <c r="C74" i="10" s="1"/>
  <c r="AT71" i="9"/>
  <c r="C70" i="10" s="1"/>
  <c r="AT106" i="9"/>
  <c r="AT116" i="9"/>
  <c r="AT72" i="9"/>
  <c r="C71" i="10" s="1"/>
  <c r="AT85" i="9"/>
  <c r="C84" i="10" s="1"/>
  <c r="C46" i="10"/>
  <c r="C59" i="10"/>
  <c r="AT95" i="9"/>
  <c r="C47" i="10"/>
  <c r="AT87" i="9"/>
  <c r="C62" i="10"/>
  <c r="AT65" i="9"/>
  <c r="C64" i="10" s="1"/>
  <c r="C52" i="10"/>
  <c r="AT90" i="9"/>
  <c r="C89" i="10" s="1"/>
  <c r="AT89" i="9"/>
  <c r="C88" i="10" s="1"/>
  <c r="C56" i="10"/>
  <c r="AT118" i="9"/>
  <c r="AT67" i="9"/>
  <c r="C66" i="10" s="1"/>
  <c r="AT92" i="9"/>
  <c r="C91" i="10" s="1"/>
  <c r="D90" i="10" s="1"/>
  <c r="C55" i="10"/>
  <c r="C51" i="10"/>
  <c r="AT121" i="9"/>
  <c r="C44" i="10"/>
  <c r="C76" i="10"/>
  <c r="E148" i="10"/>
  <c r="C137" i="10"/>
  <c r="D133" i="10" s="1"/>
  <c r="C73" i="10"/>
  <c r="L91" i="9"/>
  <c r="AT91" i="9" s="1"/>
  <c r="C81" i="10"/>
  <c r="C45" i="10"/>
  <c r="C80" i="10"/>
  <c r="D30" i="14"/>
  <c r="R163" i="9"/>
  <c r="D207" i="4"/>
  <c r="G11" i="4"/>
  <c r="H125" i="5"/>
  <c r="C46" i="5"/>
  <c r="D99" i="4"/>
  <c r="H123" i="5"/>
  <c r="I88" i="5"/>
  <c r="G119" i="4"/>
  <c r="G101" i="9"/>
  <c r="AT101" i="9" s="1"/>
  <c r="C94" i="9"/>
  <c r="G94" i="9" s="1"/>
  <c r="I72" i="5"/>
  <c r="AA82" i="22"/>
  <c r="F72" i="18"/>
  <c r="F73" i="18" s="1"/>
  <c r="AL82" i="22"/>
  <c r="C105" i="10"/>
  <c r="H109" i="5"/>
  <c r="D66" i="5"/>
  <c r="D46" i="5" s="1"/>
  <c r="M120" i="9"/>
  <c r="S120" i="9" s="1"/>
  <c r="C8" i="23"/>
  <c r="Q8" i="23" s="1"/>
  <c r="Q9" i="23"/>
  <c r="C60" i="23"/>
  <c r="Q60" i="23" s="1"/>
  <c r="Q61" i="23"/>
  <c r="C18" i="23"/>
  <c r="Q18" i="23" s="1"/>
  <c r="Q19" i="23"/>
  <c r="C54" i="23"/>
  <c r="C42" i="23"/>
  <c r="H67" i="5"/>
  <c r="C35" i="23"/>
  <c r="Q36" i="23"/>
  <c r="C58" i="10"/>
  <c r="C53" i="10"/>
  <c r="C49" i="10"/>
  <c r="C57" i="10"/>
  <c r="C50" i="10"/>
  <c r="C60" i="10"/>
  <c r="C48" i="10"/>
  <c r="C54" i="10"/>
  <c r="G32" i="9"/>
  <c r="AT32" i="9" s="1"/>
  <c r="C31" i="10" s="1"/>
  <c r="D30" i="10" s="1"/>
  <c r="AN18" i="22"/>
  <c r="C31" i="9"/>
  <c r="AQ47" i="22"/>
  <c r="AQ18" i="22"/>
  <c r="AS10" i="22"/>
  <c r="AF10" i="22"/>
  <c r="AD37" i="22"/>
  <c r="AO31" i="22"/>
  <c r="AS31" i="22"/>
  <c r="AO65" i="22"/>
  <c r="AS65" i="22"/>
  <c r="AO30" i="22"/>
  <c r="AS30" i="22"/>
  <c r="AO33" i="22"/>
  <c r="AS33" i="22"/>
  <c r="AS13" i="22"/>
  <c r="AS24" i="22"/>
  <c r="AS19" i="22"/>
  <c r="AS22" i="22"/>
  <c r="AS23" i="22"/>
  <c r="AO47" i="22"/>
  <c r="AS47" i="22"/>
  <c r="AO43" i="22"/>
  <c r="AS43" i="22"/>
  <c r="AS17" i="22"/>
  <c r="AO32" i="22"/>
  <c r="AS32" i="22"/>
  <c r="AO34" i="22"/>
  <c r="AS34" i="22"/>
  <c r="AO29" i="22"/>
  <c r="AS29" i="22"/>
  <c r="AS25" i="22"/>
  <c r="AS53" i="22"/>
  <c r="AS26" i="22"/>
  <c r="H93" i="5"/>
  <c r="AC27" i="22"/>
  <c r="AD80" i="22"/>
  <c r="AC60" i="22"/>
  <c r="AN60" i="22"/>
  <c r="AN80" i="22" s="1"/>
  <c r="AQ52" i="22"/>
  <c r="AO80" i="22"/>
  <c r="R18" i="22"/>
  <c r="AN27" i="22"/>
  <c r="AQ65" i="22"/>
  <c r="AQ43" i="22"/>
  <c r="AO18" i="22"/>
  <c r="AO37" i="22" s="1"/>
  <c r="AF47" i="22"/>
  <c r="AF65" i="22"/>
  <c r="AF43" i="22"/>
  <c r="S52" i="22"/>
  <c r="S22" i="22"/>
  <c r="S24" i="22"/>
  <c r="S59" i="22"/>
  <c r="R27" i="22"/>
  <c r="R35" i="22"/>
  <c r="AE35" i="22" s="1"/>
  <c r="S66" i="22"/>
  <c r="S25" i="22"/>
  <c r="N51" i="22"/>
  <c r="AC51" i="22" s="1"/>
  <c r="AC49" i="22"/>
  <c r="AC18" i="22"/>
  <c r="S26" i="22"/>
  <c r="S75" i="22"/>
  <c r="S23" i="22"/>
  <c r="S68" i="22"/>
  <c r="S10" i="22"/>
  <c r="S18" i="22" s="1"/>
  <c r="S67" i="22"/>
  <c r="S72" i="22"/>
  <c r="S53" i="22"/>
  <c r="S55" i="22"/>
  <c r="S33" i="22"/>
  <c r="AF33" i="22" s="1"/>
  <c r="AQ33" i="22" s="1"/>
  <c r="Q82" i="22"/>
  <c r="C196" i="4" s="1"/>
  <c r="K73" i="18"/>
  <c r="AI174" i="9" s="1"/>
  <c r="AI175" i="9" s="1"/>
  <c r="G44" i="9"/>
  <c r="M37" i="22"/>
  <c r="M82" i="22" s="1"/>
  <c r="L39" i="18"/>
  <c r="D16" i="27" s="1"/>
  <c r="D26" i="27" s="1"/>
  <c r="D94" i="10"/>
  <c r="L94" i="9"/>
  <c r="H26" i="20"/>
  <c r="J13" i="21"/>
  <c r="K13" i="21" s="1"/>
  <c r="H43" i="9"/>
  <c r="D120" i="10"/>
  <c r="S32" i="22"/>
  <c r="AF32" i="22" s="1"/>
  <c r="AQ32" i="22" s="1"/>
  <c r="D33" i="10"/>
  <c r="S34" i="22"/>
  <c r="AF34" i="22" s="1"/>
  <c r="AQ34" i="22" s="1"/>
  <c r="S29" i="22"/>
  <c r="AF29" i="22" s="1"/>
  <c r="S19" i="22"/>
  <c r="O82" i="22"/>
  <c r="S30" i="22"/>
  <c r="AF30" i="22" s="1"/>
  <c r="AQ30" i="22" s="1"/>
  <c r="S103" i="9"/>
  <c r="AT103" i="9" s="1"/>
  <c r="P150" i="9"/>
  <c r="S150" i="9" s="1"/>
  <c r="AT150" i="9" s="1"/>
  <c r="D44" i="27" s="1"/>
  <c r="P80" i="22"/>
  <c r="J17" i="21"/>
  <c r="K17" i="21" s="1"/>
  <c r="J10" i="21"/>
  <c r="K10" i="21" s="1"/>
  <c r="H18" i="21"/>
  <c r="H19" i="21" s="1"/>
  <c r="J9" i="21"/>
  <c r="K9" i="21" s="1"/>
  <c r="J15" i="21"/>
  <c r="K15" i="21" s="1"/>
  <c r="L86" i="9"/>
  <c r="N35" i="22"/>
  <c r="I18" i="21"/>
  <c r="I19" i="21" s="1"/>
  <c r="J16" i="21"/>
  <c r="K16" i="21" s="1"/>
  <c r="J11" i="21"/>
  <c r="K11" i="21" s="1"/>
  <c r="L35" i="22"/>
  <c r="L37" i="22" s="1"/>
  <c r="L82" i="22" s="1"/>
  <c r="J14" i="21"/>
  <c r="K14" i="21" s="1"/>
  <c r="J12" i="21"/>
  <c r="K12" i="21" s="1"/>
  <c r="L31" i="9"/>
  <c r="H128" i="5"/>
  <c r="H127" i="5" s="1"/>
  <c r="L64" i="9"/>
  <c r="H126" i="5"/>
  <c r="O26" i="20"/>
  <c r="D102" i="5"/>
  <c r="I102" i="5" s="1"/>
  <c r="C83" i="10"/>
  <c r="P94" i="9"/>
  <c r="C141" i="10"/>
  <c r="S132" i="9"/>
  <c r="AT132" i="9" s="1"/>
  <c r="C43" i="9"/>
  <c r="H72" i="5"/>
  <c r="R60" i="22"/>
  <c r="K39" i="9"/>
  <c r="K37" i="9" s="1"/>
  <c r="K9" i="9" s="1"/>
  <c r="S65" i="22"/>
  <c r="S49" i="22"/>
  <c r="S47" i="22"/>
  <c r="S31" i="22"/>
  <c r="AF31" i="22" s="1"/>
  <c r="AQ31" i="22" s="1"/>
  <c r="P37" i="22"/>
  <c r="J43" i="9"/>
  <c r="C86" i="10"/>
  <c r="E43" i="9"/>
  <c r="S43" i="22"/>
  <c r="H16" i="8"/>
  <c r="C18" i="5"/>
  <c r="H15" i="9" s="1"/>
  <c r="H10" i="9" s="1"/>
  <c r="C15" i="9"/>
  <c r="R79" i="22"/>
  <c r="G19" i="21"/>
  <c r="I43" i="9"/>
  <c r="F43" i="9"/>
  <c r="AE120" i="9"/>
  <c r="AF120" i="9" s="1"/>
  <c r="D43" i="9"/>
  <c r="G107" i="5"/>
  <c r="G64" i="9"/>
  <c r="H107" i="5"/>
  <c r="G70" i="9"/>
  <c r="L44" i="9"/>
  <c r="AT44" i="9" s="1"/>
  <c r="H88" i="5"/>
  <c r="N80" i="22"/>
  <c r="J82" i="22"/>
  <c r="J39" i="9"/>
  <c r="J37" i="9" s="1"/>
  <c r="D10" i="9"/>
  <c r="D9" i="9" s="1"/>
  <c r="H47" i="5"/>
  <c r="P26" i="20"/>
  <c r="C14" i="13" l="1"/>
  <c r="D63" i="10"/>
  <c r="D43" i="10"/>
  <c r="AT120" i="9"/>
  <c r="D42" i="27" s="1"/>
  <c r="H72" i="18"/>
  <c r="L72" i="18"/>
  <c r="L73" i="18" s="1"/>
  <c r="L43" i="9"/>
  <c r="I46" i="5"/>
  <c r="AF163" i="9"/>
  <c r="AE175" i="9" s="1"/>
  <c r="AE163" i="9"/>
  <c r="F39" i="12"/>
  <c r="D36" i="14"/>
  <c r="I36" i="14" s="1"/>
  <c r="L174" i="9"/>
  <c r="AT86" i="9"/>
  <c r="AT70" i="9"/>
  <c r="AT64" i="9"/>
  <c r="P163" i="9"/>
  <c r="M163" i="9"/>
  <c r="N167" i="9" s="1"/>
  <c r="H46" i="5"/>
  <c r="G43" i="9"/>
  <c r="H66" i="5"/>
  <c r="AQ86" i="22"/>
  <c r="K18" i="21"/>
  <c r="K19" i="21" s="1"/>
  <c r="J18" i="21"/>
  <c r="J19" i="21" s="1"/>
  <c r="AN37" i="22"/>
  <c r="AN82" i="22" s="1"/>
  <c r="D32" i="5" s="1"/>
  <c r="C116" i="10"/>
  <c r="D115" i="10" s="1"/>
  <c r="S94" i="9"/>
  <c r="S163" i="9" s="1"/>
  <c r="C53" i="23"/>
  <c r="Q54" i="23"/>
  <c r="C73" i="23"/>
  <c r="Q73" i="23" s="1"/>
  <c r="C20" i="13"/>
  <c r="C39" i="23"/>
  <c r="Q39" i="23" s="1"/>
  <c r="Q42" i="23"/>
  <c r="Q35" i="23"/>
  <c r="G31" i="9"/>
  <c r="AT31" i="9" s="1"/>
  <c r="C16" i="5"/>
  <c r="C13" i="5" s="1"/>
  <c r="AF86" i="22"/>
  <c r="H19" i="5"/>
  <c r="AD82" i="22"/>
  <c r="C29" i="5" s="1"/>
  <c r="S60" i="22"/>
  <c r="S27" i="22"/>
  <c r="AO82" i="22"/>
  <c r="D29" i="5" s="1"/>
  <c r="D28" i="5" s="1"/>
  <c r="AC80" i="22"/>
  <c r="AS60" i="22"/>
  <c r="H47" i="8"/>
  <c r="AC37" i="22"/>
  <c r="AS18" i="22"/>
  <c r="AO49" i="22"/>
  <c r="AS49" i="22"/>
  <c r="AS27" i="22"/>
  <c r="G16" i="9"/>
  <c r="AT16" i="9" s="1"/>
  <c r="F10" i="9"/>
  <c r="F9" i="9" s="1"/>
  <c r="AO51" i="22"/>
  <c r="AS51" i="22"/>
  <c r="H102" i="5"/>
  <c r="AF35" i="22"/>
  <c r="AQ29" i="22"/>
  <c r="AQ35" i="22" s="1"/>
  <c r="AQ79" i="22"/>
  <c r="AQ60" i="22"/>
  <c r="AF79" i="22"/>
  <c r="S79" i="22"/>
  <c r="AF60" i="22"/>
  <c r="S51" i="22"/>
  <c r="AF49" i="22"/>
  <c r="N37" i="22"/>
  <c r="N82" i="22" s="1"/>
  <c r="AC35" i="22"/>
  <c r="D18" i="5"/>
  <c r="D13" i="5" s="1"/>
  <c r="D102" i="10"/>
  <c r="E93" i="10" s="1"/>
  <c r="P82" i="22"/>
  <c r="S35" i="22"/>
  <c r="D69" i="10"/>
  <c r="D85" i="10"/>
  <c r="C10" i="9"/>
  <c r="G13" i="9"/>
  <c r="R37" i="22"/>
  <c r="R80" i="22"/>
  <c r="G15" i="9"/>
  <c r="D42" i="5"/>
  <c r="H42" i="5" s="1"/>
  <c r="D163" i="9"/>
  <c r="E12" i="14" s="1"/>
  <c r="K163" i="9"/>
  <c r="D15" i="14" s="1"/>
  <c r="H43" i="5"/>
  <c r="E10" i="9"/>
  <c r="E9" i="9" s="1"/>
  <c r="E163" i="9" s="1"/>
  <c r="E14" i="14" s="1"/>
  <c r="G11" i="9"/>
  <c r="L13" i="9"/>
  <c r="I10" i="9"/>
  <c r="I9" i="9" s="1"/>
  <c r="I163" i="9" s="1"/>
  <c r="D12" i="14" s="1"/>
  <c r="AT43" i="9" l="1"/>
  <c r="D36" i="27" s="1"/>
  <c r="S80" i="22"/>
  <c r="F34" i="12"/>
  <c r="F33" i="12"/>
  <c r="E42" i="10"/>
  <c r="AT174" i="9"/>
  <c r="E164" i="10"/>
  <c r="S175" i="9"/>
  <c r="V178" i="9" s="1"/>
  <c r="H73" i="18"/>
  <c r="AT94" i="9"/>
  <c r="D38" i="27" s="1"/>
  <c r="S37" i="22"/>
  <c r="AT13" i="9"/>
  <c r="C12" i="10" s="1"/>
  <c r="G174" i="9"/>
  <c r="D31" i="14"/>
  <c r="I31" i="14" s="1"/>
  <c r="AK120" i="9"/>
  <c r="AK163" i="9" s="1"/>
  <c r="D18" i="14"/>
  <c r="F18" i="12"/>
  <c r="G17" i="12" s="1"/>
  <c r="F163" i="9"/>
  <c r="E15" i="14" s="1"/>
  <c r="C15" i="10"/>
  <c r="C29" i="9"/>
  <c r="C52" i="23"/>
  <c r="Q53" i="23"/>
  <c r="C72" i="23"/>
  <c r="G196" i="4"/>
  <c r="D122" i="5" s="1"/>
  <c r="C26" i="9"/>
  <c r="G26" i="9" s="1"/>
  <c r="G25" i="9" s="1"/>
  <c r="C16" i="13"/>
  <c r="C25" i="13" s="1"/>
  <c r="H13" i="5"/>
  <c r="H16" i="5"/>
  <c r="G10" i="9"/>
  <c r="AS37" i="22"/>
  <c r="AC82" i="22"/>
  <c r="F37" i="12"/>
  <c r="AO35" i="22"/>
  <c r="AS35" i="22"/>
  <c r="H18" i="5"/>
  <c r="I12" i="14"/>
  <c r="H121" i="5"/>
  <c r="AQ80" i="22"/>
  <c r="AF18" i="22"/>
  <c r="AF51" i="22"/>
  <c r="AQ49" i="22"/>
  <c r="AQ51" i="22" s="1"/>
  <c r="AF27" i="22"/>
  <c r="AF80" i="22"/>
  <c r="R82" i="22"/>
  <c r="C114" i="9"/>
  <c r="G114" i="9" s="1"/>
  <c r="C194" i="4"/>
  <c r="C86" i="4"/>
  <c r="C85" i="4" s="1"/>
  <c r="C99" i="4" s="1"/>
  <c r="G88" i="4"/>
  <c r="C122" i="5" s="1"/>
  <c r="H114" i="9"/>
  <c r="L15" i="9"/>
  <c r="AT15" i="9" s="1"/>
  <c r="C39" i="9"/>
  <c r="AT39" i="9"/>
  <c r="J10" i="9"/>
  <c r="J9" i="9" s="1"/>
  <c r="J163" i="9" s="1"/>
  <c r="L11" i="9"/>
  <c r="AT11" i="9" s="1"/>
  <c r="F12" i="12"/>
  <c r="I18" i="14" l="1"/>
  <c r="D17" i="14"/>
  <c r="S82" i="22"/>
  <c r="S83" i="22" s="1"/>
  <c r="G36" i="12"/>
  <c r="H35" i="12" s="1"/>
  <c r="D120" i="5"/>
  <c r="D119" i="5" s="1"/>
  <c r="T172" i="9"/>
  <c r="F15" i="12"/>
  <c r="I15" i="14"/>
  <c r="E13" i="14"/>
  <c r="C10" i="10"/>
  <c r="L10" i="9"/>
  <c r="AT10" i="9" s="1"/>
  <c r="Q52" i="23"/>
  <c r="C71" i="23"/>
  <c r="Q71" i="23" s="1"/>
  <c r="C32" i="5"/>
  <c r="H29" i="9" s="1"/>
  <c r="L29" i="9" s="1"/>
  <c r="D31" i="5"/>
  <c r="C75" i="23"/>
  <c r="C28" i="5"/>
  <c r="H26" i="9"/>
  <c r="D34" i="14"/>
  <c r="D33" i="14" s="1"/>
  <c r="D32" i="14" s="1"/>
  <c r="C14" i="10"/>
  <c r="AQ27" i="22"/>
  <c r="AF37" i="22"/>
  <c r="AF82" i="22" s="1"/>
  <c r="AF85" i="22" s="1"/>
  <c r="AF92" i="22" s="1"/>
  <c r="AF96" i="22" s="1"/>
  <c r="D29" i="14"/>
  <c r="P75" i="23"/>
  <c r="C120" i="5"/>
  <c r="H122" i="5"/>
  <c r="C113" i="9"/>
  <c r="C112" i="9" s="1"/>
  <c r="C193" i="4"/>
  <c r="G194" i="4"/>
  <c r="L114" i="9"/>
  <c r="AT114" i="9" s="1"/>
  <c r="H113" i="9"/>
  <c r="H112" i="9" s="1"/>
  <c r="G86" i="4"/>
  <c r="C25" i="9"/>
  <c r="H29" i="5"/>
  <c r="H39" i="9"/>
  <c r="F14" i="12"/>
  <c r="D14" i="14"/>
  <c r="I14" i="14" s="1"/>
  <c r="D9" i="10" l="1"/>
  <c r="I13" i="14"/>
  <c r="G13" i="12"/>
  <c r="C207" i="4"/>
  <c r="G193" i="4"/>
  <c r="G207" i="4" s="1"/>
  <c r="D12" i="5"/>
  <c r="L26" i="9"/>
  <c r="AT26" i="9" s="1"/>
  <c r="C31" i="5"/>
  <c r="H31" i="5" s="1"/>
  <c r="C28" i="9"/>
  <c r="C9" i="9" s="1"/>
  <c r="C163" i="9" s="1"/>
  <c r="G29" i="9"/>
  <c r="G28" i="9" s="1"/>
  <c r="G9" i="9" s="1"/>
  <c r="H25" i="9"/>
  <c r="I34" i="14"/>
  <c r="I33" i="14" s="1"/>
  <c r="I32" i="14" s="1"/>
  <c r="H28" i="5"/>
  <c r="K21" i="21"/>
  <c r="AQ37" i="22"/>
  <c r="AQ82" i="22" s="1"/>
  <c r="AQ85" i="22" s="1"/>
  <c r="AQ92" i="22" s="1"/>
  <c r="AS92" i="22" s="1"/>
  <c r="G112" i="9"/>
  <c r="H32" i="5"/>
  <c r="H120" i="5"/>
  <c r="C119" i="5"/>
  <c r="L112" i="9"/>
  <c r="L113" i="9"/>
  <c r="C113" i="10"/>
  <c r="D112" i="10" s="1"/>
  <c r="E111" i="10" s="1"/>
  <c r="G113" i="9"/>
  <c r="G85" i="4"/>
  <c r="C39" i="10"/>
  <c r="D38" i="10" s="1"/>
  <c r="H28" i="9"/>
  <c r="D13" i="14"/>
  <c r="D28" i="14"/>
  <c r="AT112" i="9" l="1"/>
  <c r="D40" i="27" s="1"/>
  <c r="D213" i="4"/>
  <c r="C211" i="4"/>
  <c r="G163" i="9"/>
  <c r="G171" i="9" s="1"/>
  <c r="G99" i="4"/>
  <c r="G101" i="4" s="1"/>
  <c r="AT29" i="9"/>
  <c r="AT113" i="9"/>
  <c r="C25" i="10"/>
  <c r="I119" i="5"/>
  <c r="C12" i="5"/>
  <c r="J12" i="5" s="1"/>
  <c r="G208" i="4"/>
  <c r="L25" i="9"/>
  <c r="AT25" i="9" s="1"/>
  <c r="H9" i="9"/>
  <c r="D146" i="5"/>
  <c r="H119" i="5"/>
  <c r="E11" i="14"/>
  <c r="L28" i="9"/>
  <c r="AT28" i="9" s="1"/>
  <c r="D24" i="10" l="1"/>
  <c r="H163" i="9"/>
  <c r="G175" i="9"/>
  <c r="C146" i="5"/>
  <c r="H12" i="5"/>
  <c r="H146" i="5" s="1"/>
  <c r="L9" i="9"/>
  <c r="D16" i="13"/>
  <c r="C28" i="10"/>
  <c r="D27" i="10" s="1"/>
  <c r="E10" i="14"/>
  <c r="E9" i="14" s="1"/>
  <c r="E37" i="14" s="1"/>
  <c r="D11" i="14" l="1"/>
  <c r="D10" i="14" s="1"/>
  <c r="D9" i="14" s="1"/>
  <c r="F11" i="12"/>
  <c r="G10" i="12" s="1"/>
  <c r="H9" i="12" s="1"/>
  <c r="AT9" i="9"/>
  <c r="D34" i="27" s="1"/>
  <c r="D50" i="27" s="1"/>
  <c r="L163" i="9"/>
  <c r="D14" i="13" s="1"/>
  <c r="E8" i="10"/>
  <c r="AS93" i="22"/>
  <c r="AS94" i="22" s="1"/>
  <c r="I11" i="14" l="1"/>
  <c r="I10" i="14" s="1"/>
  <c r="I9" i="14" s="1"/>
  <c r="AT163" i="9"/>
  <c r="AT167" i="9" s="1"/>
  <c r="L175" i="9"/>
  <c r="AT175" i="9" l="1"/>
  <c r="C139" i="10"/>
  <c r="G17" i="14"/>
  <c r="G16" i="14" s="1"/>
  <c r="G32" i="12" l="1"/>
  <c r="H31" i="12" s="1"/>
  <c r="G30" i="14"/>
  <c r="I30" i="14" l="1"/>
  <c r="I29" i="14" s="1"/>
  <c r="I28" i="14" s="1"/>
  <c r="G29" i="14"/>
  <c r="G28" i="14" s="1"/>
  <c r="G37" i="14" s="1"/>
  <c r="D20" i="13" l="1"/>
  <c r="S146" i="9"/>
  <c r="AT146" i="9" s="1"/>
  <c r="C143" i="10" l="1"/>
  <c r="C142" i="10"/>
  <c r="D138" i="10" l="1"/>
  <c r="D162" i="10" s="1"/>
  <c r="C162" i="10"/>
  <c r="E119" i="10" l="1"/>
  <c r="E162" i="10" s="1"/>
  <c r="E165" i="10" s="1"/>
  <c r="D25" i="13"/>
  <c r="H16" i="12"/>
  <c r="F40" i="12"/>
  <c r="D16" i="14"/>
  <c r="D37" i="14" s="1"/>
  <c r="I19" i="14"/>
  <c r="I17" i="14" l="1"/>
  <c r="I16" i="14" s="1"/>
  <c r="I37" i="14" s="1"/>
  <c r="D27" i="13"/>
  <c r="H40" i="12"/>
  <c r="H46" i="12" s="1"/>
  <c r="G40" i="12"/>
  <c r="E48" i="6" l="1"/>
  <c r="P48" i="6" s="1"/>
  <c r="P206" i="6" s="1"/>
  <c r="P49" i="6"/>
</calcChain>
</file>

<file path=xl/comments1.xml><?xml version="1.0" encoding="utf-8"?>
<comments xmlns="http://schemas.openxmlformats.org/spreadsheetml/2006/main">
  <authors>
    <author>CONTABILIDAD</author>
  </authors>
  <commentList>
    <comment ref="D69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$5675, estan prestados al 25% para salarios.
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$64,390 Estan prestados al 25% para pago de salarios, en realidad el saldo es $201.10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$124,720, están prestados al fondo 25%
para salarios.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B11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<sst xmlns="http://schemas.openxmlformats.org/spreadsheetml/2006/main" count="2151" uniqueCount="872">
  <si>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</si>
  <si>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</si>
  <si>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</si>
  <si>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</si>
  <si>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</si>
  <si>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</si>
  <si>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</si>
  <si>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</si>
  <si>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</si>
  <si>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</si>
  <si>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</si>
  <si>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</si>
  <si>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</si>
  <si>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</si>
  <si>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</si>
  <si>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Cargo o Puesto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</si>
  <si>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</si>
  <si>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</si>
  <si>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</si>
  <si>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</si>
  <si>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</si>
  <si>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</si>
  <si>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</si>
  <si>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</si>
  <si>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</si>
  <si>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</si>
  <si>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</si>
  <si>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</si>
  <si>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</si>
  <si>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</si>
  <si>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</si>
  <si>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</si>
  <si>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</si>
  <si>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</si>
  <si>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</si>
  <si>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</si>
  <si>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</si>
  <si>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</si>
  <si>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</si>
  <si>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</si>
  <si>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</si>
  <si>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</si>
  <si>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</si>
  <si>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</si>
  <si>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</si>
  <si>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</si>
  <si>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</si>
  <si>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</si>
  <si>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</si>
  <si>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</si>
  <si>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</si>
  <si>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</si>
  <si>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</si>
  <si>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</si>
  <si>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</si>
  <si>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</si>
  <si>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</si>
  <si>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</si>
  <si>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</si>
  <si>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</si>
  <si>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</si>
  <si>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</si>
  <si>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</si>
  <si>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</si>
  <si>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</si>
  <si>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</si>
  <si>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</si>
  <si>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</si>
  <si>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</si>
  <si>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</si>
  <si>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</si>
  <si>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</si>
  <si>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</si>
  <si>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</si>
  <si>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</si>
  <si>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</si>
  <si>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</si>
  <si>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</si>
  <si>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</si>
  <si>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</si>
  <si>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</si>
  <si>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</si>
  <si>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</si>
  <si>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</si>
  <si>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</si>
  <si>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</si>
  <si>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</si>
  <si>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</si>
  <si>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</si>
  <si>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</si>
  <si>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</si>
  <si>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</si>
  <si>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</si>
  <si>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</si>
  <si>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</si>
  <si>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</si>
  <si>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</si>
  <si>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</si>
  <si>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</si>
  <si>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</si>
  <si>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</si>
  <si>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</si>
  <si>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</si>
  <si>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</si>
  <si>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</si>
  <si>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</si>
  <si>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</si>
  <si>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</si>
  <si>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</si>
  <si>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</si>
  <si>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</si>
  <si>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</si>
  <si>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</si>
  <si>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</si>
  <si>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</si>
  <si>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</si>
  <si>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</si>
  <si>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</si>
  <si>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</si>
  <si>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</si>
  <si>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</si>
  <si>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</si>
  <si>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</si>
  <si>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</si>
  <si>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</si>
  <si>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</si>
  <si>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</si>
  <si>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</si>
  <si>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</si>
  <si>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</si>
  <si>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</si>
  <si>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</si>
  <si>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</si>
  <si>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</si>
  <si>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</si>
  <si>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</si>
  <si>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</si>
  <si>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</si>
  <si>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</si>
  <si>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</si>
  <si>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</si>
  <si>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</si>
  <si>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</si>
  <si>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</si>
  <si>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</si>
  <si>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</si>
  <si>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</si>
  <si>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</si>
  <si>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</si>
  <si>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</si>
  <si>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</si>
  <si>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</si>
  <si>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</si>
  <si>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</si>
  <si>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</si>
  <si>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</si>
  <si>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</si>
  <si>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</si>
  <si>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</si>
  <si>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</si>
  <si>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</si>
  <si>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</si>
  <si>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</si>
  <si>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</si>
  <si>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</si>
  <si>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</si>
  <si>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</si>
  <si>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</si>
  <si>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</si>
  <si>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</si>
  <si>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</si>
  <si>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</si>
  <si>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</si>
  <si>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</si>
  <si>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</si>
  <si>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</si>
  <si>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</si>
  <si>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</si>
  <si>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</si>
  <si>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</si>
  <si>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</si>
  <si>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</si>
  <si>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</si>
  <si>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</si>
  <si>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</si>
  <si>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</si>
  <si>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</si>
  <si>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</si>
  <si>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</si>
  <si>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</si>
  <si>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</si>
  <si>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</si>
  <si>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</si>
  <si>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</si>
  <si>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</si>
  <si>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</si>
  <si>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</si>
  <si>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</si>
  <si>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</si>
  <si>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</si>
  <si>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</si>
  <si>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</si>
  <si>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</si>
  <si>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</si>
  <si>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</si>
  <si>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</si>
  <si>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</si>
  <si>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</si>
  <si>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</si>
  <si>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</si>
  <si>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</si>
  <si>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</si>
  <si>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</si>
  <si>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</si>
  <si>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</si>
  <si>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</si>
  <si>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</si>
  <si>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</si>
  <si>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</si>
  <si>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</si>
  <si>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</si>
  <si>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</si>
  <si>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</si>
  <si>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AREAS DE GESTION</t>
  </si>
  <si>
    <t>DES.SOC</t>
  </si>
  <si>
    <t>DES.ECON.</t>
  </si>
  <si>
    <t>DEUDA PUB.</t>
  </si>
  <si>
    <t>DES.EC.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</si>
  <si>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</si>
  <si>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</si>
  <si>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</si>
  <si>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</si>
  <si>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</si>
  <si>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</si>
  <si>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</si>
  <si>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</si>
  <si>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</si>
  <si>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</si>
  <si>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</si>
  <si>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</si>
  <si>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</si>
  <si>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</si>
  <si>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</si>
  <si>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</si>
  <si>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</si>
  <si>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</si>
  <si>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</si>
  <si>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</si>
  <si>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</si>
  <si>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</si>
  <si>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</si>
  <si>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</si>
  <si>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</si>
  <si>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</si>
  <si>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</si>
  <si>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</si>
  <si>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</si>
  <si>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</si>
  <si>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</si>
  <si>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</si>
  <si>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</si>
  <si>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</si>
  <si>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</si>
  <si>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</si>
  <si>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</si>
  <si>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</si>
  <si>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</si>
  <si>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</si>
  <si>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</si>
  <si>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</si>
  <si>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</si>
  <si>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</si>
  <si>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</si>
  <si>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</si>
  <si>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</si>
  <si>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</si>
  <si>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</si>
  <si>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</si>
  <si>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</si>
  <si>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</si>
  <si>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</si>
  <si>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</si>
  <si>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</si>
  <si>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</si>
  <si>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</si>
  <si>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</si>
  <si>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</si>
  <si>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</si>
  <si>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</si>
  <si>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</si>
  <si>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</si>
  <si>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</si>
  <si>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</si>
  <si>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</si>
  <si>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</si>
  <si>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</si>
  <si>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</si>
  <si>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</si>
  <si>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</si>
  <si>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</si>
  <si>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</si>
  <si>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</si>
  <si>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</si>
  <si>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</si>
  <si>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</si>
  <si>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</si>
  <si>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</si>
  <si>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</si>
  <si>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</si>
  <si>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</si>
  <si>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</si>
  <si>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</si>
  <si>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</si>
  <si>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</si>
  <si>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</si>
  <si>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</si>
  <si>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</si>
  <si>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</si>
  <si>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</si>
  <si>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</si>
  <si>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</si>
  <si>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</si>
  <si>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</si>
  <si>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</si>
  <si>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</si>
  <si>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</si>
  <si>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</si>
  <si>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</si>
  <si>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</si>
  <si>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</si>
  <si>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</si>
  <si>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</si>
  <si>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</si>
  <si>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</si>
  <si>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</si>
  <si>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</si>
  <si>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</si>
  <si>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</si>
  <si>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</si>
  <si>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</si>
  <si>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</si>
  <si>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</si>
  <si>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</si>
  <si>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</si>
  <si>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</si>
  <si>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</si>
  <si>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</si>
  <si>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</si>
  <si>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</si>
  <si>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</si>
  <si>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</si>
  <si>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</si>
  <si>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</si>
  <si>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</si>
  <si>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</si>
  <si>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</si>
  <si>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</si>
  <si>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</si>
  <si>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</si>
  <si>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</si>
  <si>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Contador</t>
  </si>
  <si>
    <t>Aux. Cont.</t>
  </si>
  <si>
    <t>Jefe 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</si>
  <si>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</si>
  <si>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</si>
  <si>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</si>
  <si>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</si>
  <si>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</si>
  <si>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</si>
  <si>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</si>
  <si>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</si>
  <si>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Sub-Total Línea de Trabajo 0201</t>
  </si>
  <si>
    <t>Enc. Servicios Generales</t>
  </si>
  <si>
    <t>Recolector</t>
  </si>
  <si>
    <t>Jefe CAM</t>
  </si>
  <si>
    <t xml:space="preserve"> Gran Total Líneas de Trabajo</t>
  </si>
  <si>
    <t>NOMBRE</t>
  </si>
  <si>
    <t>CARGO</t>
  </si>
  <si>
    <t>Sub-Total Línea de Trabajo 0101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</si>
  <si>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</si>
  <si>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</si>
  <si>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</si>
  <si>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</si>
  <si>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</si>
  <si>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</si>
  <si>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</si>
  <si>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</si>
  <si>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</si>
  <si>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</si>
  <si>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</si>
  <si>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</si>
  <si>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</si>
  <si>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</si>
  <si>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</si>
  <si>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</si>
  <si>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</si>
  <si>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</si>
  <si>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</si>
  <si>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</si>
  <si>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</si>
  <si>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</si>
  <si>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</si>
  <si>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</si>
  <si>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</si>
  <si>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</si>
  <si>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</si>
  <si>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</si>
  <si>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</si>
  <si>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</si>
  <si>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</si>
  <si>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</si>
  <si>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</si>
  <si>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</si>
  <si>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</si>
  <si>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</si>
  <si>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</si>
  <si>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</si>
  <si>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</si>
  <si>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</si>
  <si>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</si>
  <si>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</si>
  <si>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CMAC</t>
  </si>
  <si>
    <t xml:space="preserve">Agentes </t>
  </si>
  <si>
    <t>Barrendero</t>
  </si>
  <si>
    <t>Motorista</t>
  </si>
  <si>
    <t>Operadores</t>
  </si>
  <si>
    <t>Fontaneros y Valvuleros</t>
  </si>
  <si>
    <t>TOTAL LINEAS</t>
  </si>
  <si>
    <t>TOTAL UNIDAD PRESUPUESTARIA 01:</t>
  </si>
  <si>
    <t>FISDL</t>
  </si>
  <si>
    <t>ARRENDAMIENTOS DE BIENES</t>
  </si>
  <si>
    <t>Encargada de Proyectos</t>
  </si>
  <si>
    <t>Clinica Municipal</t>
  </si>
  <si>
    <t>PFGL/FISDL</t>
  </si>
  <si>
    <t>Secretaria Municipal</t>
  </si>
  <si>
    <t>Encargado de Comunicaciones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</si>
  <si>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</si>
  <si>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</si>
  <si>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</si>
  <si>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</si>
  <si>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</si>
  <si>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</si>
  <si>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</si>
  <si>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</si>
  <si>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</si>
  <si>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</si>
  <si>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</si>
  <si>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</si>
  <si>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</si>
  <si>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</si>
  <si>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</si>
  <si>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</si>
  <si>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</si>
  <si>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</si>
  <si>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0503</t>
  </si>
  <si>
    <t>Amortización de la Deuda Pública</t>
  </si>
  <si>
    <t>Comisiones y Gtos. Bancarios</t>
  </si>
  <si>
    <t>De Educación y Recreación</t>
  </si>
  <si>
    <t>De Salud y Saneamiento Ambiental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</si>
  <si>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</si>
  <si>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</si>
  <si>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</si>
  <si>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</si>
  <si>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</si>
  <si>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</si>
  <si>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</si>
  <si>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</si>
  <si>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</si>
  <si>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</si>
  <si>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</si>
  <si>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</si>
  <si>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</si>
  <si>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</si>
  <si>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</si>
  <si>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</si>
  <si>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</si>
  <si>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</si>
  <si>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</si>
  <si>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TOTAL INVERSIÓN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</si>
  <si>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</si>
  <si>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</si>
  <si>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</si>
  <si>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</si>
  <si>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</si>
  <si>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TRANSF. CTES. AL SECTOR PUBLICO (INSAFORP)</t>
  </si>
  <si>
    <t>Proyectos y Programas de Inversión Diversos</t>
  </si>
  <si>
    <t>Viales</t>
  </si>
  <si>
    <t>Obras de Infraestructura Diversas</t>
  </si>
  <si>
    <t>CONSULTORÍAS, ESTUDIOS E INVESTIGACIONES DIVERSAS</t>
  </si>
  <si>
    <t>TRANSF. CTES. AL SECTOR PUBLICO</t>
  </si>
  <si>
    <t>Total Anual +
Beneficio Adicional.</t>
  </si>
  <si>
    <t>CONSOLIDADO DEL ENDEUDAMIENTO PÚBLICO</t>
  </si>
  <si>
    <t>Proyectos de desarrollo social</t>
  </si>
  <si>
    <t>Proyectos de Desarrollo  Económico</t>
  </si>
  <si>
    <t>Proyectos de desarrollo económico</t>
  </si>
  <si>
    <t>Encargado</t>
  </si>
  <si>
    <t>Promotores ambientales</t>
  </si>
  <si>
    <t>Instructor</t>
  </si>
  <si>
    <t>UNIDAD AMB. G.R.</t>
  </si>
  <si>
    <t>Escuela de Fútbol</t>
  </si>
  <si>
    <t>LINEA DE TRABAJO: 05 AMORTIZACIÓN DEL ENDEUDAMIENTO PÚBLICO</t>
  </si>
  <si>
    <t>De Instituciones Descentralizadas no Empresariales</t>
  </si>
  <si>
    <t>DE INSTITUCIONES DESCENTRALIZADAS NO EMPRESARIALES</t>
  </si>
  <si>
    <t>0101 Direccion y Administración Municipal</t>
  </si>
  <si>
    <t>0102 Administración Financiera Municipal</t>
  </si>
  <si>
    <t>Institución: Alcaldìa Municipal de Villa El Carmen, Departamento de Cuscatlan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</si>
  <si>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</si>
  <si>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</si>
  <si>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</si>
  <si>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</si>
  <si>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</si>
  <si>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</si>
  <si>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</si>
  <si>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</si>
  <si>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</si>
  <si>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</si>
  <si>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</si>
  <si>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</si>
  <si>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</si>
  <si>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</si>
  <si>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</si>
  <si>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</si>
  <si>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</si>
  <si>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</si>
  <si>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</si>
  <si>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</si>
  <si>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</si>
  <si>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</si>
  <si>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</si>
  <si>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</si>
  <si>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</si>
  <si>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</si>
  <si>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</si>
  <si>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</si>
  <si>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</si>
  <si>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</si>
  <si>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</si>
  <si>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</si>
  <si>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</si>
  <si>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</si>
  <si>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</si>
  <si>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</si>
  <si>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</si>
  <si>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</si>
  <si>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</si>
  <si>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</si>
  <si>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</si>
  <si>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</si>
  <si>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SUB- TOTAL</t>
  </si>
  <si>
    <t>Código Presup</t>
  </si>
  <si>
    <t>Código del Proyecto</t>
  </si>
  <si>
    <t>Presupuesto Municipal, Por Areas de Gestión</t>
  </si>
  <si>
    <t>COMPOSICION</t>
  </si>
  <si>
    <t>LINEA DE TRAB.</t>
  </si>
  <si>
    <t>UNID. PRES.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</si>
  <si>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</si>
  <si>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</si>
  <si>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</si>
  <si>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</si>
  <si>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</si>
  <si>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</si>
  <si>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</si>
  <si>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</si>
  <si>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Agua Potable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</si>
  <si>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</si>
  <si>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</si>
  <si>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</si>
  <si>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</si>
  <si>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</si>
  <si>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</si>
  <si>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</si>
  <si>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Concepto de Egresos</t>
  </si>
  <si>
    <t>Fuentes de Financiamientos</t>
  </si>
  <si>
    <t>Total Inversión</t>
  </si>
  <si>
    <t>Totales</t>
  </si>
  <si>
    <t>SALDO INICIAL EN BANCO</t>
  </si>
  <si>
    <t xml:space="preserve">PRESTACIONES </t>
  </si>
  <si>
    <t>Enc. Unidad de Niñez, Adolescencia, Juventud y Casa de la Cultura</t>
  </si>
  <si>
    <t>U. de Niñez, Adoles., Juv. y Casa de la Cultura</t>
  </si>
  <si>
    <t>Plaza</t>
  </si>
  <si>
    <t>Unidad</t>
  </si>
  <si>
    <t>DES. ECON.</t>
  </si>
  <si>
    <t>CÓDIGO</t>
  </si>
  <si>
    <t>EN DÓLARES DE LOS ESTADOS UNIDOS DE AMERICA</t>
  </si>
  <si>
    <t>Proy. de uso privativos</t>
  </si>
  <si>
    <t>Proyectos de Desarrollo  Social</t>
  </si>
  <si>
    <t>TRANSF. CTES. AL SECTOR PUB. (COMURES, CDA, INSAFORP)</t>
  </si>
  <si>
    <t>Otros Proyectos y programas.</t>
  </si>
  <si>
    <t>Proyeccion Social</t>
  </si>
  <si>
    <t>Unidad Ambiental</t>
  </si>
  <si>
    <t>Enc. De Catastro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</si>
  <si>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</si>
  <si>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</si>
  <si>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</si>
  <si>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</si>
  <si>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</si>
  <si>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</si>
  <si>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</si>
  <si>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</si>
  <si>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</si>
  <si>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</si>
  <si>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</si>
  <si>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</si>
  <si>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Médico Gral. De Clinica Municipal</t>
  </si>
  <si>
    <t>Promotora Social</t>
  </si>
  <si>
    <t>Enc. de UACI</t>
  </si>
  <si>
    <t>Asesor Jurídico</t>
  </si>
  <si>
    <t>BENEFICIO ADICIONAL</t>
  </si>
  <si>
    <t>Por Plaza</t>
  </si>
  <si>
    <t>Sub- Total Linea 01:</t>
  </si>
  <si>
    <t>Sub- Total Linea 02:</t>
  </si>
  <si>
    <t>Transf. Ctes.</t>
  </si>
  <si>
    <t>Ingresos</t>
  </si>
  <si>
    <t>Beneficios adicionales</t>
  </si>
  <si>
    <t>0502</t>
  </si>
  <si>
    <t>Amort.  Endeud. Púb.</t>
  </si>
  <si>
    <t>Amort.  Intereses</t>
  </si>
  <si>
    <t>CUENTAS POR PAGAR DE AÑOS ANT. GTOS. CTES.</t>
  </si>
  <si>
    <t>Eléctricas y Comunicaciones</t>
  </si>
  <si>
    <t>AMORTIZACIÓN DE INTERESES</t>
  </si>
  <si>
    <t>51102</t>
  </si>
  <si>
    <t>MEDICOS HOSPITALARIOS</t>
  </si>
  <si>
    <t>Encargado de la Unidad OMADIS.</t>
  </si>
  <si>
    <t>INSAFORP</t>
  </si>
  <si>
    <t>25% FODES</t>
  </si>
  <si>
    <t>FONDO PROPIO</t>
  </si>
  <si>
    <t>AFP</t>
  </si>
  <si>
    <t>No. MESES</t>
  </si>
  <si>
    <t>Enc. De LA Oficina Municipal de Apoyo a las Personas con Discapacidad.</t>
  </si>
  <si>
    <t>PRODUCTOS  DE CUERO Y CAUCHO</t>
  </si>
  <si>
    <t>Proy. Des. Econ.</t>
  </si>
  <si>
    <t>DES. SOC.</t>
  </si>
  <si>
    <t>Seguridad Social Púb.</t>
  </si>
  <si>
    <t>Intereses por prestamos.</t>
  </si>
  <si>
    <t>Jefe del CMAC (Ad-honorem)</t>
  </si>
  <si>
    <t>Adm. del Proyecto de Agua Potable</t>
  </si>
  <si>
    <t>Jeje Operador</t>
  </si>
  <si>
    <t>AGUINALDO</t>
  </si>
  <si>
    <t xml:space="preserve">Dietas </t>
  </si>
  <si>
    <t>Gastos de Representación</t>
  </si>
  <si>
    <t>Salarios</t>
  </si>
  <si>
    <t>50% del 25% FODES</t>
  </si>
  <si>
    <t>FORMA DE PAGO SALARIOS AÑO 2018</t>
  </si>
  <si>
    <t>Horas Extras</t>
  </si>
  <si>
    <t>Indemnizaciones</t>
  </si>
  <si>
    <t>BONIFICA-
CIONES</t>
  </si>
  <si>
    <t>Diferencia Ingresos -Egresos</t>
  </si>
  <si>
    <t>3-463</t>
  </si>
  <si>
    <t>4 CUOTAS</t>
  </si>
  <si>
    <t>VEHICULO</t>
  </si>
  <si>
    <t>10-960</t>
  </si>
  <si>
    <t>12 CUOTAS</t>
  </si>
  <si>
    <t>FIDELIDAD Y/O FONDOS</t>
  </si>
  <si>
    <t>INCENDIO</t>
  </si>
  <si>
    <t>615 99</t>
  </si>
  <si>
    <t>616 01</t>
  </si>
  <si>
    <t>616 02</t>
  </si>
  <si>
    <t>616 03</t>
  </si>
  <si>
    <t>616 04</t>
  </si>
  <si>
    <t>616 06</t>
  </si>
  <si>
    <t>616 99</t>
  </si>
  <si>
    <t>Instalación de Medidores en Sistemas de Agua Potable del Municipio.</t>
  </si>
  <si>
    <t>Reparación de Concreto de Calle a Comunidad Vista Hermosa, Cantón Concepción.</t>
  </si>
  <si>
    <t>Total Línea de Trabajo</t>
  </si>
  <si>
    <t>SALDO INICIAL EN CAJA</t>
  </si>
  <si>
    <t>Construcción de Aulas Provisionales para Bachillerato  en Complejo Educativo Rafael Barraza Rodriguez.</t>
  </si>
  <si>
    <t>1er. Reg. Propietario</t>
  </si>
  <si>
    <t>2do.  Reg. Propietario</t>
  </si>
  <si>
    <t>3er.   Reg. Suplente</t>
  </si>
  <si>
    <t>4to  Reg. Propietario</t>
  </si>
  <si>
    <t>5to. Reg. Propietario</t>
  </si>
  <si>
    <t>6to. Reg. Propietario</t>
  </si>
  <si>
    <t>1er.   Reg. Suplente</t>
  </si>
  <si>
    <t>4o  Reg. Suplente</t>
  </si>
  <si>
    <t>Operador</t>
  </si>
  <si>
    <t>Auxiliar de Tesoreria</t>
  </si>
  <si>
    <t>Bonif.</t>
  </si>
  <si>
    <t>TRANSF. CTES. AL SECTOR PUB. (COMURES, CDA, ASOMUC)</t>
  </si>
  <si>
    <t>Cercado de zonas verdes en Maria Mercedes y Vista Hermosa de Cantón Concepción.</t>
  </si>
  <si>
    <t>Concreteado de Calle a Sector los Cruces, Cantón Concepción.</t>
  </si>
  <si>
    <t>Préstamos Internos</t>
  </si>
  <si>
    <t>3er.   Reg. Propietario</t>
  </si>
  <si>
    <t>AREA DE GESTION 1: CONDUCCIÓN ADMINISTRATIVA</t>
  </si>
  <si>
    <t>CUENTAS POR PAGAR DE AÑOS ANT. GTOS. DE CAPITAL.</t>
  </si>
  <si>
    <t>Cuentas por Pagar de Años Anteriores Gastos de Capital</t>
  </si>
  <si>
    <t>Productos Químicos</t>
  </si>
  <si>
    <t>Sueldos</t>
  </si>
  <si>
    <t>Productos Textiles y Vestuarios</t>
  </si>
  <si>
    <t>Libros, Textos, Útiles de Enseñanza y Publicaciones</t>
  </si>
  <si>
    <t>Bienes de Uso y Consumo Diversos</t>
  </si>
  <si>
    <t>A Personas Naturales</t>
  </si>
  <si>
    <t>Productos de Papel y Cartón</t>
  </si>
  <si>
    <t>Transportes, Fletes y Almacenamientos</t>
  </si>
  <si>
    <t>Atenciones Oficiales</t>
  </si>
  <si>
    <t>Servicios Generales y Arrendamientos Diversos</t>
  </si>
  <si>
    <t>Materiales Eléctricos</t>
  </si>
  <si>
    <t>Servicios de Publicidad</t>
  </si>
  <si>
    <t>Becas</t>
  </si>
  <si>
    <t>CUENTAS POR PAGAR DE AÑOS ANTERIORES GASTOS DE CAPITAL</t>
  </si>
  <si>
    <t>Reparacion, Limpieza y Chapeo de Calles y Caminos Vecinales en Diferentes Sectores del Municipio y Predios Municipales.</t>
  </si>
  <si>
    <t>Bonificacio-
nes</t>
  </si>
  <si>
    <t>TRANSF. CTES. AL SECTOR PUBLICO (COMURES, CDA, ASOMUC)</t>
  </si>
  <si>
    <t>Concejo, Alcaldesa, Secretaria Municipal,  Sindicatura, Auditoria Interna, Comunicaciones, Unidad de Acceso a la Información Publica,  Proyección Social, Motorista.</t>
  </si>
  <si>
    <t>Administradora Financiera, Presupuesto,Tesorería, Contabilidad, Cuentas Corrientes, Catastro, UACI, Colecturía,</t>
  </si>
  <si>
    <t>Proyectos, Registro del Estado Familiar, Ordenanzas, Clínica Municipal, Casa de la cultura, Unidad de la Mujer, Unidad de la  Niñez,  Adolescencia y Juventud, Unidad Contravencional, Oficina Municipal de Apoyo a la Discapacidad.</t>
  </si>
  <si>
    <t>CMAC, Servicios Generales, Agua Potable, Unidad de Medio Ambiental, Cementerios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</si>
  <si>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genero.</t>
  </si>
  <si>
    <t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</t>
  </si>
  <si>
    <t>Todas aquellas erogaciones destinadas a amortizar  el endeudamiento financiero municipal así como los gastos inherentes a la misma en concepto de intereses, comisiones, etc, por el uso del ahorro nacional.</t>
  </si>
  <si>
    <t>INVERSION 75%</t>
  </si>
  <si>
    <t>INVERSION 2%</t>
  </si>
  <si>
    <t xml:space="preserve"> Encargado de Presupuesto</t>
  </si>
  <si>
    <t>Presupuesto</t>
  </si>
  <si>
    <t>Encargado de mantenimiento</t>
  </si>
  <si>
    <t>Servicios varios</t>
  </si>
  <si>
    <t>Encargado de U. de la Mujer</t>
  </si>
  <si>
    <t>U. de la Mujer</t>
  </si>
  <si>
    <t>Productos textiles y vestuarios</t>
  </si>
  <si>
    <t>Productos quimicos</t>
  </si>
  <si>
    <t>Energia electrica</t>
  </si>
  <si>
    <t>Arrendamiento de bienes inmuebles</t>
  </si>
  <si>
    <t>Maquinaria y equipo</t>
  </si>
  <si>
    <t>Libros Textos, Utiles de enseñanza, y publicaciones</t>
  </si>
  <si>
    <t>Compra de vehiculo</t>
  </si>
  <si>
    <t>Vehiculo de transporte.</t>
  </si>
  <si>
    <t>Fortalecimiento al Sector Agrícola, Villa El Carmen, Cuscatlán 2020.</t>
  </si>
  <si>
    <t>Otros Proyectos y Programas</t>
  </si>
  <si>
    <t>Salario por jornal</t>
  </si>
  <si>
    <t>Productos de papel y cartón</t>
  </si>
  <si>
    <t>Combustibles y lubricantes</t>
  </si>
  <si>
    <t>Herramientas, Repuestos y Accesorios</t>
  </si>
  <si>
    <t>Bienes de uso y consumo diverso</t>
  </si>
  <si>
    <t>Bienes muebles diversos</t>
  </si>
  <si>
    <t>Servicios generales y arrendamientos diversos</t>
  </si>
  <si>
    <t>Mobiliarios</t>
  </si>
  <si>
    <t>Maquinaria y Equipos</t>
  </si>
  <si>
    <t>Equipos informaticos</t>
  </si>
  <si>
    <t>Productos agropecuarios y forestales</t>
  </si>
  <si>
    <t>Materiales no metálicos y productos derivados</t>
  </si>
  <si>
    <t>Materiales metálicos y productos derivados</t>
  </si>
  <si>
    <t>Productos químicos</t>
  </si>
  <si>
    <t>Productos no metálicos y productos derivados.</t>
  </si>
  <si>
    <t>Productos metálicos y productos derivados.</t>
  </si>
  <si>
    <t>Materiales eléctricos.</t>
  </si>
  <si>
    <t>Bienes muebles diversos.</t>
  </si>
  <si>
    <t>Mantenimiento y Reparacion de bienes muebles</t>
  </si>
  <si>
    <t>MAQUINARIA Y EQUIPOS</t>
  </si>
  <si>
    <t>2% FODES</t>
  </si>
  <si>
    <t>(AG 4) 2%</t>
  </si>
  <si>
    <t>(AG 3 ) 2%</t>
  </si>
  <si>
    <t>FONDOS FISDL</t>
  </si>
  <si>
    <t>Fondo General
75% FODES</t>
  </si>
  <si>
    <t>Fondo General
2% FODES</t>
  </si>
  <si>
    <t>Estado de emergencia por Depresión Tropical 12-E 2019</t>
  </si>
  <si>
    <t>Cuentas por Pagar de Años Anteriores</t>
  </si>
  <si>
    <t>FODES 75%</t>
  </si>
  <si>
    <t>FODES 2%</t>
  </si>
  <si>
    <t>Fondo General 75%</t>
  </si>
  <si>
    <t>Rampa sobre autopista.</t>
  </si>
  <si>
    <t>Aceras Peatonales en área Urbana.</t>
  </si>
  <si>
    <t>Construcción de muros en diferentes Sectores del Municipio 2020.</t>
  </si>
  <si>
    <t>ALCALDIA MUNICIPAL DE VILLA EL CARMEN
DEPARTAMENTO DE CUSCATLAN
PROGRAMACIÓN DE INGRESOS REALES 2021</t>
  </si>
  <si>
    <t>FONDOS EMERGENCIA GOES</t>
  </si>
  <si>
    <t>Proyección de Recursos Humanos para el Año 2021</t>
  </si>
  <si>
    <t>Servicios Generales y Motortista ad honorem</t>
  </si>
  <si>
    <t>Oficial de Gestión Documental y de Archivo</t>
  </si>
  <si>
    <t>Cementerios</t>
  </si>
  <si>
    <t>Año 2021</t>
  </si>
  <si>
    <t>EJERCICIO FINANCIERO FISCAL: 2021</t>
  </si>
  <si>
    <t>AÑO 2021</t>
  </si>
  <si>
    <t>3501</t>
  </si>
  <si>
    <t>3502</t>
  </si>
  <si>
    <t>Asistencia a los Hogares</t>
  </si>
  <si>
    <t xml:space="preserve">AG 3 </t>
  </si>
  <si>
    <t>F. Emergencia 3501</t>
  </si>
  <si>
    <t>F. Emergencia 3502</t>
  </si>
  <si>
    <t>6</t>
  </si>
  <si>
    <t>0303</t>
  </si>
  <si>
    <t>Todos aquellos proyectos tangibles e intangibles ejecutados por la Alcaldía, utilizando diferentes fuentes de financiamiento orientados a fortalecer el capital humano a fin de mejorar la calidad de vida de los habitantes del municipio con el propósito de que se incorporen activamente a la economía local, ademas todas las acciones que conllevan a la prevencion de la violencia, y fomento de la equidad de genero. 2% adicional FODES.</t>
  </si>
  <si>
    <t>Todos aquellos proyectos tangibles ejecutados por la Alcaldía  utilizando diferentes fuentes de financiamiento orientados a fortalecer  el apoyo a la producción de bienes y servicios y el desarrollo de la infraestructura para mejorar el desempeño y distribución de la producción del municipio. 2% Adicional FODES.</t>
  </si>
  <si>
    <t>ALCALDIA MUNICIPAL DE VILLA EL CARMEN
DEPARTAMENTO DE CUSCATLAN
PLANILLA POR CONTRATO
AÑO: 2021</t>
  </si>
  <si>
    <t>35</t>
  </si>
  <si>
    <t>3504</t>
  </si>
  <si>
    <t>PANDEMIA COVID -19</t>
  </si>
  <si>
    <t>Atención a la Salud.</t>
  </si>
  <si>
    <t>Todas aquellas acciones, proyectos o programas, ejecutados con el fin de contener la propagacion del COVID-19, y mitigar el impacto del mismo, en los horgares y la economia local.</t>
  </si>
  <si>
    <t>Asistencia a los Hogares.</t>
  </si>
  <si>
    <t>Recuperación  Económica</t>
  </si>
  <si>
    <t>36</t>
  </si>
  <si>
    <t>TORMENTA TROPICAL AMANDA</t>
  </si>
  <si>
    <t>3601</t>
  </si>
  <si>
    <t>Rehabilitacion de Caminos</t>
  </si>
  <si>
    <t>Todas aquellas acciones, proyectos o programas, ejecutados con el fin de mitigar el impacto de la Tormenta tropical Amanda.</t>
  </si>
  <si>
    <t>3603</t>
  </si>
  <si>
    <t>Rehabilitacion de Infraestructura</t>
  </si>
  <si>
    <t>EJERCICIO FISCAL: 2 0 21</t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</si>
  <si>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2021</t>
    </r>
  </si>
  <si>
    <t>EJERCICIO FINANCIERO FISCAL: DEL 01 DE ENERO AL 31 DE DICIEMBRE DE 2021</t>
  </si>
  <si>
    <t xml:space="preserve">ENERO </t>
  </si>
  <si>
    <t xml:space="preserve">MAYO </t>
  </si>
  <si>
    <t xml:space="preserve">NOVIEMBRE </t>
  </si>
  <si>
    <t>CAPITAL</t>
  </si>
  <si>
    <t>INTERES</t>
  </si>
  <si>
    <t>MES</t>
  </si>
  <si>
    <t>Recuperación Económica</t>
  </si>
  <si>
    <t>F. Emergencia 3504</t>
  </si>
  <si>
    <t>F. Emergencia 3601</t>
  </si>
  <si>
    <t>F. Emergencia 3603</t>
  </si>
  <si>
    <t>Concreteado de Calle Barcelona, Cantón Santa Lucia, Municipio El Carmen, Departamento de Cuscatlán.</t>
  </si>
  <si>
    <t>Concreteado de Calle a Rio Mucuyo y Sector Los Gonzalez, Cantón El Carmen, Municipio El Carmen, Cuscatlán.</t>
  </si>
  <si>
    <t>Concreteado de Calle en Comunidad Maria Mercedes, Cantón Concepción, Municipio El Carmen, Departamento De Cuscatlán</t>
  </si>
  <si>
    <t>Compra de Camión Compactador para la Recoleccion de Desechos Solidos de 18 Yardas3.</t>
  </si>
  <si>
    <t>Costrucción de Polideportivo Fase 4, Municipio de Villa El Carmen, Departamento de Cuscatlán.</t>
  </si>
  <si>
    <t>Instalación de Alumbrado Público en Diferentes Sectores del Municipio, Villa El Carmen, Cuscatlán.</t>
  </si>
  <si>
    <t>Electricas y Comunicaciones</t>
  </si>
  <si>
    <t>Adquisición de Insumos de Proteccion, Limpieza y Sanitización/FONDOS DL650/GOES/COVID-19.</t>
  </si>
  <si>
    <t>Implementacion del Programa de Salud a Familias del Municipio en Respuesta a La Pandemia del COVID-19/FONDOS DL650/GOES/COVID-19.</t>
  </si>
  <si>
    <t>Programa de Recuperación y Reactivación Económica Dirigida a Emprendedores del Municipio, Afectados Por La Pandemia del COVID-19/FONDOS DL650/GOES/COVID-19.</t>
  </si>
  <si>
    <t>Obras de Mitigación e Hidráulicas y Ampliación de Boveda en Puente El Chupadero Afectado por Tormenta Amanda, Calle Principal Cantón Candelaria, Municipio de El Carmen, Departamento de Cuscatlán. Año 2020.</t>
  </si>
  <si>
    <t>Construción de Viviendas Temporales Afectadas por La Tormenta Amanda, en Diferentes Sectores del Municipio, El Carmen Cuscatlán/ FONDOS EMERGENCIAS GOES.</t>
  </si>
  <si>
    <t>Construccion de Muros y Obras Hidráulicas en Diferentes Sectores Afectados por La Tormenta Amanda, Municipio El Carmen, Departamento de Cuscatlán 2020/ FONDO DL 650/GOES.</t>
  </si>
  <si>
    <t>CONSTRUCCION DE VIVIENDA PERMANENTE AFECTADO POR TORMENTA MANDA</t>
  </si>
  <si>
    <t>Construccion De Vivienda Permanente Afectado Por Tormenta Manda</t>
  </si>
  <si>
    <t>Construccion de Vivienda Permanente Afectado por Tormenta Amanda.</t>
  </si>
  <si>
    <t>El Carmen/12I-UNE/PAPSES-IP 2019/AT EEP PES IP-2019.</t>
  </si>
  <si>
    <t>El Carmen/12I-UNE/PAPSES-IP 2019/ESP EEP PES IP-2019.</t>
  </si>
  <si>
    <t>FONDOS EMERGENCIA PANDEMIA COVID-19</t>
  </si>
  <si>
    <t>FONDOS DE EMERGENICIA T. AMANDA</t>
  </si>
  <si>
    <t>Adquisición de Equipo Informático y de Oficina 2021.</t>
  </si>
  <si>
    <t>Reparaciones y Mejoras al Edificio y Parque Municipal 2021.</t>
  </si>
  <si>
    <t>5% Preinversión FODES 2021.</t>
  </si>
  <si>
    <t>Consultorio Medico Municipal Dr. David Humberto Hernández Sánchez 2021.</t>
  </si>
  <si>
    <t>Recolección, Transporte y Disposición Final de  Desechos  Sólidos del Municipio 2021.</t>
  </si>
  <si>
    <t>Ampliación y Mejoras del Sistema de  Agua Potable en Diferentes Sectores del Municipio 2021.</t>
  </si>
  <si>
    <t>Campaña de de Limpieza, deschatarizacion y Fumigacion en los diferentes sectores del municipio 2021.</t>
  </si>
  <si>
    <t>Mantenimiento y Reparaciones en los Sistemas de Agua Potable del Municipio 2021.</t>
  </si>
  <si>
    <t>3604</t>
  </si>
  <si>
    <t>Fortalecimiento a la Educación 2021.</t>
  </si>
  <si>
    <t>Escuela de Fútbol Municipal y Apoyo al Deporte 2021.</t>
  </si>
  <si>
    <t>Niñez, Adolescencia y Juventud 2021.</t>
  </si>
  <si>
    <t>Casa de La Cultura 2021.</t>
  </si>
  <si>
    <t>Fiestas Patronales y Sectoriales 2021.</t>
  </si>
  <si>
    <t>Mejoras de Viviendas Permanentes y Construcción de Viviendas Temporales 2021.</t>
  </si>
  <si>
    <t>Instalacion del servicio de Energia Electrica para Familias en  Diferentes Sectores del Municipio 2021.</t>
  </si>
  <si>
    <t>Programa de la Mujer y Genero 2021.</t>
  </si>
  <si>
    <t>Apoyo Especial al Adulto Mayor 2021</t>
  </si>
  <si>
    <t>Programa de emprendedurismo en el Marco de la Unidad de Desarrollo Economico y Local. 2021</t>
  </si>
  <si>
    <t>Concreteado de Calles y Caminos vecinales en diferentes Sectores</t>
  </si>
  <si>
    <t>Perforacion de Pozo Profundo y Equipamiento, de Canton Candelaria y La Paz.</t>
  </si>
  <si>
    <t>Perforacion de Pozo Profundo y Equipamiento, Canton El Carmen</t>
  </si>
  <si>
    <t>Compra de Terreno y construcción de nuevo Cementerio Municipal</t>
  </si>
  <si>
    <t>Construcción de Planta de Tratamiento Agua para el Pozo de El Progreso, Cantón La Paz.</t>
  </si>
  <si>
    <t>Ejercicio Financiero Fiscal: 2021</t>
  </si>
  <si>
    <t>}</t>
  </si>
  <si>
    <t>EJERCICIO FISCAL 2021</t>
  </si>
  <si>
    <t>ALCALDIA MUNICIPAL DE VILLA EL CARMEN, DEPARTAMENTO DE CUSCATLAN,  PRESUPUESTO DE EGRESOS APROBADO PARA EL AÑO 2021</t>
  </si>
  <si>
    <t>AG 3  0302</t>
  </si>
  <si>
    <t>ATENCIÓN A LA SALUD</t>
  </si>
  <si>
    <t>ASISTENCIA  A LOS HOGARES</t>
  </si>
  <si>
    <t>RECUPERACIÓN ECONOMICA</t>
  </si>
  <si>
    <t>REHABILITACIÓN DE CAMINOS</t>
  </si>
  <si>
    <t>REHABILITACIÓN DE INFRAESTRUCTURA</t>
  </si>
  <si>
    <t>Atención a la Salud</t>
  </si>
  <si>
    <t>PANDEMIA DEL COVID- 19</t>
  </si>
  <si>
    <t>5% Preinversión FODES 2019.</t>
  </si>
  <si>
    <t>FONDO GENERAL (FODES/FISDL/F. E,MERG)</t>
  </si>
  <si>
    <r>
      <t xml:space="preserve">INSTITUCION: </t>
    </r>
    <r>
      <rPr>
        <b/>
        <sz val="10"/>
        <rFont val="Arial"/>
        <family val="1"/>
      </rPr>
      <t>ALCALDIA MUNICIPAL DE VILLA EL CARMEN, DEPARTAMENTO DE CUSCATLAN</t>
    </r>
  </si>
  <si>
    <r>
      <t xml:space="preserve">EJERCICIO FINANCIERO FISCAL:  </t>
    </r>
    <r>
      <rPr>
        <b/>
        <sz val="10"/>
        <rFont val="Arial"/>
        <family val="1"/>
      </rPr>
      <t xml:space="preserve"> DEL 01 ENERO AL 31 DE DICIEMBRE DE 2021</t>
    </r>
  </si>
  <si>
    <r>
      <t xml:space="preserve">AREA DE GESTION: </t>
    </r>
    <r>
      <rPr>
        <b/>
        <sz val="10"/>
        <rFont val="Arial"/>
        <family val="1"/>
      </rPr>
      <t>3 DESARROLLO SOCIAL</t>
    </r>
  </si>
  <si>
    <r>
      <t>UNIDAD PRESUPUESTARIA:</t>
    </r>
    <r>
      <rPr>
        <b/>
        <sz val="10"/>
        <rFont val="Arial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</si>
  <si>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Arial"/>
        <family val="1"/>
      </rPr>
      <t>03 INVERSION E INFRAESTRUCTURA SOCIAL</t>
    </r>
  </si>
  <si>
    <r>
      <t xml:space="preserve">UNIDAD AMBIENTAL: </t>
    </r>
    <r>
      <rPr>
        <sz val="10"/>
        <rFont val="Arial"/>
        <family val="2"/>
      </rPr>
      <t>Implementacion de Proyecto de Reciclaje, manejo de desechos solidos y divulgacion de Normativa ambiental en el municipio, reforestacion y  divulgacion de normativa forestal para la proteccion del recurso hidrico en el municipio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</si>
</sst>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  <numFmt numFmtId="175" formatCode="0.0000"/>
    <numFmt numFmtId="176" formatCode="#,##0.000000000000"/>
    <numFmt numFmtId="177" formatCode="_-[$$-440A]* #,##0.00_-;\-[$$-440A]* #,##0.00_-;_-[$$-440A]* &quot;-&quot;??_-;_-@_-"/>
    <numFmt numFmtId="178" formatCode="_([$$-409]* #,##0.000_);_([$$-409]* \(#,##0.000\);_([$$-409]* &quot;-&quot;??_);_(@_)"/>
    <numFmt numFmtId="179" formatCode="0.000"/>
    <numFmt numFmtId="180" formatCode="#,##0.000000000"/>
    <numFmt numFmtId="181" formatCode="_-[$$-440A]* #,##0.000_ ;_-[$$-440A]* \-#,##0.000\ ;_-[$$-440A]* &quot;-&quot;??_ ;_-@_ "/>
  </numFmts>
  <fonts count="88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b/>
      <sz val="10"/>
      <name val="Calisto MT"/>
      <family val="1"/>
    </font>
    <font>
      <sz val="10"/>
      <name val="Calisto MT"/>
      <family val="1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name val="Arial Rounded MT Bold"/>
      <family val="2"/>
    </font>
    <font>
      <b/>
      <sz val="9"/>
      <color theme="0"/>
      <name val="Bookman Old Style"/>
      <family val="1"/>
    </font>
    <font>
      <sz val="4"/>
      <name val="Arial"/>
      <family val="2"/>
    </font>
    <font>
      <sz val="7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0"/>
      <name val="Arial"/>
      <family val="1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9"/>
      <color theme="0"/>
      <name val="Bookman Old Style"/>
      <family val="1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22" borderId="0" applyNumberFormat="0" applyBorder="0" applyAlignment="0" applyProtection="0"/>
    <xf numFmtId="0" fontId="4" fillId="23" borderId="4" applyNumberFormat="0" applyFon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26" fillId="0" borderId="8" applyNumberFormat="0" applyFill="0" applyAlignment="0" applyProtection="0"/>
    <xf numFmtId="0" fontId="36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23" borderId="4" applyNumberFormat="0" applyFont="0" applyAlignment="0" applyProtection="0"/>
  </cellStyleXfs>
  <cellXfs count="1494">
    <xf numFmtId="0" fontId="0" fillId="0" borderId="0" xfId="0"/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167" fontId="3" fillId="0" borderId="0" xfId="0" applyNumberFormat="1" applyFont="1"/>
    <xf numFmtId="4" fontId="3" fillId="0" borderId="0" xfId="31" applyNumberFormat="1" applyFont="1"/>
    <xf numFmtId="4" fontId="4" fillId="0" borderId="22" xfId="31" applyNumberFormat="1" applyFont="1" applyBorder="1"/>
    <xf numFmtId="0" fontId="4" fillId="0" borderId="0" xfId="0" applyFont="1"/>
    <xf numFmtId="4" fontId="4" fillId="0" borderId="26" xfId="31" applyNumberFormat="1" applyFont="1" applyBorder="1"/>
    <xf numFmtId="4" fontId="4" fillId="0" borderId="27" xfId="31" applyNumberFormat="1" applyFont="1" applyBorder="1"/>
    <xf numFmtId="4" fontId="4" fillId="0" borderId="21" xfId="31" applyNumberFormat="1" applyFont="1" applyBorder="1"/>
    <xf numFmtId="0" fontId="3" fillId="0" borderId="30" xfId="0" applyFont="1" applyBorder="1" applyAlignment="1">
      <alignment horizontal="center"/>
    </xf>
    <xf numFmtId="4" fontId="0" fillId="0" borderId="0" xfId="0" applyNumberFormat="1"/>
    <xf numFmtId="4" fontId="2" fillId="0" borderId="0" xfId="31" applyNumberFormat="1"/>
    <xf numFmtId="49" fontId="2" fillId="0" borderId="0" xfId="31" applyNumberFormat="1" applyAlignment="1">
      <alignment horizontal="left"/>
    </xf>
    <xf numFmtId="167" fontId="3" fillId="0" borderId="0" xfId="31" applyNumberFormat="1" applyFont="1"/>
    <xf numFmtId="165" fontId="3" fillId="0" borderId="0" xfId="36" applyFont="1"/>
    <xf numFmtId="164" fontId="0" fillId="0" borderId="0" xfId="37" applyFont="1"/>
    <xf numFmtId="165" fontId="0" fillId="0" borderId="0" xfId="33" applyFont="1"/>
    <xf numFmtId="43" fontId="0" fillId="0" borderId="0" xfId="0" applyNumberFormat="1"/>
    <xf numFmtId="49" fontId="3" fillId="0" borderId="4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20" xfId="0" applyBorder="1"/>
    <xf numFmtId="49" fontId="0" fillId="0" borderId="0" xfId="0" applyNumberFormat="1"/>
    <xf numFmtId="0" fontId="17" fillId="0" borderId="47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justify" wrapText="1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37" fillId="0" borderId="0" xfId="0" applyFont="1"/>
    <xf numFmtId="8" fontId="37" fillId="0" borderId="0" xfId="0" applyNumberFormat="1" applyFont="1" applyAlignment="1">
      <alignment horizontal="center"/>
    </xf>
    <xf numFmtId="0" fontId="13" fillId="0" borderId="20" xfId="0" applyFont="1" applyBorder="1"/>
    <xf numFmtId="0" fontId="3" fillId="0" borderId="47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wrapText="1"/>
    </xf>
    <xf numFmtId="0" fontId="3" fillId="0" borderId="6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8" fontId="4" fillId="0" borderId="46" xfId="0" applyNumberFormat="1" applyFont="1" applyBorder="1" applyAlignment="1">
      <alignment horizontal="center"/>
    </xf>
    <xf numFmtId="8" fontId="4" fillId="0" borderId="63" xfId="0" applyNumberFormat="1" applyFont="1" applyBorder="1" applyAlignment="1">
      <alignment horizontal="center"/>
    </xf>
    <xf numFmtId="164" fontId="37" fillId="0" borderId="0" xfId="0" applyNumberFormat="1" applyFont="1"/>
    <xf numFmtId="8" fontId="4" fillId="0" borderId="36" xfId="0" applyNumberFormat="1" applyFont="1" applyBorder="1" applyAlignment="1">
      <alignment horizontal="center"/>
    </xf>
    <xf numFmtId="8" fontId="4" fillId="0" borderId="10" xfId="0" applyNumberFormat="1" applyFont="1" applyBorder="1" applyAlignment="1">
      <alignment horizontal="center"/>
    </xf>
    <xf numFmtId="8" fontId="3" fillId="0" borderId="10" xfId="0" applyNumberFormat="1" applyFont="1" applyBorder="1" applyAlignment="1">
      <alignment horizontal="center"/>
    </xf>
    <xf numFmtId="8" fontId="3" fillId="0" borderId="36" xfId="0" applyNumberFormat="1" applyFont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8" fontId="3" fillId="0" borderId="52" xfId="0" applyNumberFormat="1" applyFont="1" applyBorder="1" applyAlignment="1">
      <alignment horizontal="center"/>
    </xf>
    <xf numFmtId="8" fontId="3" fillId="0" borderId="64" xfId="0" applyNumberFormat="1" applyFont="1" applyBorder="1" applyAlignment="1">
      <alignment horizontal="center"/>
    </xf>
    <xf numFmtId="8" fontId="3" fillId="0" borderId="30" xfId="0" applyNumberFormat="1" applyFont="1" applyBorder="1" applyAlignment="1">
      <alignment horizontal="center"/>
    </xf>
    <xf numFmtId="8" fontId="3" fillId="0" borderId="47" xfId="0" applyNumberFormat="1" applyFont="1" applyBorder="1" applyAlignment="1">
      <alignment horizontal="center"/>
    </xf>
    <xf numFmtId="10" fontId="38" fillId="0" borderId="35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/>
    <xf numFmtId="0" fontId="13" fillId="0" borderId="65" xfId="0" applyFont="1" applyBorder="1" applyAlignment="1">
      <alignment horizontal="center"/>
    </xf>
    <xf numFmtId="0" fontId="13" fillId="0" borderId="66" xfId="0" applyFont="1" applyBorder="1"/>
    <xf numFmtId="167" fontId="5" fillId="0" borderId="67" xfId="35" applyNumberFormat="1" applyFont="1" applyBorder="1" applyAlignment="1">
      <alignment horizontal="center"/>
    </xf>
    <xf numFmtId="4" fontId="13" fillId="0" borderId="0" xfId="0" applyNumberFormat="1" applyFont="1"/>
    <xf numFmtId="0" fontId="13" fillId="0" borderId="0" xfId="0" applyFont="1"/>
    <xf numFmtId="0" fontId="7" fillId="0" borderId="20" xfId="0" applyFont="1" applyBorder="1"/>
    <xf numFmtId="0" fontId="13" fillId="0" borderId="68" xfId="0" applyFont="1" applyBorder="1" applyAlignment="1">
      <alignment horizontal="center"/>
    </xf>
    <xf numFmtId="0" fontId="13" fillId="0" borderId="50" xfId="0" applyFont="1" applyBorder="1"/>
    <xf numFmtId="0" fontId="13" fillId="0" borderId="16" xfId="0" applyFont="1" applyBorder="1" applyAlignment="1">
      <alignment horizontal="center"/>
    </xf>
    <xf numFmtId="0" fontId="5" fillId="0" borderId="69" xfId="0" applyFont="1" applyBorder="1"/>
    <xf numFmtId="0" fontId="5" fillId="0" borderId="66" xfId="0" applyFont="1" applyBorder="1"/>
    <xf numFmtId="167" fontId="5" fillId="0" borderId="70" xfId="35" applyNumberFormat="1" applyFont="1" applyBorder="1" applyAlignment="1">
      <alignment horizontal="center"/>
    </xf>
    <xf numFmtId="167" fontId="5" fillId="0" borderId="23" xfId="35" applyNumberFormat="1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61" xfId="0" applyFont="1" applyBorder="1"/>
    <xf numFmtId="167" fontId="5" fillId="0" borderId="30" xfId="35" applyNumberFormat="1" applyFont="1" applyBorder="1" applyAlignment="1">
      <alignment horizontal="center"/>
    </xf>
    <xf numFmtId="4" fontId="4" fillId="0" borderId="0" xfId="0" applyNumberFormat="1" applyFont="1"/>
    <xf numFmtId="0" fontId="13" fillId="0" borderId="61" xfId="0" applyFont="1" applyBorder="1"/>
    <xf numFmtId="167" fontId="5" fillId="0" borderId="30" xfId="35" applyNumberFormat="1" applyFont="1" applyBorder="1"/>
    <xf numFmtId="0" fontId="41" fillId="0" borderId="0" xfId="0" applyFont="1"/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center"/>
    </xf>
    <xf numFmtId="49" fontId="43" fillId="0" borderId="41" xfId="0" applyNumberFormat="1" applyFont="1" applyBorder="1" applyAlignment="1">
      <alignment horizontal="center"/>
    </xf>
    <xf numFmtId="49" fontId="43" fillId="0" borderId="33" xfId="0" applyNumberFormat="1" applyFont="1" applyBorder="1" applyAlignment="1">
      <alignment horizontal="center"/>
    </xf>
    <xf numFmtId="49" fontId="43" fillId="0" borderId="73" xfId="0" applyNumberFormat="1" applyFont="1" applyBorder="1" applyAlignment="1">
      <alignment horizontal="center"/>
    </xf>
    <xf numFmtId="49" fontId="43" fillId="0" borderId="44" xfId="0" applyNumberFormat="1" applyFont="1" applyBorder="1" applyAlignment="1">
      <alignment horizontal="center"/>
    </xf>
    <xf numFmtId="49" fontId="43" fillId="0" borderId="35" xfId="0" applyNumberFormat="1" applyFont="1" applyBorder="1" applyAlignment="1">
      <alignment horizontal="center"/>
    </xf>
    <xf numFmtId="49" fontId="43" fillId="0" borderId="31" xfId="0" applyNumberFormat="1" applyFont="1" applyBorder="1" applyAlignment="1">
      <alignment horizontal="center"/>
    </xf>
    <xf numFmtId="49" fontId="0" fillId="0" borderId="33" xfId="0" applyNumberFormat="1" applyBorder="1"/>
    <xf numFmtId="49" fontId="3" fillId="0" borderId="34" xfId="0" applyNumberFormat="1" applyFont="1" applyBorder="1"/>
    <xf numFmtId="49" fontId="0" fillId="0" borderId="34" xfId="0" applyNumberFormat="1" applyBorder="1"/>
    <xf numFmtId="0" fontId="3" fillId="0" borderId="32" xfId="0" applyFont="1" applyBorder="1" applyAlignment="1">
      <alignment horizontal="center"/>
    </xf>
    <xf numFmtId="49" fontId="41" fillId="0" borderId="0" xfId="0" applyNumberFormat="1" applyFont="1"/>
    <xf numFmtId="49" fontId="3" fillId="0" borderId="30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0" xfId="0" applyNumberFormat="1" applyBorder="1"/>
    <xf numFmtId="0" fontId="9" fillId="0" borderId="0" xfId="0" applyFont="1" applyAlignment="1">
      <alignment horizontal="right"/>
    </xf>
    <xf numFmtId="0" fontId="13" fillId="0" borderId="20" xfId="0" applyFont="1" applyBorder="1" applyAlignment="1">
      <alignment wrapText="1"/>
    </xf>
    <xf numFmtId="0" fontId="45" fillId="0" borderId="0" xfId="0" applyFont="1" applyAlignment="1">
      <alignment horizontal="center"/>
    </xf>
    <xf numFmtId="167" fontId="0" fillId="26" borderId="0" xfId="0" applyNumberFormat="1" applyFill="1"/>
    <xf numFmtId="0" fontId="0" fillId="26" borderId="0" xfId="0" applyFill="1"/>
    <xf numFmtId="164" fontId="0" fillId="26" borderId="0" xfId="0" applyNumberFormat="1" applyFill="1"/>
    <xf numFmtId="164" fontId="41" fillId="0" borderId="0" xfId="37" applyFont="1"/>
    <xf numFmtId="164" fontId="15" fillId="0" borderId="33" xfId="37" applyFont="1" applyBorder="1" applyAlignment="1">
      <alignment horizontal="center"/>
    </xf>
    <xf numFmtId="164" fontId="3" fillId="0" borderId="34" xfId="37" applyFont="1" applyBorder="1" applyAlignment="1">
      <alignment horizontal="center" wrapText="1"/>
    </xf>
    <xf numFmtId="164" fontId="4" fillId="0" borderId="34" xfId="37" applyFont="1" applyBorder="1"/>
    <xf numFmtId="164" fontId="3" fillId="0" borderId="34" xfId="37" applyFont="1" applyBorder="1"/>
    <xf numFmtId="164" fontId="0" fillId="0" borderId="35" xfId="37" applyFont="1" applyBorder="1"/>
    <xf numFmtId="164" fontId="3" fillId="0" borderId="47" xfId="37" applyFont="1" applyBorder="1"/>
    <xf numFmtId="164" fontId="15" fillId="0" borderId="76" xfId="37" applyFont="1" applyBorder="1" applyAlignment="1">
      <alignment horizontal="center"/>
    </xf>
    <xf numFmtId="164" fontId="3" fillId="0" borderId="23" xfId="37" applyFont="1" applyBorder="1"/>
    <xf numFmtId="164" fontId="3" fillId="0" borderId="77" xfId="37" applyFont="1" applyBorder="1"/>
    <xf numFmtId="164" fontId="3" fillId="0" borderId="30" xfId="37" applyFont="1" applyBorder="1" applyAlignment="1">
      <alignment horizontal="center"/>
    </xf>
    <xf numFmtId="164" fontId="2" fillId="0" borderId="34" xfId="37" applyBorder="1"/>
    <xf numFmtId="164" fontId="3" fillId="0" borderId="30" xfId="37" applyFont="1" applyBorder="1"/>
    <xf numFmtId="164" fontId="3" fillId="0" borderId="73" xfId="37" applyFont="1" applyBorder="1" applyAlignment="1">
      <alignment horizontal="center"/>
    </xf>
    <xf numFmtId="8" fontId="49" fillId="0" borderId="0" xfId="0" applyNumberFormat="1" applyFont="1"/>
    <xf numFmtId="164" fontId="3" fillId="0" borderId="33" xfId="37" applyFont="1" applyBorder="1" applyAlignment="1">
      <alignment horizontal="right"/>
    </xf>
    <xf numFmtId="164" fontId="3" fillId="0" borderId="34" xfId="37" applyFont="1" applyBorder="1" applyAlignment="1">
      <alignment horizontal="right"/>
    </xf>
    <xf numFmtId="164" fontId="4" fillId="0" borderId="34" xfId="37" applyFont="1" applyBorder="1" applyAlignment="1">
      <alignment horizontal="right"/>
    </xf>
    <xf numFmtId="164" fontId="4" fillId="0" borderId="35" xfId="37" applyFont="1" applyBorder="1" applyAlignment="1">
      <alignment horizontal="right"/>
    </xf>
    <xf numFmtId="164" fontId="3" fillId="0" borderId="35" xfId="37" applyFont="1" applyBorder="1" applyAlignment="1">
      <alignment horizontal="right"/>
    </xf>
    <xf numFmtId="164" fontId="3" fillId="0" borderId="30" xfId="37" applyFont="1" applyBorder="1" applyAlignment="1">
      <alignment horizontal="right"/>
    </xf>
    <xf numFmtId="164" fontId="4" fillId="0" borderId="22" xfId="37" applyFont="1" applyBorder="1"/>
    <xf numFmtId="164" fontId="4" fillId="0" borderId="21" xfId="37" applyFont="1" applyBorder="1"/>
    <xf numFmtId="164" fontId="3" fillId="0" borderId="22" xfId="37" applyFont="1" applyBorder="1"/>
    <xf numFmtId="164" fontId="3" fillId="0" borderId="21" xfId="37" applyFont="1" applyBorder="1"/>
    <xf numFmtId="164" fontId="0" fillId="0" borderId="22" xfId="37" applyFont="1" applyBorder="1"/>
    <xf numFmtId="164" fontId="0" fillId="0" borderId="21" xfId="37" applyFont="1" applyBorder="1"/>
    <xf numFmtId="164" fontId="12" fillId="0" borderId="22" xfId="37" applyFont="1" applyBorder="1"/>
    <xf numFmtId="164" fontId="12" fillId="0" borderId="21" xfId="37" applyFont="1" applyBorder="1"/>
    <xf numFmtId="164" fontId="0" fillId="0" borderId="29" xfId="37" applyFont="1" applyBorder="1"/>
    <xf numFmtId="164" fontId="0" fillId="0" borderId="78" xfId="37" applyFont="1" applyBorder="1"/>
    <xf numFmtId="164" fontId="3" fillId="0" borderId="32" xfId="37" applyFont="1" applyBorder="1"/>
    <xf numFmtId="0" fontId="3" fillId="0" borderId="0" xfId="0" applyFont="1" applyAlignment="1">
      <alignment horizontal="center" wrapText="1"/>
    </xf>
    <xf numFmtId="173" fontId="3" fillId="0" borderId="46" xfId="0" applyNumberFormat="1" applyFont="1" applyBorder="1"/>
    <xf numFmtId="173" fontId="3" fillId="0" borderId="10" xfId="0" applyNumberFormat="1" applyFont="1" applyBorder="1"/>
    <xf numFmtId="173" fontId="4" fillId="0" borderId="10" xfId="0" applyNumberFormat="1" applyFont="1" applyBorder="1"/>
    <xf numFmtId="173" fontId="3" fillId="0" borderId="30" xfId="0" applyNumberFormat="1" applyFont="1" applyBorder="1"/>
    <xf numFmtId="0" fontId="38" fillId="0" borderId="35" xfId="0" applyFont="1" applyBorder="1" applyAlignment="1">
      <alignment horizontal="center" vertical="center"/>
    </xf>
    <xf numFmtId="170" fontId="4" fillId="0" borderId="0" xfId="0" applyNumberFormat="1" applyFont="1"/>
    <xf numFmtId="173" fontId="4" fillId="0" borderId="0" xfId="0" applyNumberFormat="1" applyFont="1"/>
    <xf numFmtId="8" fontId="4" fillId="0" borderId="0" xfId="0" applyNumberFormat="1" applyFont="1"/>
    <xf numFmtId="167" fontId="13" fillId="0" borderId="23" xfId="35" applyNumberFormat="1" applyFont="1" applyBorder="1"/>
    <xf numFmtId="167" fontId="5" fillId="0" borderId="67" xfId="35" applyNumberFormat="1" applyFont="1" applyBorder="1"/>
    <xf numFmtId="167" fontId="13" fillId="0" borderId="67" xfId="35" applyNumberFormat="1" applyFont="1" applyBorder="1"/>
    <xf numFmtId="167" fontId="13" fillId="0" borderId="49" xfId="35" applyNumberFormat="1" applyFont="1" applyBorder="1"/>
    <xf numFmtId="167" fontId="13" fillId="0" borderId="67" xfId="35" applyNumberFormat="1" applyFont="1" applyBorder="1" applyAlignment="1">
      <alignment horizontal="center"/>
    </xf>
    <xf numFmtId="167" fontId="5" fillId="0" borderId="47" xfId="35" applyNumberFormat="1" applyFont="1" applyBorder="1" applyAlignment="1">
      <alignment horizontal="center"/>
    </xf>
    <xf numFmtId="167" fontId="5" fillId="0" borderId="47" xfId="35" applyNumberFormat="1" applyFont="1" applyBorder="1"/>
    <xf numFmtId="0" fontId="13" fillId="0" borderId="33" xfId="0" applyFont="1" applyBorder="1"/>
    <xf numFmtId="0" fontId="13" fillId="0" borderId="33" xfId="0" applyFont="1" applyBorder="1" applyAlignment="1">
      <alignment horizontal="center"/>
    </xf>
    <xf numFmtId="49" fontId="13" fillId="0" borderId="33" xfId="0" applyNumberFormat="1" applyFont="1" applyBorder="1" applyAlignment="1">
      <alignment horizontal="center"/>
    </xf>
    <xf numFmtId="167" fontId="13" fillId="0" borderId="33" xfId="35" applyNumberFormat="1" applyFont="1" applyBorder="1"/>
    <xf numFmtId="0" fontId="13" fillId="0" borderId="34" xfId="0" applyFont="1" applyBorder="1"/>
    <xf numFmtId="0" fontId="13" fillId="0" borderId="34" xfId="0" applyFont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167" fontId="13" fillId="26" borderId="34" xfId="35" applyNumberFormat="1" applyFont="1" applyFill="1" applyBorder="1" applyAlignment="1">
      <alignment horizontal="center"/>
    </xf>
    <xf numFmtId="167" fontId="13" fillId="0" borderId="34" xfId="35" applyNumberFormat="1" applyFont="1" applyBorder="1"/>
    <xf numFmtId="167" fontId="5" fillId="0" borderId="34" xfId="35" applyNumberFormat="1" applyFont="1" applyBorder="1"/>
    <xf numFmtId="0" fontId="13" fillId="0" borderId="79" xfId="0" applyFont="1" applyBorder="1"/>
    <xf numFmtId="0" fontId="5" fillId="0" borderId="79" xfId="0" applyFont="1" applyBorder="1" applyAlignment="1">
      <alignment horizontal="center"/>
    </xf>
    <xf numFmtId="49" fontId="13" fillId="0" borderId="79" xfId="0" applyNumberFormat="1" applyFont="1" applyBorder="1" applyAlignment="1">
      <alignment horizontal="center"/>
    </xf>
    <xf numFmtId="167" fontId="5" fillId="0" borderId="79" xfId="35" applyNumberFormat="1" applyFont="1" applyBorder="1" applyAlignment="1">
      <alignment horizontal="center"/>
    </xf>
    <xf numFmtId="167" fontId="5" fillId="0" borderId="79" xfId="35" applyNumberFormat="1" applyFont="1" applyBorder="1"/>
    <xf numFmtId="0" fontId="13" fillId="0" borderId="79" xfId="0" applyFont="1" applyBorder="1" applyAlignment="1">
      <alignment horizontal="center"/>
    </xf>
    <xf numFmtId="167" fontId="13" fillId="0" borderId="79" xfId="35" applyNumberFormat="1" applyFont="1" applyBorder="1" applyAlignment="1">
      <alignment horizontal="center"/>
    </xf>
    <xf numFmtId="0" fontId="13" fillId="0" borderId="37" xfId="0" applyFont="1" applyBorder="1"/>
    <xf numFmtId="0" fontId="13" fillId="0" borderId="37" xfId="0" applyFont="1" applyBorder="1" applyAlignment="1">
      <alignment horizontal="center"/>
    </xf>
    <xf numFmtId="49" fontId="13" fillId="0" borderId="37" xfId="0" applyNumberFormat="1" applyFont="1" applyBorder="1" applyAlignment="1">
      <alignment horizontal="center"/>
    </xf>
    <xf numFmtId="167" fontId="13" fillId="0" borderId="37" xfId="35" applyNumberFormat="1" applyFont="1" applyBorder="1"/>
    <xf numFmtId="0" fontId="13" fillId="0" borderId="80" xfId="0" applyFont="1" applyBorder="1"/>
    <xf numFmtId="0" fontId="5" fillId="0" borderId="80" xfId="0" applyFont="1" applyBorder="1" applyAlignment="1">
      <alignment horizontal="center"/>
    </xf>
    <xf numFmtId="49" fontId="13" fillId="0" borderId="80" xfId="0" applyNumberFormat="1" applyFont="1" applyBorder="1" applyAlignment="1">
      <alignment horizontal="center"/>
    </xf>
    <xf numFmtId="167" fontId="5" fillId="0" borderId="80" xfId="35" applyNumberFormat="1" applyFont="1" applyBorder="1" applyAlignment="1">
      <alignment horizontal="center"/>
    </xf>
    <xf numFmtId="0" fontId="5" fillId="0" borderId="80" xfId="0" applyFont="1" applyBorder="1"/>
    <xf numFmtId="49" fontId="5" fillId="0" borderId="80" xfId="0" applyNumberFormat="1" applyFont="1" applyBorder="1" applyAlignment="1">
      <alignment horizontal="center"/>
    </xf>
    <xf numFmtId="0" fontId="5" fillId="0" borderId="34" xfId="0" applyFont="1" applyBorder="1"/>
    <xf numFmtId="167" fontId="5" fillId="0" borderId="34" xfId="35" applyNumberFormat="1" applyFont="1" applyBorder="1" applyAlignment="1">
      <alignment horizontal="center"/>
    </xf>
    <xf numFmtId="167" fontId="5" fillId="0" borderId="35" xfId="35" applyNumberFormat="1" applyFont="1" applyBorder="1" applyAlignment="1">
      <alignment horizontal="center"/>
    </xf>
    <xf numFmtId="0" fontId="5" fillId="0" borderId="30" xfId="0" applyFont="1" applyBorder="1"/>
    <xf numFmtId="49" fontId="5" fillId="0" borderId="30" xfId="0" applyNumberFormat="1" applyFont="1" applyBorder="1" applyAlignment="1">
      <alignment horizontal="center"/>
    </xf>
    <xf numFmtId="0" fontId="13" fillId="0" borderId="30" xfId="0" applyFont="1" applyBorder="1"/>
    <xf numFmtId="49" fontId="13" fillId="0" borderId="30" xfId="0" applyNumberFormat="1" applyFont="1" applyBorder="1" applyAlignment="1">
      <alignment horizontal="center"/>
    </xf>
    <xf numFmtId="10" fontId="38" fillId="0" borderId="33" xfId="0" applyNumberFormat="1" applyFont="1" applyBorder="1" applyAlignment="1">
      <alignment horizontal="center" vertical="center"/>
    </xf>
    <xf numFmtId="9" fontId="38" fillId="0" borderId="33" xfId="0" applyNumberFormat="1" applyFont="1" applyBorder="1" applyAlignment="1">
      <alignment horizontal="center" vertical="center"/>
    </xf>
    <xf numFmtId="9" fontId="8" fillId="0" borderId="33" xfId="0" applyNumberFormat="1" applyFont="1" applyBorder="1" applyAlignment="1">
      <alignment horizontal="center" vertical="center"/>
    </xf>
    <xf numFmtId="10" fontId="38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8" fontId="0" fillId="26" borderId="0" xfId="0" applyNumberFormat="1" applyFill="1"/>
    <xf numFmtId="167" fontId="3" fillId="26" borderId="0" xfId="0" applyNumberFormat="1" applyFont="1" applyFill="1"/>
    <xf numFmtId="172" fontId="4" fillId="0" borderId="0" xfId="0" applyNumberFormat="1" applyFont="1"/>
    <xf numFmtId="0" fontId="16" fillId="0" borderId="31" xfId="0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left"/>
    </xf>
    <xf numFmtId="0" fontId="45" fillId="0" borderId="0" xfId="0" applyFont="1" applyAlignment="1">
      <alignment horizontal="left"/>
    </xf>
    <xf numFmtId="49" fontId="46" fillId="0" borderId="3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20" xfId="0" applyNumberFormat="1" applyFont="1" applyBorder="1"/>
    <xf numFmtId="49" fontId="4" fillId="0" borderId="34" xfId="0" applyNumberFormat="1" applyFont="1" applyBorder="1"/>
    <xf numFmtId="49" fontId="4" fillId="0" borderId="44" xfId="0" applyNumberFormat="1" applyFont="1" applyBorder="1"/>
    <xf numFmtId="49" fontId="4" fillId="0" borderId="35" xfId="0" applyNumberFormat="1" applyFont="1" applyBorder="1"/>
    <xf numFmtId="174" fontId="4" fillId="0" borderId="0" xfId="0" applyNumberFormat="1" applyFont="1"/>
    <xf numFmtId="173" fontId="2" fillId="0" borderId="10" xfId="0" applyNumberFormat="1" applyFont="1" applyBorder="1"/>
    <xf numFmtId="0" fontId="52" fillId="0" borderId="0" xfId="0" applyFont="1"/>
    <xf numFmtId="168" fontId="3" fillId="26" borderId="0" xfId="0" applyNumberFormat="1" applyFont="1" applyFill="1"/>
    <xf numFmtId="173" fontId="3" fillId="0" borderId="36" xfId="0" applyNumberFormat="1" applyFont="1" applyBorder="1"/>
    <xf numFmtId="173" fontId="4" fillId="0" borderId="36" xfId="0" applyNumberFormat="1" applyFont="1" applyBorder="1"/>
    <xf numFmtId="0" fontId="3" fillId="0" borderId="14" xfId="0" applyFont="1" applyBorder="1" applyAlignment="1">
      <alignment horizontal="center" vertical="center" wrapText="1"/>
    </xf>
    <xf numFmtId="173" fontId="3" fillId="0" borderId="107" xfId="0" applyNumberFormat="1" applyFont="1" applyBorder="1"/>
    <xf numFmtId="173" fontId="4" fillId="0" borderId="107" xfId="0" applyNumberFormat="1" applyFont="1" applyBorder="1"/>
    <xf numFmtId="4" fontId="8" fillId="0" borderId="0" xfId="31" applyNumberFormat="1" applyFont="1"/>
    <xf numFmtId="0" fontId="47" fillId="0" borderId="30" xfId="0" applyFont="1" applyBorder="1" applyAlignment="1">
      <alignment horizontal="center" wrapText="1"/>
    </xf>
    <xf numFmtId="0" fontId="47" fillId="0" borderId="53" xfId="0" applyFont="1" applyBorder="1" applyAlignment="1">
      <alignment horizontal="center" wrapText="1"/>
    </xf>
    <xf numFmtId="0" fontId="8" fillId="0" borderId="20" xfId="0" applyFont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49" fontId="8" fillId="0" borderId="20" xfId="31" applyNumberFormat="1" applyFont="1" applyBorder="1" applyAlignment="1">
      <alignment horizontal="left"/>
    </xf>
    <xf numFmtId="49" fontId="2" fillId="0" borderId="61" xfId="31" applyNumberForma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7" fillId="0" borderId="34" xfId="31" applyNumberFormat="1" applyFont="1" applyBorder="1"/>
    <xf numFmtId="4" fontId="8" fillId="0" borderId="34" xfId="31" applyNumberFormat="1" applyFont="1" applyBorder="1"/>
    <xf numFmtId="0" fontId="7" fillId="0" borderId="34" xfId="0" applyFont="1" applyBorder="1"/>
    <xf numFmtId="0" fontId="8" fillId="0" borderId="34" xfId="0" applyFont="1" applyBorder="1" applyAlignment="1">
      <alignment vertical="justify" wrapText="1"/>
    </xf>
    <xf numFmtId="0" fontId="8" fillId="0" borderId="34" xfId="0" applyFont="1" applyBorder="1"/>
    <xf numFmtId="0" fontId="6" fillId="0" borderId="34" xfId="0" applyFont="1" applyBorder="1"/>
    <xf numFmtId="4" fontId="3" fillId="0" borderId="30" xfId="31" applyNumberFormat="1" applyFont="1" applyBorder="1" applyAlignment="1">
      <alignment horizontal="center"/>
    </xf>
    <xf numFmtId="0" fontId="2" fillId="0" borderId="0" xfId="0" applyFont="1"/>
    <xf numFmtId="0" fontId="13" fillId="0" borderId="34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167" fontId="13" fillId="0" borderId="34" xfId="35" applyNumberFormat="1" applyFont="1" applyBorder="1" applyAlignment="1">
      <alignment vertical="center"/>
    </xf>
    <xf numFmtId="167" fontId="13" fillId="0" borderId="23" xfId="35" applyNumberFormat="1" applyFont="1" applyBorder="1" applyAlignment="1">
      <alignment vertical="center"/>
    </xf>
    <xf numFmtId="165" fontId="0" fillId="26" borderId="0" xfId="0" applyNumberFormat="1" applyFill="1"/>
    <xf numFmtId="164" fontId="0" fillId="0" borderId="0" xfId="37" applyFont="1" applyAlignment="1">
      <alignment horizontal="left"/>
    </xf>
    <xf numFmtId="0" fontId="8" fillId="0" borderId="34" xfId="0" applyFont="1" applyBorder="1" applyAlignment="1">
      <alignment wrapText="1"/>
    </xf>
    <xf numFmtId="164" fontId="2" fillId="0" borderId="0" xfId="37"/>
    <xf numFmtId="0" fontId="56" fillId="0" borderId="81" xfId="0" applyFont="1" applyBorder="1" applyAlignment="1">
      <alignment horizontal="left"/>
    </xf>
    <xf numFmtId="49" fontId="57" fillId="0" borderId="81" xfId="31" applyNumberFormat="1" applyFont="1" applyBorder="1" applyAlignment="1">
      <alignment horizontal="left"/>
    </xf>
    <xf numFmtId="0" fontId="57" fillId="0" borderId="81" xfId="0" applyFont="1" applyBorder="1" applyAlignment="1">
      <alignment horizontal="left"/>
    </xf>
    <xf numFmtId="49" fontId="56" fillId="0" borderId="81" xfId="31" applyNumberFormat="1" applyFont="1" applyBorder="1" applyAlignment="1">
      <alignment horizontal="left"/>
    </xf>
    <xf numFmtId="171" fontId="2" fillId="0" borderId="0" xfId="31" applyNumberFormat="1"/>
    <xf numFmtId="164" fontId="51" fillId="0" borderId="0" xfId="37" applyFont="1"/>
    <xf numFmtId="164" fontId="16" fillId="0" borderId="31" xfId="37" applyFont="1" applyBorder="1" applyAlignment="1">
      <alignment horizontal="center"/>
    </xf>
    <xf numFmtId="164" fontId="19" fillId="0" borderId="30" xfId="37" applyFont="1" applyBorder="1" applyAlignment="1">
      <alignment horizontal="center" vertical="center" wrapText="1"/>
    </xf>
    <xf numFmtId="164" fontId="3" fillId="0" borderId="33" xfId="37" applyFont="1" applyBorder="1"/>
    <xf numFmtId="164" fontId="2" fillId="0" borderId="23" xfId="37" applyBorder="1"/>
    <xf numFmtId="164" fontId="4" fillId="0" borderId="23" xfId="37" applyFont="1" applyBorder="1"/>
    <xf numFmtId="49" fontId="51" fillId="0" borderId="0" xfId="31" applyNumberFormat="1" applyFont="1" applyAlignment="1">
      <alignment horizontal="left"/>
    </xf>
    <xf numFmtId="4" fontId="51" fillId="0" borderId="0" xfId="31" applyNumberFormat="1" applyFont="1"/>
    <xf numFmtId="167" fontId="58" fillId="0" borderId="0" xfId="0" applyNumberFormat="1" applyFont="1"/>
    <xf numFmtId="0" fontId="58" fillId="0" borderId="0" xfId="0" applyFont="1"/>
    <xf numFmtId="4" fontId="58" fillId="0" borderId="0" xfId="0" applyNumberFormat="1" applyFont="1"/>
    <xf numFmtId="164" fontId="58" fillId="0" borderId="0" xfId="37" applyFont="1" applyAlignment="1">
      <alignment horizontal="center"/>
    </xf>
    <xf numFmtId="164" fontId="58" fillId="0" borderId="0" xfId="0" applyNumberFormat="1" applyFont="1"/>
    <xf numFmtId="0" fontId="3" fillId="0" borderId="72" xfId="0" applyFont="1" applyBorder="1" applyAlignment="1">
      <alignment horizontal="center" vertical="center" wrapText="1"/>
    </xf>
    <xf numFmtId="0" fontId="3" fillId="0" borderId="48" xfId="0" applyFont="1" applyBorder="1"/>
    <xf numFmtId="0" fontId="3" fillId="0" borderId="36" xfId="0" applyFont="1" applyBorder="1"/>
    <xf numFmtId="0" fontId="3" fillId="0" borderId="87" xfId="0" applyFont="1" applyBorder="1"/>
    <xf numFmtId="0" fontId="3" fillId="0" borderId="84" xfId="0" applyFont="1" applyBorder="1"/>
    <xf numFmtId="0" fontId="3" fillId="0" borderId="82" xfId="0" applyFont="1" applyBorder="1"/>
    <xf numFmtId="0" fontId="3" fillId="0" borderId="120" xfId="0" applyFont="1" applyBorder="1" applyAlignment="1">
      <alignment horizontal="center" vertical="center" wrapText="1"/>
    </xf>
    <xf numFmtId="173" fontId="3" fillId="0" borderId="110" xfId="0" applyNumberFormat="1" applyFont="1" applyBorder="1"/>
    <xf numFmtId="0" fontId="2" fillId="0" borderId="80" xfId="0" applyFont="1" applyBorder="1" applyAlignment="1">
      <alignment vertical="center" wrapText="1"/>
    </xf>
    <xf numFmtId="10" fontId="8" fillId="0" borderId="3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59" fillId="0" borderId="0" xfId="0" applyFont="1" applyAlignment="1">
      <alignment horizontal="center"/>
    </xf>
    <xf numFmtId="167" fontId="60" fillId="0" borderId="30" xfId="35" applyNumberFormat="1" applyFont="1" applyBorder="1"/>
    <xf numFmtId="171" fontId="0" fillId="0" borderId="0" xfId="0" applyNumberFormat="1"/>
    <xf numFmtId="8" fontId="3" fillId="0" borderId="28" xfId="0" applyNumberFormat="1" applyFont="1" applyBorder="1" applyAlignment="1">
      <alignment horizontal="center"/>
    </xf>
    <xf numFmtId="0" fontId="13" fillId="0" borderId="103" xfId="0" applyFont="1" applyBorder="1" applyAlignment="1">
      <alignment vertical="center" wrapText="1"/>
    </xf>
    <xf numFmtId="8" fontId="3" fillId="0" borderId="84" xfId="0" applyNumberFormat="1" applyFont="1" applyBorder="1" applyAlignment="1">
      <alignment horizontal="center" vertical="center"/>
    </xf>
    <xf numFmtId="8" fontId="4" fillId="0" borderId="82" xfId="0" applyNumberFormat="1" applyFont="1" applyBorder="1" applyAlignment="1">
      <alignment horizontal="center"/>
    </xf>
    <xf numFmtId="8" fontId="3" fillId="0" borderId="82" xfId="0" applyNumberFormat="1" applyFont="1" applyBorder="1" applyAlignment="1">
      <alignment horizontal="center"/>
    </xf>
    <xf numFmtId="8" fontId="3" fillId="0" borderId="113" xfId="0" applyNumberFormat="1" applyFont="1" applyBorder="1" applyAlignment="1">
      <alignment horizontal="center"/>
    </xf>
    <xf numFmtId="8" fontId="3" fillId="0" borderId="110" xfId="0" applyNumberFormat="1" applyFont="1" applyBorder="1" applyAlignment="1">
      <alignment horizontal="center"/>
    </xf>
    <xf numFmtId="8" fontId="4" fillId="0" borderId="107" xfId="0" applyNumberFormat="1" applyFont="1" applyBorder="1" applyAlignment="1">
      <alignment horizontal="center"/>
    </xf>
    <xf numFmtId="8" fontId="3" fillId="0" borderId="107" xfId="0" applyNumberFormat="1" applyFont="1" applyBorder="1" applyAlignment="1">
      <alignment horizontal="center"/>
    </xf>
    <xf numFmtId="8" fontId="3" fillId="0" borderId="80" xfId="0" applyNumberFormat="1" applyFont="1" applyBorder="1" applyAlignment="1">
      <alignment horizontal="center"/>
    </xf>
    <xf numFmtId="164" fontId="58" fillId="0" borderId="0" xfId="37" applyFont="1"/>
    <xf numFmtId="44" fontId="4" fillId="0" borderId="0" xfId="0" applyNumberFormat="1" applyFont="1"/>
    <xf numFmtId="164" fontId="2" fillId="0" borderId="108" xfId="37" applyBorder="1"/>
    <xf numFmtId="164" fontId="13" fillId="0" borderId="33" xfId="37" applyFont="1" applyBorder="1" applyAlignment="1">
      <alignment horizontal="center"/>
    </xf>
    <xf numFmtId="164" fontId="13" fillId="0" borderId="34" xfId="37" applyFont="1" applyBorder="1" applyAlignment="1">
      <alignment horizontal="center"/>
    </xf>
    <xf numFmtId="164" fontId="13" fillId="0" borderId="34" xfId="37" applyFont="1" applyBorder="1" applyAlignment="1">
      <alignment horizontal="center" vertical="center"/>
    </xf>
    <xf numFmtId="10" fontId="38" fillId="0" borderId="61" xfId="0" applyNumberFormat="1" applyFont="1" applyBorder="1" applyAlignment="1">
      <alignment vertical="center"/>
    </xf>
    <xf numFmtId="9" fontId="38" fillId="0" borderId="76" xfId="0" applyNumberFormat="1" applyFont="1" applyBorder="1" applyAlignment="1">
      <alignment vertical="center"/>
    </xf>
    <xf numFmtId="9" fontId="38" fillId="0" borderId="23" xfId="0" applyNumberFormat="1" applyFont="1" applyBorder="1" applyAlignment="1">
      <alignment horizontal="center" vertical="center"/>
    </xf>
    <xf numFmtId="9" fontId="8" fillId="0" borderId="33" xfId="0" applyNumberFormat="1" applyFont="1" applyBorder="1" applyAlignment="1">
      <alignment vertical="center"/>
    </xf>
    <xf numFmtId="167" fontId="2" fillId="0" borderId="0" xfId="0" applyNumberFormat="1" applyFont="1"/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167" fontId="13" fillId="0" borderId="33" xfId="35" applyNumberFormat="1" applyFont="1" applyBorder="1" applyAlignment="1">
      <alignment horizontal="center"/>
    </xf>
    <xf numFmtId="167" fontId="13" fillId="0" borderId="34" xfId="35" applyNumberFormat="1" applyFont="1" applyBorder="1" applyAlignment="1">
      <alignment horizontal="center"/>
    </xf>
    <xf numFmtId="167" fontId="13" fillId="0" borderId="34" xfId="35" applyNumberFormat="1" applyFont="1" applyBorder="1" applyAlignment="1">
      <alignment horizontal="center" vertical="center"/>
    </xf>
    <xf numFmtId="167" fontId="13" fillId="0" borderId="37" xfId="35" applyNumberFormat="1" applyFont="1" applyBorder="1" applyAlignment="1">
      <alignment horizontal="center"/>
    </xf>
    <xf numFmtId="167" fontId="13" fillId="0" borderId="30" xfId="35" applyNumberFormat="1" applyFont="1" applyBorder="1" applyAlignment="1">
      <alignment horizontal="center"/>
    </xf>
    <xf numFmtId="0" fontId="58" fillId="0" borderId="0" xfId="0" applyFont="1" applyAlignment="1">
      <alignment horizontal="center"/>
    </xf>
    <xf numFmtId="167" fontId="58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8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8" fontId="4" fillId="0" borderId="73" xfId="0" applyNumberFormat="1" applyFont="1" applyBorder="1" applyAlignment="1">
      <alignment horizontal="center" vertical="center"/>
    </xf>
    <xf numFmtId="8" fontId="4" fillId="0" borderId="33" xfId="0" applyNumberFormat="1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 wrapText="1"/>
    </xf>
    <xf numFmtId="0" fontId="13" fillId="0" borderId="120" xfId="0" applyFont="1" applyBorder="1" applyAlignment="1">
      <alignment vertical="center" wrapText="1"/>
    </xf>
    <xf numFmtId="8" fontId="4" fillId="0" borderId="113" xfId="0" applyNumberFormat="1" applyFont="1" applyBorder="1" applyAlignment="1">
      <alignment horizontal="center" vertical="center"/>
    </xf>
    <xf numFmtId="8" fontId="4" fillId="0" borderId="80" xfId="0" applyNumberFormat="1" applyFont="1" applyBorder="1" applyAlignment="1">
      <alignment horizontal="center" vertical="center"/>
    </xf>
    <xf numFmtId="164" fontId="4" fillId="0" borderId="0" xfId="37" applyFont="1"/>
    <xf numFmtId="164" fontId="37" fillId="0" borderId="0" xfId="37" applyFont="1"/>
    <xf numFmtId="171" fontId="57" fillId="0" borderId="0" xfId="31" applyNumberFormat="1" applyFont="1"/>
    <xf numFmtId="4" fontId="57" fillId="0" borderId="0" xfId="31" applyNumberFormat="1" applyFont="1"/>
    <xf numFmtId="171" fontId="56" fillId="0" borderId="0" xfId="31" applyNumberFormat="1" applyFont="1"/>
    <xf numFmtId="4" fontId="56" fillId="0" borderId="0" xfId="31" applyNumberFormat="1" applyFont="1"/>
    <xf numFmtId="174" fontId="56" fillId="0" borderId="96" xfId="37" applyNumberFormat="1" applyFont="1" applyBorder="1"/>
    <xf numFmtId="174" fontId="56" fillId="0" borderId="10" xfId="37" applyNumberFormat="1" applyFont="1" applyBorder="1"/>
    <xf numFmtId="174" fontId="56" fillId="0" borderId="57" xfId="37" applyNumberFormat="1" applyFont="1" applyBorder="1"/>
    <xf numFmtId="174" fontId="56" fillId="0" borderId="81" xfId="31" applyNumberFormat="1" applyFont="1" applyBorder="1"/>
    <xf numFmtId="174" fontId="56" fillId="0" borderId="10" xfId="31" applyNumberFormat="1" applyFont="1" applyBorder="1"/>
    <xf numFmtId="174" fontId="56" fillId="0" borderId="36" xfId="31" applyNumberFormat="1" applyFont="1" applyBorder="1"/>
    <xf numFmtId="174" fontId="56" fillId="0" borderId="59" xfId="31" applyNumberFormat="1" applyFont="1" applyBorder="1"/>
    <xf numFmtId="167" fontId="56" fillId="0" borderId="36" xfId="31" applyNumberFormat="1" applyFont="1" applyBorder="1"/>
    <xf numFmtId="167" fontId="56" fillId="0" borderId="10" xfId="31" applyNumberFormat="1" applyFont="1" applyBorder="1"/>
    <xf numFmtId="167" fontId="57" fillId="0" borderId="59" xfId="31" applyNumberFormat="1" applyFont="1" applyBorder="1"/>
    <xf numFmtId="167" fontId="56" fillId="0" borderId="82" xfId="31" applyNumberFormat="1" applyFont="1" applyBorder="1"/>
    <xf numFmtId="167" fontId="56" fillId="0" borderId="98" xfId="31" applyNumberFormat="1" applyFont="1" applyBorder="1"/>
    <xf numFmtId="167" fontId="56" fillId="0" borderId="12" xfId="31" applyNumberFormat="1" applyFont="1" applyBorder="1"/>
    <xf numFmtId="167" fontId="57" fillId="0" borderId="13" xfId="31" applyNumberFormat="1" applyFont="1" applyBorder="1"/>
    <xf numFmtId="167" fontId="57" fillId="0" borderId="38" xfId="31" applyNumberFormat="1" applyFont="1" applyBorder="1"/>
    <xf numFmtId="174" fontId="57" fillId="0" borderId="58" xfId="37" applyNumberFormat="1" applyFont="1" applyBorder="1"/>
    <xf numFmtId="174" fontId="57" fillId="0" borderId="46" xfId="37" applyNumberFormat="1" applyFont="1" applyBorder="1"/>
    <xf numFmtId="174" fontId="57" fillId="0" borderId="10" xfId="37" applyNumberFormat="1" applyFont="1" applyBorder="1"/>
    <xf numFmtId="174" fontId="57" fillId="0" borderId="57" xfId="37" applyNumberFormat="1" applyFont="1" applyBorder="1"/>
    <xf numFmtId="174" fontId="57" fillId="0" borderId="81" xfId="31" applyNumberFormat="1" applyFont="1" applyBorder="1"/>
    <xf numFmtId="174" fontId="57" fillId="0" borderId="10" xfId="31" applyNumberFormat="1" applyFont="1" applyBorder="1"/>
    <xf numFmtId="174" fontId="57" fillId="0" borderId="36" xfId="31" applyNumberFormat="1" applyFont="1" applyBorder="1"/>
    <xf numFmtId="174" fontId="57" fillId="0" borderId="59" xfId="31" applyNumberFormat="1" applyFont="1" applyBorder="1"/>
    <xf numFmtId="167" fontId="57" fillId="0" borderId="36" xfId="31" applyNumberFormat="1" applyFont="1" applyBorder="1"/>
    <xf numFmtId="167" fontId="57" fillId="0" borderId="10" xfId="31" applyNumberFormat="1" applyFont="1" applyBorder="1"/>
    <xf numFmtId="167" fontId="57" fillId="0" borderId="82" xfId="31" applyNumberFormat="1" applyFont="1" applyBorder="1"/>
    <xf numFmtId="167" fontId="57" fillId="0" borderId="98" xfId="31" applyNumberFormat="1" applyFont="1" applyBorder="1"/>
    <xf numFmtId="167" fontId="57" fillId="0" borderId="12" xfId="31" applyNumberFormat="1" applyFont="1" applyBorder="1"/>
    <xf numFmtId="174" fontId="56" fillId="0" borderId="97" xfId="37" applyNumberFormat="1" applyFont="1" applyBorder="1"/>
    <xf numFmtId="174" fontId="56" fillId="0" borderId="58" xfId="31" applyNumberFormat="1" applyFont="1" applyBorder="1"/>
    <xf numFmtId="174" fontId="57" fillId="0" borderId="58" xfId="31" applyNumberFormat="1" applyFont="1" applyBorder="1"/>
    <xf numFmtId="174" fontId="57" fillId="0" borderId="96" xfId="37" applyNumberFormat="1" applyFont="1" applyBorder="1"/>
    <xf numFmtId="174" fontId="57" fillId="0" borderId="98" xfId="37" applyNumberFormat="1" applyFont="1" applyBorder="1"/>
    <xf numFmtId="174" fontId="56" fillId="0" borderId="46" xfId="37" applyNumberFormat="1" applyFont="1" applyBorder="1"/>
    <xf numFmtId="174" fontId="56" fillId="0" borderId="98" xfId="37" applyNumberFormat="1" applyFont="1" applyBorder="1"/>
    <xf numFmtId="167" fontId="56" fillId="0" borderId="59" xfId="31" applyNumberFormat="1" applyFont="1" applyBorder="1"/>
    <xf numFmtId="167" fontId="57" fillId="0" borderId="36" xfId="0" applyNumberFormat="1" applyFont="1" applyBorder="1"/>
    <xf numFmtId="167" fontId="57" fillId="0" borderId="10" xfId="0" applyNumberFormat="1" applyFont="1" applyBorder="1"/>
    <xf numFmtId="167" fontId="57" fillId="0" borderId="82" xfId="0" applyNumberFormat="1" applyFont="1" applyBorder="1"/>
    <xf numFmtId="167" fontId="56" fillId="0" borderId="36" xfId="0" applyNumberFormat="1" applyFont="1" applyBorder="1"/>
    <xf numFmtId="167" fontId="57" fillId="0" borderId="75" xfId="31" applyNumberFormat="1" applyFont="1" applyBorder="1"/>
    <xf numFmtId="174" fontId="57" fillId="0" borderId="68" xfId="37" applyNumberFormat="1" applyFont="1" applyBorder="1"/>
    <xf numFmtId="174" fontId="57" fillId="0" borderId="59" xfId="37" applyNumberFormat="1" applyFont="1" applyBorder="1"/>
    <xf numFmtId="174" fontId="56" fillId="0" borderId="38" xfId="37" applyNumberFormat="1" applyFont="1" applyBorder="1"/>
    <xf numFmtId="174" fontId="56" fillId="0" borderId="68" xfId="37" applyNumberFormat="1" applyFont="1" applyBorder="1"/>
    <xf numFmtId="167" fontId="56" fillId="0" borderId="13" xfId="31" applyNumberFormat="1" applyFont="1" applyBorder="1"/>
    <xf numFmtId="167" fontId="56" fillId="0" borderId="38" xfId="31" applyNumberFormat="1" applyFont="1" applyBorder="1"/>
    <xf numFmtId="174" fontId="56" fillId="0" borderId="81" xfId="37" applyNumberFormat="1" applyFont="1" applyBorder="1"/>
    <xf numFmtId="174" fontId="57" fillId="0" borderId="81" xfId="37" applyNumberFormat="1" applyFont="1" applyBorder="1"/>
    <xf numFmtId="174" fontId="57" fillId="0" borderId="83" xfId="37" applyNumberFormat="1" applyFont="1" applyBorder="1"/>
    <xf numFmtId="174" fontId="56" fillId="0" borderId="83" xfId="37" applyNumberFormat="1" applyFont="1" applyBorder="1"/>
    <xf numFmtId="174" fontId="57" fillId="0" borderId="38" xfId="31" applyNumberFormat="1" applyFont="1" applyBorder="1"/>
    <xf numFmtId="174" fontId="56" fillId="0" borderId="98" xfId="31" applyNumberFormat="1" applyFont="1" applyBorder="1"/>
    <xf numFmtId="167" fontId="57" fillId="0" borderId="83" xfId="31" applyNumberFormat="1" applyFont="1" applyBorder="1"/>
    <xf numFmtId="167" fontId="56" fillId="0" borderId="102" xfId="31" applyNumberFormat="1" applyFont="1" applyBorder="1"/>
    <xf numFmtId="174" fontId="57" fillId="0" borderId="38" xfId="37" applyNumberFormat="1" applyFont="1" applyBorder="1"/>
    <xf numFmtId="0" fontId="57" fillId="0" borderId="92" xfId="0" applyFont="1" applyBorder="1" applyAlignment="1">
      <alignment horizontal="left"/>
    </xf>
    <xf numFmtId="174" fontId="57" fillId="0" borderId="74" xfId="37" applyNumberFormat="1" applyFont="1" applyBorder="1"/>
    <xf numFmtId="174" fontId="57" fillId="0" borderId="52" xfId="37" applyNumberFormat="1" applyFont="1" applyBorder="1"/>
    <xf numFmtId="174" fontId="57" fillId="0" borderId="71" xfId="37" applyNumberFormat="1" applyFont="1" applyBorder="1"/>
    <xf numFmtId="174" fontId="57" fillId="0" borderId="60" xfId="37" applyNumberFormat="1" applyFont="1" applyBorder="1"/>
    <xf numFmtId="174" fontId="57" fillId="0" borderId="74" xfId="31" applyNumberFormat="1" applyFont="1" applyBorder="1"/>
    <xf numFmtId="174" fontId="57" fillId="0" borderId="64" xfId="31" applyNumberFormat="1" applyFont="1" applyBorder="1"/>
    <xf numFmtId="174" fontId="57" fillId="0" borderId="52" xfId="31" applyNumberFormat="1" applyFont="1" applyBorder="1"/>
    <xf numFmtId="174" fontId="56" fillId="0" borderId="99" xfId="31" applyNumberFormat="1" applyFont="1" applyBorder="1"/>
    <xf numFmtId="167" fontId="57" fillId="0" borderId="64" xfId="31" applyNumberFormat="1" applyFont="1" applyBorder="1"/>
    <xf numFmtId="167" fontId="57" fillId="0" borderId="52" xfId="31" applyNumberFormat="1" applyFont="1" applyBorder="1"/>
    <xf numFmtId="167" fontId="57" fillId="0" borderId="71" xfId="31" applyNumberFormat="1" applyFont="1" applyBorder="1"/>
    <xf numFmtId="167" fontId="57" fillId="0" borderId="60" xfId="31" applyNumberFormat="1" applyFont="1" applyBorder="1"/>
    <xf numFmtId="167" fontId="57" fillId="0" borderId="86" xfId="31" applyNumberFormat="1" applyFont="1" applyBorder="1"/>
    <xf numFmtId="167" fontId="57" fillId="0" borderId="118" xfId="31" applyNumberFormat="1" applyFont="1" applyBorder="1"/>
    <xf numFmtId="167" fontId="57" fillId="0" borderId="51" xfId="31" applyNumberFormat="1" applyFont="1" applyBorder="1"/>
    <xf numFmtId="167" fontId="57" fillId="0" borderId="40" xfId="31" applyNumberFormat="1" applyFont="1" applyBorder="1"/>
    <xf numFmtId="174" fontId="2" fillId="0" borderId="0" xfId="37" applyNumberFormat="1"/>
    <xf numFmtId="174" fontId="2" fillId="0" borderId="0" xfId="31" applyNumberFormat="1"/>
    <xf numFmtId="164" fontId="3" fillId="0" borderId="0" xfId="37" applyFont="1"/>
    <xf numFmtId="44" fontId="0" fillId="0" borderId="0" xfId="0" applyNumberFormat="1"/>
    <xf numFmtId="167" fontId="57" fillId="0" borderId="102" xfId="31" applyNumberFormat="1" applyFont="1" applyBorder="1"/>
    <xf numFmtId="164" fontId="2" fillId="0" borderId="0" xfId="0" applyNumberFormat="1" applyFont="1"/>
    <xf numFmtId="4" fontId="6" fillId="0" borderId="0" xfId="31" applyNumberFormat="1" applyFont="1"/>
    <xf numFmtId="164" fontId="4" fillId="0" borderId="35" xfId="37" applyFont="1" applyBorder="1"/>
    <xf numFmtId="164" fontId="2" fillId="0" borderId="34" xfId="37" applyBorder="1" applyAlignment="1">
      <alignment horizontal="right"/>
    </xf>
    <xf numFmtId="164" fontId="2" fillId="0" borderId="35" xfId="37" applyBorder="1" applyAlignment="1">
      <alignment horizontal="right"/>
    </xf>
    <xf numFmtId="164" fontId="50" fillId="0" borderId="0" xfId="37" applyFont="1"/>
    <xf numFmtId="49" fontId="6" fillId="0" borderId="20" xfId="31" applyNumberFormat="1" applyFont="1" applyBorder="1" applyAlignment="1">
      <alignment horizontal="left"/>
    </xf>
    <xf numFmtId="4" fontId="6" fillId="0" borderId="34" xfId="31" applyNumberFormat="1" applyFont="1" applyBorder="1"/>
    <xf numFmtId="176" fontId="6" fillId="0" borderId="0" xfId="31" applyNumberFormat="1" applyFont="1"/>
    <xf numFmtId="173" fontId="2" fillId="0" borderId="107" xfId="0" applyNumberFormat="1" applyFont="1" applyBorder="1"/>
    <xf numFmtId="0" fontId="3" fillId="26" borderId="68" xfId="0" applyFont="1" applyFill="1" applyBorder="1"/>
    <xf numFmtId="0" fontId="3" fillId="26" borderId="38" xfId="0" applyFont="1" applyFill="1" applyBorder="1"/>
    <xf numFmtId="0" fontId="4" fillId="26" borderId="38" xfId="0" applyFont="1" applyFill="1" applyBorder="1"/>
    <xf numFmtId="0" fontId="50" fillId="26" borderId="38" xfId="0" applyFont="1" applyFill="1" applyBorder="1"/>
    <xf numFmtId="0" fontId="2" fillId="26" borderId="38" xfId="0" applyFont="1" applyFill="1" applyBorder="1"/>
    <xf numFmtId="0" fontId="4" fillId="26" borderId="71" xfId="0" applyFont="1" applyFill="1" applyBorder="1" applyAlignment="1">
      <alignment vertical="justify" wrapText="1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/>
    <xf numFmtId="49" fontId="0" fillId="0" borderId="8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0" fillId="0" borderId="69" xfId="0" applyNumberFormat="1" applyBorder="1" applyAlignment="1">
      <alignment horizontal="center"/>
    </xf>
    <xf numFmtId="0" fontId="8" fillId="27" borderId="50" xfId="0" applyFont="1" applyFill="1" applyBorder="1" applyAlignment="1">
      <alignment vertical="center"/>
    </xf>
    <xf numFmtId="0" fontId="8" fillId="27" borderId="75" xfId="0" applyFont="1" applyFill="1" applyBorder="1" applyAlignment="1">
      <alignment vertical="center"/>
    </xf>
    <xf numFmtId="0" fontId="6" fillId="27" borderId="49" xfId="0" applyFont="1" applyFill="1" applyBorder="1" applyAlignment="1">
      <alignment vertical="center"/>
    </xf>
    <xf numFmtId="49" fontId="3" fillId="27" borderId="14" xfId="0" applyNumberFormat="1" applyFont="1" applyFill="1" applyBorder="1" applyAlignment="1">
      <alignment horizontal="center" vertical="center" wrapText="1"/>
    </xf>
    <xf numFmtId="167" fontId="5" fillId="27" borderId="80" xfId="35" applyNumberFormat="1" applyFont="1" applyFill="1" applyBorder="1" applyAlignment="1">
      <alignment horizontal="center"/>
    </xf>
    <xf numFmtId="167" fontId="5" fillId="27" borderId="34" xfId="35" applyNumberFormat="1" applyFont="1" applyFill="1" applyBorder="1" applyAlignment="1">
      <alignment horizontal="center"/>
    </xf>
    <xf numFmtId="167" fontId="5" fillId="27" borderId="30" xfId="35" applyNumberFormat="1" applyFont="1" applyFill="1" applyBorder="1" applyAlignment="1">
      <alignment horizontal="center"/>
    </xf>
    <xf numFmtId="167" fontId="5" fillId="27" borderId="79" xfId="35" applyNumberFormat="1" applyFont="1" applyFill="1" applyBorder="1" applyAlignment="1">
      <alignment horizontal="center"/>
    </xf>
    <xf numFmtId="167" fontId="5" fillId="27" borderId="79" xfId="35" applyNumberFormat="1" applyFont="1" applyFill="1" applyBorder="1"/>
    <xf numFmtId="49" fontId="0" fillId="27" borderId="48" xfId="0" applyNumberFormat="1" applyFill="1" applyBorder="1" applyAlignment="1">
      <alignment horizontal="center"/>
    </xf>
    <xf numFmtId="167" fontId="13" fillId="27" borderId="34" xfId="35" applyNumberFormat="1" applyFont="1" applyFill="1" applyBorder="1"/>
    <xf numFmtId="167" fontId="13" fillId="27" borderId="79" xfId="35" applyNumberFormat="1" applyFont="1" applyFill="1" applyBorder="1" applyAlignment="1">
      <alignment horizontal="center"/>
    </xf>
    <xf numFmtId="167" fontId="13" fillId="27" borderId="37" xfId="35" applyNumberFormat="1" applyFont="1" applyFill="1" applyBorder="1"/>
    <xf numFmtId="0" fontId="3" fillId="27" borderId="72" xfId="0" applyFont="1" applyFill="1" applyBorder="1" applyAlignment="1">
      <alignment horizontal="center" vertical="center"/>
    </xf>
    <xf numFmtId="0" fontId="3" fillId="27" borderId="15" xfId="0" applyFont="1" applyFill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/>
    </xf>
    <xf numFmtId="0" fontId="3" fillId="27" borderId="72" xfId="0" applyFont="1" applyFill="1" applyBorder="1" applyAlignment="1">
      <alignment horizontal="center" vertical="center" wrapText="1"/>
    </xf>
    <xf numFmtId="164" fontId="6" fillId="0" borderId="0" xfId="37" applyFont="1"/>
    <xf numFmtId="174" fontId="6" fillId="0" borderId="0" xfId="31" applyNumberFormat="1" applyFont="1"/>
    <xf numFmtId="174" fontId="6" fillId="0" borderId="0" xfId="37" applyNumberFormat="1" applyFont="1"/>
    <xf numFmtId="167" fontId="57" fillId="0" borderId="63" xfId="31" applyNumberFormat="1" applyFont="1" applyBorder="1"/>
    <xf numFmtId="0" fontId="3" fillId="27" borderId="16" xfId="0" applyFont="1" applyFill="1" applyBorder="1" applyAlignment="1">
      <alignment horizontal="center" vertical="center"/>
    </xf>
    <xf numFmtId="167" fontId="2" fillId="0" borderId="121" xfId="0" applyNumberFormat="1" applyFont="1" applyBorder="1"/>
    <xf numFmtId="164" fontId="2" fillId="0" borderId="121" xfId="37" applyBorder="1"/>
    <xf numFmtId="10" fontId="5" fillId="0" borderId="17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10" fontId="5" fillId="0" borderId="14" xfId="0" applyNumberFormat="1" applyFont="1" applyBorder="1" applyAlignment="1">
      <alignment horizontal="center" vertical="center"/>
    </xf>
    <xf numFmtId="10" fontId="5" fillId="0" borderId="72" xfId="0" applyNumberFormat="1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110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7" xfId="0" applyFont="1" applyBorder="1" applyAlignment="1">
      <alignment vertical="center" wrapText="1"/>
    </xf>
    <xf numFmtId="0" fontId="13" fillId="0" borderId="82" xfId="0" applyFont="1" applyBorder="1" applyAlignment="1">
      <alignment vertical="center" wrapText="1"/>
    </xf>
    <xf numFmtId="0" fontId="13" fillId="0" borderId="5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/>
    </xf>
    <xf numFmtId="174" fontId="6" fillId="0" borderId="0" xfId="31" applyNumberFormat="1" applyFont="1" applyAlignment="1">
      <alignment horizontal="right"/>
    </xf>
    <xf numFmtId="178" fontId="13" fillId="0" borderId="33" xfId="35" applyNumberFormat="1" applyFont="1" applyBorder="1"/>
    <xf numFmtId="178" fontId="13" fillId="0" borderId="34" xfId="35" applyNumberFormat="1" applyFont="1" applyBorder="1"/>
    <xf numFmtId="178" fontId="5" fillId="0" borderId="79" xfId="35" applyNumberFormat="1" applyFont="1" applyBorder="1" applyAlignment="1">
      <alignment horizontal="center"/>
    </xf>
    <xf numFmtId="178" fontId="13" fillId="0" borderId="34" xfId="35" applyNumberFormat="1" applyFont="1" applyBorder="1" applyAlignment="1">
      <alignment vertical="center"/>
    </xf>
    <xf numFmtId="178" fontId="5" fillId="0" borderId="79" xfId="35" applyNumberFormat="1" applyFont="1" applyBorder="1"/>
    <xf numFmtId="178" fontId="13" fillId="0" borderId="79" xfId="35" applyNumberFormat="1" applyFont="1" applyBorder="1" applyAlignment="1">
      <alignment horizontal="center"/>
    </xf>
    <xf numFmtId="178" fontId="13" fillId="0" borderId="37" xfId="35" applyNumberFormat="1" applyFont="1" applyBorder="1"/>
    <xf numFmtId="178" fontId="5" fillId="0" borderId="80" xfId="35" applyNumberFormat="1" applyFont="1" applyBorder="1" applyAlignment="1">
      <alignment horizontal="center"/>
    </xf>
    <xf numFmtId="178" fontId="5" fillId="0" borderId="34" xfId="35" applyNumberFormat="1" applyFont="1" applyBorder="1" applyAlignment="1">
      <alignment horizontal="center"/>
    </xf>
    <xf numFmtId="178" fontId="5" fillId="0" borderId="30" xfId="35" applyNumberFormat="1" applyFont="1" applyBorder="1" applyAlignment="1">
      <alignment horizontal="center"/>
    </xf>
    <xf numFmtId="179" fontId="58" fillId="0" borderId="0" xfId="0" applyNumberFormat="1" applyFont="1"/>
    <xf numFmtId="178" fontId="5" fillId="0" borderId="34" xfId="35" applyNumberFormat="1" applyFont="1" applyBorder="1"/>
    <xf numFmtId="173" fontId="3" fillId="0" borderId="108" xfId="0" applyNumberFormat="1" applyFont="1" applyBorder="1"/>
    <xf numFmtId="173" fontId="3" fillId="0" borderId="64" xfId="0" applyNumberFormat="1" applyFont="1" applyBorder="1"/>
    <xf numFmtId="173" fontId="2" fillId="0" borderId="108" xfId="0" applyNumberFormat="1" applyFont="1" applyBorder="1"/>
    <xf numFmtId="177" fontId="4" fillId="0" borderId="0" xfId="0" applyNumberFormat="1" applyFont="1"/>
    <xf numFmtId="164" fontId="3" fillId="0" borderId="0" xfId="37" applyFont="1" applyAlignment="1">
      <alignment horizontal="center"/>
    </xf>
    <xf numFmtId="164" fontId="13" fillId="0" borderId="50" xfId="37" applyFont="1" applyBorder="1" applyAlignment="1">
      <alignment horizontal="center" vertical="center"/>
    </xf>
    <xf numFmtId="164" fontId="13" fillId="0" borderId="39" xfId="37" applyFont="1" applyBorder="1" applyAlignment="1">
      <alignment horizontal="center" vertical="center"/>
    </xf>
    <xf numFmtId="164" fontId="13" fillId="0" borderId="49" xfId="37" applyFont="1" applyBorder="1" applyAlignment="1">
      <alignment horizontal="center" vertical="center"/>
    </xf>
    <xf numFmtId="164" fontId="13" fillId="26" borderId="17" xfId="37" applyFont="1" applyFill="1" applyBorder="1" applyAlignment="1">
      <alignment horizontal="center" vertical="center"/>
    </xf>
    <xf numFmtId="164" fontId="13" fillId="26" borderId="18" xfId="37" applyFont="1" applyFill="1" applyBorder="1" applyAlignment="1">
      <alignment horizontal="center" vertical="center"/>
    </xf>
    <xf numFmtId="164" fontId="13" fillId="0" borderId="109" xfId="37" applyFont="1" applyBorder="1" applyAlignment="1">
      <alignment horizontal="center" vertical="center"/>
    </xf>
    <xf numFmtId="164" fontId="13" fillId="0" borderId="19" xfId="37" applyFont="1" applyBorder="1" applyAlignment="1">
      <alignment horizontal="center" vertical="center"/>
    </xf>
    <xf numFmtId="164" fontId="13" fillId="0" borderId="48" xfId="37" applyFont="1" applyBorder="1" applyAlignment="1">
      <alignment horizontal="center" vertical="center"/>
    </xf>
    <xf numFmtId="164" fontId="13" fillId="0" borderId="13" xfId="37" applyFont="1" applyBorder="1" applyAlignment="1">
      <alignment horizontal="center" vertical="center"/>
    </xf>
    <xf numFmtId="164" fontId="13" fillId="0" borderId="106" xfId="37" applyFont="1" applyBorder="1" applyAlignment="1">
      <alignment horizontal="center" vertical="center"/>
    </xf>
    <xf numFmtId="164" fontId="13" fillId="26" borderId="10" xfId="37" applyFont="1" applyFill="1" applyBorder="1" applyAlignment="1">
      <alignment horizontal="center" vertical="center"/>
    </xf>
    <xf numFmtId="164" fontId="13" fillId="0" borderId="38" xfId="37" applyFont="1" applyBorder="1" applyAlignment="1">
      <alignment horizontal="center" vertical="center"/>
    </xf>
    <xf numFmtId="164" fontId="13" fillId="0" borderId="12" xfId="37" applyFont="1" applyBorder="1" applyAlignment="1">
      <alignment horizontal="center" vertical="center"/>
    </xf>
    <xf numFmtId="164" fontId="13" fillId="0" borderId="10" xfId="37" applyFont="1" applyBorder="1" applyAlignment="1">
      <alignment horizontal="center" vertical="center"/>
    </xf>
    <xf numFmtId="164" fontId="13" fillId="0" borderId="85" xfId="37" applyFont="1" applyBorder="1" applyAlignment="1">
      <alignment horizontal="center" vertical="center"/>
    </xf>
    <xf numFmtId="164" fontId="13" fillId="0" borderId="15" xfId="37" applyFont="1" applyBorder="1" applyAlignment="1">
      <alignment horizontal="center" vertical="center"/>
    </xf>
    <xf numFmtId="164" fontId="13" fillId="0" borderId="117" xfId="37" applyFont="1" applyBorder="1" applyAlignment="1">
      <alignment horizontal="center" vertical="center"/>
    </xf>
    <xf numFmtId="164" fontId="13" fillId="0" borderId="71" xfId="37" applyFont="1" applyBorder="1" applyAlignment="1">
      <alignment horizontal="center" vertical="center"/>
    </xf>
    <xf numFmtId="164" fontId="13" fillId="0" borderId="40" xfId="37" applyFont="1" applyBorder="1" applyAlignment="1">
      <alignment horizontal="center" vertical="center"/>
    </xf>
    <xf numFmtId="164" fontId="5" fillId="0" borderId="53" xfId="37" applyFont="1" applyBorder="1" applyAlignment="1">
      <alignment horizontal="center" vertical="center"/>
    </xf>
    <xf numFmtId="164" fontId="5" fillId="0" borderId="55" xfId="37" applyFont="1" applyBorder="1" applyAlignment="1">
      <alignment horizontal="center" vertical="center"/>
    </xf>
    <xf numFmtId="164" fontId="5" fillId="0" borderId="47" xfId="37" applyFont="1" applyBorder="1" applyAlignment="1">
      <alignment horizontal="center" vertical="center"/>
    </xf>
    <xf numFmtId="164" fontId="5" fillId="0" borderId="54" xfId="37" applyFont="1" applyBorder="1" applyAlignment="1">
      <alignment horizontal="center" vertical="center"/>
    </xf>
    <xf numFmtId="164" fontId="5" fillId="0" borderId="56" xfId="37" applyFont="1" applyBorder="1" applyAlignment="1">
      <alignment horizontal="center" vertical="center"/>
    </xf>
    <xf numFmtId="4" fontId="56" fillId="0" borderId="90" xfId="31" applyNumberFormat="1" applyFont="1" applyBorder="1" applyAlignment="1">
      <alignment horizontal="center"/>
    </xf>
    <xf numFmtId="174" fontId="56" fillId="0" borderId="91" xfId="37" applyNumberFormat="1" applyFont="1" applyBorder="1"/>
    <xf numFmtId="174" fontId="56" fillId="0" borderId="116" xfId="37" applyNumberFormat="1" applyFont="1" applyBorder="1"/>
    <xf numFmtId="174" fontId="56" fillId="0" borderId="100" xfId="37" applyNumberFormat="1" applyFont="1" applyBorder="1"/>
    <xf numFmtId="174" fontId="56" fillId="0" borderId="91" xfId="31" applyNumberFormat="1" applyFont="1" applyBorder="1"/>
    <xf numFmtId="174" fontId="56" fillId="0" borderId="116" xfId="31" applyNumberFormat="1" applyFont="1" applyBorder="1"/>
    <xf numFmtId="174" fontId="56" fillId="0" borderId="100" xfId="31" applyNumberFormat="1" applyFont="1" applyBorder="1"/>
    <xf numFmtId="167" fontId="56" fillId="0" borderId="101" xfId="31" applyNumberFormat="1" applyFont="1" applyBorder="1"/>
    <xf numFmtId="167" fontId="56" fillId="0" borderId="90" xfId="31" applyNumberFormat="1" applyFont="1" applyBorder="1"/>
    <xf numFmtId="167" fontId="56" fillId="0" borderId="119" xfId="31" applyNumberFormat="1" applyFont="1" applyBorder="1"/>
    <xf numFmtId="0" fontId="5" fillId="0" borderId="30" xfId="0" applyFont="1" applyBorder="1" applyAlignment="1">
      <alignment horizontal="center"/>
    </xf>
    <xf numFmtId="49" fontId="6" fillId="0" borderId="0" xfId="31" applyNumberFormat="1" applyFont="1" applyAlignment="1">
      <alignment horizontal="left"/>
    </xf>
    <xf numFmtId="171" fontId="6" fillId="0" borderId="0" xfId="31" applyNumberFormat="1" applyFont="1"/>
    <xf numFmtId="0" fontId="2" fillId="0" borderId="20" xfId="0" applyFont="1" applyFill="1" applyBorder="1" applyAlignment="1">
      <alignment horizontal="left" vertical="center" wrapText="1"/>
    </xf>
    <xf numFmtId="49" fontId="51" fillId="0" borderId="2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34" xfId="37" applyFont="1" applyFill="1" applyBorder="1" applyAlignment="1">
      <alignment horizontal="center" wrapText="1"/>
    </xf>
    <xf numFmtId="0" fontId="0" fillId="0" borderId="0" xfId="0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164" fontId="2" fillId="0" borderId="34" xfId="37" applyFill="1" applyBorder="1" applyAlignment="1">
      <alignment horizontal="center" wrapText="1"/>
    </xf>
    <xf numFmtId="164" fontId="0" fillId="0" borderId="0" xfId="0" applyNumberFormat="1" applyFill="1"/>
    <xf numFmtId="180" fontId="65" fillId="0" borderId="0" xfId="31" applyNumberFormat="1" applyFont="1"/>
    <xf numFmtId="174" fontId="3" fillId="0" borderId="34" xfId="31" applyNumberFormat="1" applyFont="1" applyFill="1" applyBorder="1" applyAlignment="1">
      <alignment horizontal="right"/>
    </xf>
    <xf numFmtId="174" fontId="4" fillId="0" borderId="34" xfId="31" applyNumberFormat="1" applyFont="1" applyFill="1" applyBorder="1" applyAlignment="1">
      <alignment horizontal="right"/>
    </xf>
    <xf numFmtId="174" fontId="3" fillId="0" borderId="34" xfId="31" applyNumberFormat="1" applyFont="1" applyFill="1" applyBorder="1"/>
    <xf numFmtId="174" fontId="4" fillId="0" borderId="35" xfId="3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wrapText="1"/>
    </xf>
    <xf numFmtId="0" fontId="3" fillId="0" borderId="62" xfId="0" applyFont="1" applyFill="1" applyBorder="1" applyAlignment="1">
      <alignment horizontal="left"/>
    </xf>
    <xf numFmtId="0" fontId="3" fillId="0" borderId="68" xfId="0" applyFont="1" applyFill="1" applyBorder="1"/>
    <xf numFmtId="173" fontId="3" fillId="0" borderId="62" xfId="0" applyNumberFormat="1" applyFont="1" applyFill="1" applyBorder="1"/>
    <xf numFmtId="173" fontId="3" fillId="0" borderId="46" xfId="0" applyNumberFormat="1" applyFont="1" applyFill="1" applyBorder="1"/>
    <xf numFmtId="173" fontId="4" fillId="0" borderId="39" xfId="0" applyNumberFormat="1" applyFont="1" applyFill="1" applyBorder="1"/>
    <xf numFmtId="0" fontId="3" fillId="0" borderId="12" xfId="0" applyFont="1" applyFill="1" applyBorder="1" applyAlignment="1">
      <alignment horizontal="left"/>
    </xf>
    <xf numFmtId="0" fontId="3" fillId="0" borderId="38" xfId="0" applyFont="1" applyFill="1" applyBorder="1"/>
    <xf numFmtId="173" fontId="3" fillId="0" borderId="12" xfId="0" applyNumberFormat="1" applyFont="1" applyFill="1" applyBorder="1"/>
    <xf numFmtId="173" fontId="3" fillId="0" borderId="10" xfId="0" applyNumberFormat="1" applyFont="1" applyFill="1" applyBorder="1"/>
    <xf numFmtId="173" fontId="4" fillId="0" borderId="13" xfId="0" applyNumberFormat="1" applyFont="1" applyFill="1" applyBorder="1"/>
    <xf numFmtId="0" fontId="4" fillId="0" borderId="12" xfId="0" applyFont="1" applyFill="1" applyBorder="1" applyAlignment="1">
      <alignment horizontal="left"/>
    </xf>
    <xf numFmtId="0" fontId="4" fillId="0" borderId="38" xfId="0" applyFont="1" applyFill="1" applyBorder="1"/>
    <xf numFmtId="173" fontId="4" fillId="0" borderId="12" xfId="0" applyNumberFormat="1" applyFont="1" applyFill="1" applyBorder="1"/>
    <xf numFmtId="173" fontId="4" fillId="0" borderId="10" xfId="0" applyNumberFormat="1" applyFont="1" applyFill="1" applyBorder="1"/>
    <xf numFmtId="0" fontId="50" fillId="0" borderId="38" xfId="0" applyFont="1" applyFill="1" applyBorder="1"/>
    <xf numFmtId="173" fontId="3" fillId="0" borderId="13" xfId="0" applyNumberFormat="1" applyFont="1" applyFill="1" applyBorder="1"/>
    <xf numFmtId="173" fontId="2" fillId="0" borderId="12" xfId="0" applyNumberFormat="1" applyFont="1" applyFill="1" applyBorder="1"/>
    <xf numFmtId="173" fontId="2" fillId="0" borderId="10" xfId="0" applyNumberFormat="1" applyFont="1" applyFill="1" applyBorder="1"/>
    <xf numFmtId="173" fontId="2" fillId="0" borderId="13" xfId="0" applyNumberFormat="1" applyFont="1" applyFill="1" applyBorder="1"/>
    <xf numFmtId="0" fontId="2" fillId="0" borderId="12" xfId="0" applyFont="1" applyFill="1" applyBorder="1" applyAlignment="1">
      <alignment horizontal="left"/>
    </xf>
    <xf numFmtId="0" fontId="2" fillId="0" borderId="38" xfId="0" applyFont="1" applyFill="1" applyBorder="1"/>
    <xf numFmtId="0" fontId="4" fillId="0" borderId="51" xfId="0" applyFont="1" applyFill="1" applyBorder="1" applyAlignment="1">
      <alignment horizontal="left"/>
    </xf>
    <xf numFmtId="0" fontId="4" fillId="0" borderId="71" xfId="0" applyFont="1" applyFill="1" applyBorder="1" applyAlignment="1">
      <alignment vertical="justify" wrapText="1"/>
    </xf>
    <xf numFmtId="173" fontId="3" fillId="0" borderId="30" xfId="0" applyNumberFormat="1" applyFont="1" applyFill="1" applyBorder="1"/>
    <xf numFmtId="181" fontId="3" fillId="0" borderId="30" xfId="0" applyNumberFormat="1" applyFont="1" applyFill="1" applyBorder="1"/>
    <xf numFmtId="0" fontId="4" fillId="0" borderId="0" xfId="0" applyFont="1" applyFill="1"/>
    <xf numFmtId="177" fontId="4" fillId="0" borderId="0" xfId="0" applyNumberFormat="1" applyFont="1" applyFill="1"/>
    <xf numFmtId="164" fontId="4" fillId="0" borderId="0" xfId="37" applyFont="1" applyFill="1"/>
    <xf numFmtId="44" fontId="4" fillId="0" borderId="0" xfId="0" applyNumberFormat="1" applyFont="1" applyFill="1"/>
    <xf numFmtId="0" fontId="13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49" fontId="2" fillId="0" borderId="42" xfId="0" applyNumberFormat="1" applyFont="1" applyFill="1" applyBorder="1" applyAlignment="1">
      <alignment horizontal="center" vertical="center"/>
    </xf>
    <xf numFmtId="8" fontId="4" fillId="0" borderId="27" xfId="0" applyNumberFormat="1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vertical="center" wrapText="1"/>
    </xf>
    <xf numFmtId="8" fontId="4" fillId="0" borderId="14" xfId="0" applyNumberFormat="1" applyFont="1" applyFill="1" applyBorder="1" applyAlignment="1">
      <alignment horizontal="center" vertical="center"/>
    </xf>
    <xf numFmtId="8" fontId="4" fillId="0" borderId="15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49" fontId="4" fillId="0" borderId="38" xfId="0" applyNumberFormat="1" applyFont="1" applyFill="1" applyBorder="1" applyAlignment="1">
      <alignment horizontal="center"/>
    </xf>
    <xf numFmtId="8" fontId="4" fillId="0" borderId="13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3" fillId="0" borderId="15" xfId="0" applyNumberFormat="1" applyFont="1" applyFill="1" applyBorder="1" applyAlignment="1">
      <alignment horizontal="center"/>
    </xf>
    <xf numFmtId="0" fontId="37" fillId="0" borderId="0" xfId="0" applyFont="1" applyFill="1"/>
    <xf numFmtId="4" fontId="2" fillId="0" borderId="0" xfId="31" applyNumberFormat="1" applyFill="1" applyAlignment="1">
      <alignment horizontal="left" vertical="center"/>
    </xf>
    <xf numFmtId="174" fontId="0" fillId="0" borderId="0" xfId="0" applyNumberFormat="1" applyFill="1"/>
    <xf numFmtId="0" fontId="8" fillId="0" borderId="110" xfId="0" applyFont="1" applyFill="1" applyBorder="1" applyAlignment="1">
      <alignment horizontal="left"/>
    </xf>
    <xf numFmtId="0" fontId="8" fillId="0" borderId="84" xfId="0" applyFont="1" applyFill="1" applyBorder="1"/>
    <xf numFmtId="174" fontId="3" fillId="0" borderId="87" xfId="0" applyNumberFormat="1" applyFont="1" applyFill="1" applyBorder="1"/>
    <xf numFmtId="174" fontId="3" fillId="0" borderId="110" xfId="0" applyNumberFormat="1" applyFont="1" applyFill="1" applyBorder="1"/>
    <xf numFmtId="174" fontId="3" fillId="0" borderId="84" xfId="0" applyNumberFormat="1" applyFont="1" applyFill="1" applyBorder="1"/>
    <xf numFmtId="0" fontId="8" fillId="0" borderId="107" xfId="0" applyFont="1" applyFill="1" applyBorder="1" applyAlignment="1">
      <alignment horizontal="left"/>
    </xf>
    <xf numFmtId="0" fontId="8" fillId="0" borderId="82" xfId="0" applyFont="1" applyFill="1" applyBorder="1"/>
    <xf numFmtId="174" fontId="3" fillId="0" borderId="48" xfId="0" applyNumberFormat="1" applyFont="1" applyFill="1" applyBorder="1"/>
    <xf numFmtId="174" fontId="3" fillId="0" borderId="107" xfId="0" applyNumberFormat="1" applyFont="1" applyFill="1" applyBorder="1"/>
    <xf numFmtId="174" fontId="3" fillId="0" borderId="82" xfId="0" applyNumberFormat="1" applyFont="1" applyFill="1" applyBorder="1"/>
    <xf numFmtId="0" fontId="7" fillId="0" borderId="107" xfId="0" applyFont="1" applyFill="1" applyBorder="1" applyAlignment="1">
      <alignment horizontal="left"/>
    </xf>
    <xf numFmtId="0" fontId="7" fillId="0" borderId="82" xfId="0" applyFont="1" applyFill="1" applyBorder="1"/>
    <xf numFmtId="174" fontId="4" fillId="0" borderId="48" xfId="0" applyNumberFormat="1" applyFont="1" applyFill="1" applyBorder="1"/>
    <xf numFmtId="174" fontId="4" fillId="0" borderId="107" xfId="0" applyNumberFormat="1" applyFont="1" applyFill="1" applyBorder="1"/>
    <xf numFmtId="174" fontId="4" fillId="0" borderId="82" xfId="0" applyNumberFormat="1" applyFont="1" applyFill="1" applyBorder="1"/>
    <xf numFmtId="174" fontId="0" fillId="0" borderId="107" xfId="0" applyNumberFormat="1" applyFill="1" applyBorder="1"/>
    <xf numFmtId="0" fontId="6" fillId="0" borderId="82" xfId="0" applyFont="1" applyFill="1" applyBorder="1"/>
    <xf numFmtId="0" fontId="7" fillId="0" borderId="80" xfId="0" applyFont="1" applyFill="1" applyBorder="1" applyAlignment="1">
      <alignment horizontal="left"/>
    </xf>
    <xf numFmtId="0" fontId="7" fillId="0" borderId="113" xfId="0" applyFont="1" applyFill="1" applyBorder="1"/>
    <xf numFmtId="174" fontId="0" fillId="0" borderId="80" xfId="0" applyNumberFormat="1" applyFill="1" applyBorder="1"/>
    <xf numFmtId="0" fontId="7" fillId="0" borderId="111" xfId="0" applyFont="1" applyFill="1" applyBorder="1" applyAlignment="1">
      <alignment horizontal="left"/>
    </xf>
    <xf numFmtId="0" fontId="7" fillId="0" borderId="114" xfId="0" applyFont="1" applyFill="1" applyBorder="1"/>
    <xf numFmtId="174" fontId="0" fillId="0" borderId="111" xfId="0" applyNumberFormat="1" applyFill="1" applyBorder="1"/>
    <xf numFmtId="0" fontId="7" fillId="0" borderId="112" xfId="0" applyFont="1" applyFill="1" applyBorder="1" applyAlignment="1">
      <alignment horizontal="left"/>
    </xf>
    <xf numFmtId="0" fontId="7" fillId="0" borderId="115" xfId="0" applyFont="1" applyFill="1" applyBorder="1"/>
    <xf numFmtId="174" fontId="0" fillId="0" borderId="112" xfId="0" applyNumberFormat="1" applyFill="1" applyBorder="1"/>
    <xf numFmtId="0" fontId="8" fillId="0" borderId="37" xfId="0" applyFont="1" applyFill="1" applyBorder="1" applyAlignment="1">
      <alignment horizontal="left"/>
    </xf>
    <xf numFmtId="0" fontId="8" fillId="0" borderId="75" xfId="0" applyFont="1" applyFill="1" applyBorder="1"/>
    <xf numFmtId="174" fontId="3" fillId="0" borderId="37" xfId="0" applyNumberFormat="1" applyFont="1" applyFill="1" applyBorder="1"/>
    <xf numFmtId="174" fontId="3" fillId="0" borderId="106" xfId="0" applyNumberFormat="1" applyFont="1" applyFill="1" applyBorder="1"/>
    <xf numFmtId="174" fontId="4" fillId="0" borderId="106" xfId="0" applyNumberFormat="1" applyFont="1" applyFill="1" applyBorder="1"/>
    <xf numFmtId="174" fontId="0" fillId="0" borderId="106" xfId="0" applyNumberFormat="1" applyFill="1" applyBorder="1"/>
    <xf numFmtId="49" fontId="8" fillId="0" borderId="12" xfId="31" applyNumberFormat="1" applyFont="1" applyFill="1" applyBorder="1" applyAlignment="1">
      <alignment horizontal="left"/>
    </xf>
    <xf numFmtId="4" fontId="8" fillId="0" borderId="38" xfId="31" applyNumberFormat="1" applyFont="1" applyFill="1" applyBorder="1"/>
    <xf numFmtId="174" fontId="3" fillId="0" borderId="12" xfId="0" applyNumberFormat="1" applyFont="1" applyFill="1" applyBorder="1"/>
    <xf numFmtId="174" fontId="3" fillId="0" borderId="10" xfId="0" applyNumberFormat="1" applyFont="1" applyFill="1" applyBorder="1"/>
    <xf numFmtId="174" fontId="3" fillId="0" borderId="13" xfId="0" applyNumberFormat="1" applyFont="1" applyFill="1" applyBorder="1"/>
    <xf numFmtId="49" fontId="7" fillId="0" borderId="14" xfId="31" applyNumberFormat="1" applyFont="1" applyFill="1" applyBorder="1" applyAlignment="1">
      <alignment horizontal="left"/>
    </xf>
    <xf numFmtId="0" fontId="7" fillId="0" borderId="16" xfId="0" applyFont="1" applyFill="1" applyBorder="1" applyAlignment="1">
      <alignment vertical="center" wrapText="1"/>
    </xf>
    <xf numFmtId="174" fontId="4" fillId="0" borderId="14" xfId="0" applyNumberFormat="1" applyFont="1" applyFill="1" applyBorder="1"/>
    <xf numFmtId="174" fontId="4" fillId="0" borderId="72" xfId="0" applyNumberFormat="1" applyFont="1" applyFill="1" applyBorder="1"/>
    <xf numFmtId="174" fontId="0" fillId="0" borderId="15" xfId="0" applyNumberFormat="1" applyFill="1" applyBorder="1"/>
    <xf numFmtId="0" fontId="0" fillId="0" borderId="61" xfId="0" applyFill="1" applyBorder="1"/>
    <xf numFmtId="0" fontId="3" fillId="0" borderId="30" xfId="0" applyFont="1" applyFill="1" applyBorder="1"/>
    <xf numFmtId="174" fontId="3" fillId="0" borderId="11" xfId="0" applyNumberFormat="1" applyFont="1" applyFill="1" applyBorder="1"/>
    <xf numFmtId="174" fontId="51" fillId="0" borderId="0" xfId="0" applyNumberFormat="1" applyFont="1" applyFill="1"/>
    <xf numFmtId="174" fontId="3" fillId="0" borderId="88" xfId="0" applyNumberFormat="1" applyFont="1" applyFill="1" applyBorder="1"/>
    <xf numFmtId="0" fontId="6" fillId="0" borderId="107" xfId="0" applyFont="1" applyFill="1" applyBorder="1" applyAlignment="1">
      <alignment horizontal="left"/>
    </xf>
    <xf numFmtId="49" fontId="8" fillId="0" borderId="107" xfId="31" applyNumberFormat="1" applyFont="1" applyFill="1" applyBorder="1" applyAlignment="1">
      <alignment horizontal="left"/>
    </xf>
    <xf numFmtId="4" fontId="8" fillId="0" borderId="82" xfId="31" applyNumberFormat="1" applyFont="1" applyFill="1" applyBorder="1"/>
    <xf numFmtId="49" fontId="7" fillId="0" borderId="80" xfId="31" applyNumberFormat="1" applyFont="1" applyFill="1" applyBorder="1" applyAlignment="1">
      <alignment horizontal="left"/>
    </xf>
    <xf numFmtId="0" fontId="7" fillId="0" borderId="113" xfId="0" applyFont="1" applyFill="1" applyBorder="1" applyAlignment="1">
      <alignment vertical="center" wrapText="1"/>
    </xf>
    <xf numFmtId="174" fontId="4" fillId="0" borderId="15" xfId="0" applyNumberFormat="1" applyFont="1" applyFill="1" applyBorder="1"/>
    <xf numFmtId="174" fontId="0" fillId="0" borderId="70" xfId="0" applyNumberFormat="1" applyFill="1" applyBorder="1"/>
    <xf numFmtId="0" fontId="0" fillId="0" borderId="30" xfId="0" applyFill="1" applyBorder="1"/>
    <xf numFmtId="0" fontId="3" fillId="0" borderId="32" xfId="0" applyFont="1" applyFill="1" applyBorder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74" fontId="0" fillId="0" borderId="0" xfId="0" applyNumberFormat="1" applyFill="1" applyAlignment="1">
      <alignment horizontal="center"/>
    </xf>
    <xf numFmtId="0" fontId="5" fillId="0" borderId="0" xfId="0" applyFont="1" applyFill="1"/>
    <xf numFmtId="0" fontId="5" fillId="0" borderId="31" xfId="0" applyFont="1" applyFill="1" applyBorder="1"/>
    <xf numFmtId="0" fontId="3" fillId="0" borderId="47" xfId="0" applyFont="1" applyFill="1" applyBorder="1"/>
    <xf numFmtId="0" fontId="8" fillId="0" borderId="3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174" fontId="8" fillId="0" borderId="30" xfId="0" applyNumberFormat="1" applyFont="1" applyFill="1" applyBorder="1" applyAlignment="1">
      <alignment horizontal="center" wrapText="1"/>
    </xf>
    <xf numFmtId="165" fontId="8" fillId="0" borderId="30" xfId="0" applyNumberFormat="1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8" fillId="0" borderId="84" xfId="0" applyFont="1" applyFill="1" applyBorder="1" applyAlignment="1">
      <alignment horizontal="left"/>
    </xf>
    <xf numFmtId="174" fontId="3" fillId="0" borderId="17" xfId="33" applyNumberFormat="1" applyFont="1" applyFill="1" applyBorder="1" applyAlignment="1">
      <alignment vertical="center"/>
    </xf>
    <xf numFmtId="164" fontId="3" fillId="0" borderId="17" xfId="33" applyNumberFormat="1" applyFont="1" applyFill="1" applyBorder="1" applyAlignment="1">
      <alignment vertical="center"/>
    </xf>
    <xf numFmtId="167" fontId="3" fillId="0" borderId="18" xfId="0" applyNumberFormat="1" applyFont="1" applyFill="1" applyBorder="1" applyAlignment="1">
      <alignment vertical="center"/>
    </xf>
    <xf numFmtId="167" fontId="3" fillId="0" borderId="109" xfId="0" applyNumberFormat="1" applyFont="1" applyFill="1" applyBorder="1" applyAlignment="1">
      <alignment vertical="center"/>
    </xf>
    <xf numFmtId="167" fontId="3" fillId="0" borderId="110" xfId="0" applyNumberFormat="1" applyFont="1" applyFill="1" applyBorder="1" applyAlignment="1">
      <alignment vertical="center"/>
    </xf>
    <xf numFmtId="0" fontId="8" fillId="0" borderId="82" xfId="0" applyFont="1" applyFill="1" applyBorder="1" applyAlignment="1">
      <alignment horizontal="left"/>
    </xf>
    <xf numFmtId="174" fontId="3" fillId="0" borderId="12" xfId="37" applyNumberFormat="1" applyFont="1" applyFill="1" applyBorder="1" applyAlignment="1">
      <alignment vertical="center"/>
    </xf>
    <xf numFmtId="164" fontId="3" fillId="0" borderId="12" xfId="37" applyFont="1" applyFill="1" applyBorder="1" applyAlignment="1">
      <alignment vertical="center"/>
    </xf>
    <xf numFmtId="167" fontId="3" fillId="0" borderId="10" xfId="0" quotePrefix="1" applyNumberFormat="1" applyFont="1" applyFill="1" applyBorder="1" applyAlignment="1">
      <alignment wrapText="1"/>
    </xf>
    <xf numFmtId="167" fontId="3" fillId="0" borderId="38" xfId="0" quotePrefix="1" applyNumberFormat="1" applyFont="1" applyFill="1" applyBorder="1" applyAlignment="1">
      <alignment wrapText="1"/>
    </xf>
    <xf numFmtId="167" fontId="3" fillId="0" borderId="107" xfId="0" quotePrefix="1" applyNumberFormat="1" applyFont="1" applyFill="1" applyBorder="1" applyAlignment="1">
      <alignment wrapText="1"/>
    </xf>
    <xf numFmtId="49" fontId="7" fillId="0" borderId="107" xfId="31" applyNumberFormat="1" applyFont="1" applyFill="1" applyBorder="1" applyAlignment="1">
      <alignment horizontal="left"/>
    </xf>
    <xf numFmtId="4" fontId="7" fillId="0" borderId="82" xfId="31" applyNumberFormat="1" applyFont="1" applyFill="1" applyBorder="1"/>
    <xf numFmtId="167" fontId="50" fillId="0" borderId="10" xfId="34" quotePrefix="1" applyNumberFormat="1" applyFont="1" applyFill="1" applyBorder="1" applyAlignment="1">
      <alignment wrapText="1"/>
    </xf>
    <xf numFmtId="167" fontId="50" fillId="0" borderId="38" xfId="34" quotePrefix="1" applyNumberFormat="1" applyFont="1" applyFill="1" applyBorder="1" applyAlignment="1">
      <alignment wrapText="1"/>
    </xf>
    <xf numFmtId="167" fontId="50" fillId="0" borderId="107" xfId="34" quotePrefix="1" applyNumberFormat="1" applyFont="1" applyFill="1" applyBorder="1" applyAlignment="1">
      <alignment wrapText="1"/>
    </xf>
    <xf numFmtId="167" fontId="61" fillId="0" borderId="10" xfId="34" quotePrefix="1" applyNumberFormat="1" applyFont="1" applyFill="1" applyBorder="1" applyAlignment="1">
      <alignment wrapText="1"/>
    </xf>
    <xf numFmtId="167" fontId="61" fillId="0" borderId="38" xfId="34" quotePrefix="1" applyNumberFormat="1" applyFont="1" applyFill="1" applyBorder="1" applyAlignment="1">
      <alignment wrapText="1"/>
    </xf>
    <xf numFmtId="167" fontId="50" fillId="0" borderId="10" xfId="34" applyNumberFormat="1" applyFont="1" applyFill="1" applyBorder="1"/>
    <xf numFmtId="167" fontId="50" fillId="0" borderId="38" xfId="34" applyNumberFormat="1" applyFont="1" applyFill="1" applyBorder="1"/>
    <xf numFmtId="167" fontId="61" fillId="0" borderId="107" xfId="34" quotePrefix="1" applyNumberFormat="1" applyFont="1" applyFill="1" applyBorder="1" applyAlignment="1">
      <alignment wrapText="1"/>
    </xf>
    <xf numFmtId="167" fontId="61" fillId="0" borderId="10" xfId="34" applyNumberFormat="1" applyFont="1" applyFill="1" applyBorder="1"/>
    <xf numFmtId="167" fontId="61" fillId="0" borderId="38" xfId="34" applyNumberFormat="1" applyFont="1" applyFill="1" applyBorder="1"/>
    <xf numFmtId="4" fontId="8" fillId="0" borderId="82" xfId="31" applyNumberFormat="1" applyFont="1" applyFill="1" applyBorder="1" applyAlignment="1">
      <alignment vertical="center" wrapText="1"/>
    </xf>
    <xf numFmtId="167" fontId="61" fillId="0" borderId="107" xfId="34" quotePrefix="1" applyNumberFormat="1" applyFont="1" applyFill="1" applyBorder="1" applyAlignment="1">
      <alignment vertical="center" wrapText="1"/>
    </xf>
    <xf numFmtId="174" fontId="2" fillId="0" borderId="12" xfId="37" applyNumberFormat="1" applyFill="1" applyBorder="1" applyAlignment="1">
      <alignment vertical="center"/>
    </xf>
    <xf numFmtId="164" fontId="2" fillId="0" borderId="107" xfId="37" applyFill="1" applyBorder="1" applyAlignment="1">
      <alignment vertical="center"/>
    </xf>
    <xf numFmtId="167" fontId="61" fillId="0" borderId="107" xfId="33" applyNumberFormat="1" applyFont="1" applyFill="1" applyBorder="1" applyAlignment="1">
      <alignment vertical="center"/>
    </xf>
    <xf numFmtId="174" fontId="3" fillId="0" borderId="12" xfId="37" applyNumberFormat="1" applyFont="1" applyFill="1" applyBorder="1"/>
    <xf numFmtId="164" fontId="3" fillId="0" borderId="107" xfId="37" applyFont="1" applyFill="1" applyBorder="1"/>
    <xf numFmtId="167" fontId="2" fillId="0" borderId="10" xfId="34" applyNumberFormat="1" applyFill="1" applyBorder="1"/>
    <xf numFmtId="167" fontId="2" fillId="0" borderId="38" xfId="34" applyNumberFormat="1" applyFill="1" applyBorder="1"/>
    <xf numFmtId="167" fontId="3" fillId="0" borderId="107" xfId="34" quotePrefix="1" applyNumberFormat="1" applyFont="1" applyFill="1" applyBorder="1" applyAlignment="1">
      <alignment wrapText="1"/>
    </xf>
    <xf numFmtId="174" fontId="2" fillId="0" borderId="12" xfId="37" applyNumberFormat="1" applyFill="1" applyBorder="1"/>
    <xf numFmtId="164" fontId="2" fillId="0" borderId="107" xfId="37" applyFill="1" applyBorder="1"/>
    <xf numFmtId="167" fontId="2" fillId="0" borderId="107" xfId="34" quotePrefix="1" applyNumberFormat="1" applyFill="1" applyBorder="1" applyAlignment="1">
      <alignment wrapText="1"/>
    </xf>
    <xf numFmtId="167" fontId="3" fillId="0" borderId="10" xfId="34" applyNumberFormat="1" applyFont="1" applyFill="1" applyBorder="1"/>
    <xf numFmtId="167" fontId="3" fillId="0" borderId="38" xfId="34" applyNumberFormat="1" applyFont="1" applyFill="1" applyBorder="1"/>
    <xf numFmtId="0" fontId="7" fillId="0" borderId="82" xfId="0" applyFont="1" applyFill="1" applyBorder="1" applyAlignment="1">
      <alignment vertical="center" wrapText="1"/>
    </xf>
    <xf numFmtId="174" fontId="3" fillId="0" borderId="62" xfId="37" applyNumberFormat="1" applyFont="1" applyFill="1" applyBorder="1"/>
    <xf numFmtId="164" fontId="3" fillId="0" borderId="37" xfId="37" applyFont="1" applyFill="1" applyBorder="1"/>
    <xf numFmtId="167" fontId="2" fillId="0" borderId="46" xfId="34" applyNumberFormat="1" applyFill="1" applyBorder="1"/>
    <xf numFmtId="167" fontId="2" fillId="0" borderId="68" xfId="34" applyNumberFormat="1" applyFill="1" applyBorder="1"/>
    <xf numFmtId="167" fontId="3" fillId="0" borderId="37" xfId="34" quotePrefix="1" applyNumberFormat="1" applyFont="1" applyFill="1" applyBorder="1" applyAlignment="1">
      <alignment wrapText="1"/>
    </xf>
    <xf numFmtId="0" fontId="7" fillId="0" borderId="107" xfId="0" applyFont="1" applyFill="1" applyBorder="1" applyAlignment="1">
      <alignment horizontal="left" vertical="center"/>
    </xf>
    <xf numFmtId="167" fontId="2" fillId="0" borderId="10" xfId="34" applyNumberFormat="1" applyFill="1" applyBorder="1" applyAlignment="1">
      <alignment vertical="center"/>
    </xf>
    <xf numFmtId="167" fontId="2" fillId="0" borderId="38" xfId="34" applyNumberFormat="1" applyFill="1" applyBorder="1" applyAlignment="1">
      <alignment vertical="center"/>
    </xf>
    <xf numFmtId="167" fontId="2" fillId="0" borderId="107" xfId="34" quotePrefix="1" applyNumberFormat="1" applyFill="1" applyBorder="1" applyAlignment="1">
      <alignment vertical="center" wrapText="1"/>
    </xf>
    <xf numFmtId="167" fontId="3" fillId="0" borderId="10" xfId="0" applyNumberFormat="1" applyFont="1" applyFill="1" applyBorder="1"/>
    <xf numFmtId="167" fontId="3" fillId="0" borderId="38" xfId="0" applyNumberFormat="1" applyFont="1" applyFill="1" applyBorder="1"/>
    <xf numFmtId="174" fontId="2" fillId="0" borderId="48" xfId="37" applyNumberFormat="1" applyFill="1" applyBorder="1"/>
    <xf numFmtId="174" fontId="3" fillId="0" borderId="48" xfId="37" applyNumberFormat="1" applyFont="1" applyFill="1" applyBorder="1"/>
    <xf numFmtId="167" fontId="0" fillId="0" borderId="10" xfId="0" applyNumberFormat="1" applyFill="1" applyBorder="1"/>
    <xf numFmtId="167" fontId="0" fillId="0" borderId="38" xfId="0" applyNumberFormat="1" applyFill="1" applyBorder="1"/>
    <xf numFmtId="164" fontId="4" fillId="0" borderId="107" xfId="37" applyFont="1" applyFill="1" applyBorder="1"/>
    <xf numFmtId="0" fontId="8" fillId="0" borderId="107" xfId="0" applyFont="1" applyFill="1" applyBorder="1" applyAlignment="1">
      <alignment horizontal="left" vertical="center"/>
    </xf>
    <xf numFmtId="164" fontId="3" fillId="0" borderId="107" xfId="37" applyFont="1" applyFill="1" applyBorder="1" applyAlignment="1">
      <alignment vertical="center"/>
    </xf>
    <xf numFmtId="167" fontId="0" fillId="0" borderId="10" xfId="0" applyNumberFormat="1" applyFill="1" applyBorder="1" applyAlignment="1">
      <alignment vertical="center"/>
    </xf>
    <xf numFmtId="167" fontId="0" fillId="0" borderId="38" xfId="0" applyNumberFormat="1" applyFill="1" applyBorder="1" applyAlignment="1">
      <alignment vertical="center"/>
    </xf>
    <xf numFmtId="167" fontId="3" fillId="0" borderId="107" xfId="34" quotePrefix="1" applyNumberFormat="1" applyFont="1" applyFill="1" applyBorder="1" applyAlignment="1">
      <alignment vertical="center" wrapText="1"/>
    </xf>
    <xf numFmtId="0" fontId="6" fillId="0" borderId="82" xfId="0" applyFont="1" applyFill="1" applyBorder="1" applyAlignment="1">
      <alignment vertical="center" wrapText="1"/>
    </xf>
    <xf numFmtId="4" fontId="8" fillId="0" borderId="0" xfId="31" applyNumberFormat="1" applyFont="1" applyFill="1"/>
    <xf numFmtId="167" fontId="4" fillId="0" borderId="10" xfId="0" applyNumberFormat="1" applyFont="1" applyFill="1" applyBorder="1"/>
    <xf numFmtId="167" fontId="4" fillId="0" borderId="38" xfId="0" applyNumberFormat="1" applyFont="1" applyFill="1" applyBorder="1"/>
    <xf numFmtId="167" fontId="4" fillId="0" borderId="107" xfId="34" quotePrefix="1" applyNumberFormat="1" applyFont="1" applyFill="1" applyBorder="1" applyAlignment="1">
      <alignment wrapText="1"/>
    </xf>
    <xf numFmtId="174" fontId="4" fillId="0" borderId="12" xfId="37" applyNumberFormat="1" applyFont="1" applyFill="1" applyBorder="1"/>
    <xf numFmtId="174" fontId="8" fillId="0" borderId="12" xfId="37" applyNumberFormat="1" applyFont="1" applyFill="1" applyBorder="1" applyAlignment="1">
      <alignment vertical="center" wrapText="1"/>
    </xf>
    <xf numFmtId="0" fontId="7" fillId="0" borderId="108" xfId="0" applyFont="1" applyFill="1" applyBorder="1" applyAlignment="1">
      <alignment horizontal="left"/>
    </xf>
    <xf numFmtId="0" fontId="7" fillId="0" borderId="86" xfId="0" applyFont="1" applyFill="1" applyBorder="1" applyAlignment="1">
      <alignment vertical="center" wrapText="1"/>
    </xf>
    <xf numFmtId="174" fontId="7" fillId="0" borderId="51" xfId="37" applyNumberFormat="1" applyFont="1" applyFill="1" applyBorder="1" applyAlignment="1">
      <alignment vertical="center" wrapText="1"/>
    </xf>
    <xf numFmtId="164" fontId="2" fillId="0" borderId="108" xfId="37" applyFill="1" applyBorder="1"/>
    <xf numFmtId="167" fontId="0" fillId="0" borderId="52" xfId="0" applyNumberFormat="1" applyFill="1" applyBorder="1"/>
    <xf numFmtId="167" fontId="0" fillId="0" borderId="71" xfId="0" applyNumberFormat="1" applyFill="1" applyBorder="1"/>
    <xf numFmtId="167" fontId="2" fillId="0" borderId="108" xfId="34" quotePrefix="1" applyNumberFormat="1" applyFill="1" applyBorder="1" applyAlignment="1">
      <alignment wrapText="1"/>
    </xf>
    <xf numFmtId="0" fontId="3" fillId="0" borderId="32" xfId="0" applyFont="1" applyFill="1" applyBorder="1" applyAlignment="1">
      <alignment horizontal="center"/>
    </xf>
    <xf numFmtId="174" fontId="3" fillId="0" borderId="53" xfId="37" applyNumberFormat="1" applyFont="1" applyFill="1" applyBorder="1"/>
    <xf numFmtId="167" fontId="3" fillId="0" borderId="54" xfId="0" applyNumberFormat="1" applyFont="1" applyFill="1" applyBorder="1"/>
    <xf numFmtId="167" fontId="3" fillId="0" borderId="56" xfId="0" applyNumberFormat="1" applyFont="1" applyFill="1" applyBorder="1"/>
    <xf numFmtId="167" fontId="3" fillId="0" borderId="30" xfId="0" applyNumberFormat="1" applyFont="1" applyFill="1" applyBorder="1"/>
    <xf numFmtId="0" fontId="51" fillId="0" borderId="0" xfId="0" applyFont="1" applyFill="1"/>
    <xf numFmtId="174" fontId="50" fillId="0" borderId="0" xfId="0" applyNumberFormat="1" applyFont="1" applyFill="1"/>
    <xf numFmtId="165" fontId="50" fillId="0" borderId="0" xfId="0" applyNumberFormat="1" applyFont="1" applyFill="1"/>
    <xf numFmtId="0" fontId="58" fillId="0" borderId="0" xfId="0" applyFont="1" applyFill="1"/>
    <xf numFmtId="165" fontId="0" fillId="0" borderId="0" xfId="0" applyNumberFormat="1" applyFill="1"/>
    <xf numFmtId="165" fontId="58" fillId="0" borderId="0" xfId="0" applyNumberFormat="1" applyFont="1" applyFill="1"/>
    <xf numFmtId="174" fontId="58" fillId="0" borderId="0" xfId="0" applyNumberFormat="1" applyFont="1" applyFill="1"/>
    <xf numFmtId="0" fontId="6" fillId="0" borderId="0" xfId="0" applyFont="1" applyFill="1" applyAlignment="1">
      <alignment horizontal="right"/>
    </xf>
    <xf numFmtId="174" fontId="62" fillId="0" borderId="0" xfId="0" applyNumberFormat="1" applyFont="1" applyFill="1"/>
    <xf numFmtId="165" fontId="6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164" fontId="2" fillId="0" borderId="0" xfId="37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164" fontId="3" fillId="0" borderId="0" xfId="37" applyFont="1" applyFill="1" applyAlignment="1">
      <alignment horizontal="center" wrapText="1"/>
    </xf>
    <xf numFmtId="4" fontId="3" fillId="0" borderId="0" xfId="31" applyNumberFormat="1" applyFont="1" applyFill="1" applyAlignment="1">
      <alignment wrapText="1"/>
    </xf>
    <xf numFmtId="0" fontId="2" fillId="0" borderId="20" xfId="0" applyFont="1" applyFill="1" applyBorder="1" applyAlignment="1">
      <alignment horizontal="left"/>
    </xf>
    <xf numFmtId="4" fontId="3" fillId="0" borderId="43" xfId="31" applyNumberFormat="1" applyFont="1" applyFill="1" applyBorder="1" applyAlignment="1">
      <alignment wrapText="1"/>
    </xf>
    <xf numFmtId="167" fontId="3" fillId="0" borderId="0" xfId="31" applyNumberFormat="1" applyFont="1" applyFill="1" applyAlignment="1">
      <alignment horizontal="right"/>
    </xf>
    <xf numFmtId="4" fontId="2" fillId="0" borderId="0" xfId="31" applyNumberFormat="1" applyFill="1" applyAlignment="1">
      <alignment wrapText="1"/>
    </xf>
    <xf numFmtId="4" fontId="3" fillId="0" borderId="43" xfId="31" applyNumberFormat="1" applyFont="1" applyFill="1" applyBorder="1" applyAlignment="1">
      <alignment vertical="center" wrapText="1"/>
    </xf>
    <xf numFmtId="4" fontId="2" fillId="0" borderId="43" xfId="31" applyNumberFormat="1" applyFill="1" applyBorder="1" applyAlignment="1">
      <alignment vertical="center" wrapText="1"/>
    </xf>
    <xf numFmtId="164" fontId="2" fillId="0" borderId="0" xfId="37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4" fontId="0" fillId="0" borderId="0" xfId="0" applyNumberFormat="1" applyFill="1"/>
    <xf numFmtId="0" fontId="3" fillId="0" borderId="0" xfId="0" applyFont="1" applyFill="1" applyBorder="1" applyAlignment="1">
      <alignment horizontal="left" vertical="center" wrapText="1"/>
    </xf>
    <xf numFmtId="0" fontId="53" fillId="0" borderId="61" xfId="0" applyFont="1" applyFill="1" applyBorder="1" applyAlignment="1">
      <alignment horizontal="center" wrapText="1"/>
    </xf>
    <xf numFmtId="0" fontId="53" fillId="0" borderId="30" xfId="0" applyFont="1" applyFill="1" applyBorder="1" applyAlignment="1">
      <alignment horizontal="center" wrapText="1"/>
    </xf>
    <xf numFmtId="0" fontId="53" fillId="0" borderId="47" xfId="0" applyFont="1" applyFill="1" applyBorder="1" applyAlignment="1">
      <alignment horizontal="center" wrapText="1"/>
    </xf>
    <xf numFmtId="0" fontId="53" fillId="0" borderId="20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 wrapText="1"/>
    </xf>
    <xf numFmtId="0" fontId="53" fillId="0" borderId="23" xfId="0" applyFont="1" applyFill="1" applyBorder="1" applyAlignment="1">
      <alignment horizontal="center" wrapText="1"/>
    </xf>
    <xf numFmtId="0" fontId="53" fillId="0" borderId="0" xfId="0" applyFont="1" applyFill="1" applyAlignment="1">
      <alignment horizontal="center" wrapText="1"/>
    </xf>
    <xf numFmtId="0" fontId="53" fillId="0" borderId="23" xfId="0" applyFont="1" applyFill="1" applyBorder="1" applyAlignment="1">
      <alignment horizontal="center" vertical="center" wrapText="1"/>
    </xf>
    <xf numFmtId="49" fontId="64" fillId="0" borderId="24" xfId="0" applyNumberFormat="1" applyFont="1" applyFill="1" applyBorder="1" applyAlignment="1">
      <alignment horizontal="center"/>
    </xf>
    <xf numFmtId="174" fontId="3" fillId="0" borderId="23" xfId="31" applyNumberFormat="1" applyFont="1" applyFill="1" applyBorder="1" applyAlignment="1">
      <alignment horizontal="right"/>
    </xf>
    <xf numFmtId="174" fontId="3" fillId="0" borderId="104" xfId="31" applyNumberFormat="1" applyFont="1" applyFill="1" applyBorder="1" applyAlignment="1">
      <alignment horizontal="right"/>
    </xf>
    <xf numFmtId="174" fontId="3" fillId="0" borderId="21" xfId="31" applyNumberFormat="1" applyFont="1" applyFill="1" applyBorder="1" applyAlignment="1">
      <alignment horizontal="right"/>
    </xf>
    <xf numFmtId="174" fontId="2" fillId="0" borderId="21" xfId="31" applyNumberFormat="1" applyFill="1" applyBorder="1" applyAlignment="1">
      <alignment horizontal="right"/>
    </xf>
    <xf numFmtId="174" fontId="4" fillId="0" borderId="23" xfId="31" applyNumberFormat="1" applyFont="1" applyFill="1" applyBorder="1" applyAlignment="1">
      <alignment horizontal="right"/>
    </xf>
    <xf numFmtId="174" fontId="4" fillId="0" borderId="104" xfId="31" applyNumberFormat="1" applyFont="1" applyFill="1" applyBorder="1" applyAlignment="1">
      <alignment horizontal="right"/>
    </xf>
    <xf numFmtId="174" fontId="4" fillId="0" borderId="21" xfId="31" applyNumberFormat="1" applyFont="1" applyFill="1" applyBorder="1" applyAlignment="1">
      <alignment horizontal="right"/>
    </xf>
    <xf numFmtId="49" fontId="64" fillId="0" borderId="24" xfId="0" applyNumberFormat="1" applyFont="1" applyFill="1" applyBorder="1" applyAlignment="1">
      <alignment horizontal="center" vertical="center" wrapText="1"/>
    </xf>
    <xf numFmtId="174" fontId="3" fillId="0" borderId="23" xfId="31" applyNumberFormat="1" applyFont="1" applyFill="1" applyBorder="1"/>
    <xf numFmtId="174" fontId="4" fillId="0" borderId="104" xfId="31" applyNumberFormat="1" applyFont="1" applyFill="1" applyBorder="1"/>
    <xf numFmtId="174" fontId="3" fillId="0" borderId="21" xfId="31" applyNumberFormat="1" applyFont="1" applyFill="1" applyBorder="1"/>
    <xf numFmtId="174" fontId="2" fillId="0" borderId="23" xfId="31" applyNumberFormat="1" applyFill="1" applyBorder="1" applyAlignment="1">
      <alignment horizontal="right"/>
    </xf>
    <xf numFmtId="0" fontId="3" fillId="0" borderId="61" xfId="0" applyFont="1" applyFill="1" applyBorder="1" applyAlignment="1">
      <alignment horizontal="left"/>
    </xf>
    <xf numFmtId="0" fontId="3" fillId="0" borderId="53" xfId="0" applyFont="1" applyFill="1" applyBorder="1" applyAlignment="1">
      <alignment horizontal="left"/>
    </xf>
    <xf numFmtId="4" fontId="3" fillId="0" borderId="56" xfId="31" applyNumberFormat="1" applyFont="1" applyFill="1" applyBorder="1"/>
    <xf numFmtId="174" fontId="3" fillId="0" borderId="53" xfId="3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4" fontId="3" fillId="0" borderId="0" xfId="31" applyNumberFormat="1" applyFont="1" applyFill="1"/>
    <xf numFmtId="0" fontId="0" fillId="0" borderId="0" xfId="0" applyFill="1" applyAlignment="1">
      <alignment horizontal="left"/>
    </xf>
    <xf numFmtId="164" fontId="0" fillId="0" borderId="0" xfId="37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horizontal="left"/>
    </xf>
    <xf numFmtId="0" fontId="45" fillId="0" borderId="33" xfId="0" applyFont="1" applyFill="1" applyBorder="1" applyAlignment="1">
      <alignment horizontal="left"/>
    </xf>
    <xf numFmtId="0" fontId="45" fillId="0" borderId="35" xfId="0" applyFont="1" applyFill="1" applyBorder="1" applyAlignment="1">
      <alignment horizontal="left"/>
    </xf>
    <xf numFmtId="0" fontId="47" fillId="0" borderId="30" xfId="0" applyFont="1" applyFill="1" applyBorder="1" applyAlignment="1">
      <alignment horizontal="center" wrapText="1"/>
    </xf>
    <xf numFmtId="0" fontId="0" fillId="0" borderId="25" xfId="0" applyFill="1" applyBorder="1" applyAlignment="1">
      <alignment horizontal="left"/>
    </xf>
    <xf numFmtId="4" fontId="2" fillId="0" borderId="26" xfId="31" applyNumberFormat="1" applyFill="1" applyBorder="1"/>
    <xf numFmtId="4" fontId="4" fillId="0" borderId="26" xfId="31" applyNumberFormat="1" applyFont="1" applyFill="1" applyBorder="1"/>
    <xf numFmtId="0" fontId="3" fillId="0" borderId="24" xfId="0" applyFont="1" applyFill="1" applyBorder="1" applyAlignment="1">
      <alignment horizontal="left"/>
    </xf>
    <xf numFmtId="4" fontId="3" fillId="0" borderId="22" xfId="31" applyNumberFormat="1" applyFont="1" applyFill="1" applyBorder="1"/>
    <xf numFmtId="4" fontId="4" fillId="0" borderId="22" xfId="31" applyNumberFormat="1" applyFont="1" applyFill="1" applyBorder="1"/>
    <xf numFmtId="0" fontId="0" fillId="0" borderId="34" xfId="0" applyFill="1" applyBorder="1" applyAlignment="1">
      <alignment horizontal="left"/>
    </xf>
    <xf numFmtId="4" fontId="2" fillId="0" borderId="34" xfId="31" applyNumberFormat="1" applyFill="1" applyBorder="1"/>
    <xf numFmtId="164" fontId="4" fillId="0" borderId="34" xfId="37" applyFont="1" applyFill="1" applyBorder="1"/>
    <xf numFmtId="0" fontId="3" fillId="0" borderId="34" xfId="0" applyFont="1" applyFill="1" applyBorder="1" applyAlignment="1">
      <alignment horizontal="left"/>
    </xf>
    <xf numFmtId="0" fontId="3" fillId="0" borderId="34" xfId="0" applyFont="1" applyFill="1" applyBorder="1"/>
    <xf numFmtId="164" fontId="3" fillId="0" borderId="34" xfId="37" applyFont="1" applyFill="1" applyBorder="1"/>
    <xf numFmtId="4" fontId="3" fillId="0" borderId="34" xfId="31" applyNumberFormat="1" applyFont="1" applyFill="1" applyBorder="1"/>
    <xf numFmtId="0" fontId="4" fillId="0" borderId="34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164" fontId="2" fillId="0" borderId="34" xfId="37" applyFill="1" applyBorder="1"/>
    <xf numFmtId="4" fontId="5" fillId="0" borderId="34" xfId="31" applyNumberFormat="1" applyFont="1" applyFill="1" applyBorder="1"/>
    <xf numFmtId="0" fontId="4" fillId="0" borderId="34" xfId="0" applyFont="1" applyFill="1" applyBorder="1"/>
    <xf numFmtId="0" fontId="0" fillId="0" borderId="24" xfId="0" applyFill="1" applyBorder="1" applyAlignment="1">
      <alignment horizontal="left"/>
    </xf>
    <xf numFmtId="0" fontId="0" fillId="0" borderId="22" xfId="0" applyFill="1" applyBorder="1"/>
    <xf numFmtId="164" fontId="3" fillId="0" borderId="22" xfId="37" applyFont="1" applyFill="1" applyBorder="1"/>
    <xf numFmtId="0" fontId="3" fillId="0" borderId="22" xfId="0" applyFont="1" applyFill="1" applyBorder="1"/>
    <xf numFmtId="164" fontId="4" fillId="0" borderId="22" xfId="37" applyFont="1" applyFill="1" applyBorder="1"/>
    <xf numFmtId="164" fontId="48" fillId="0" borderId="22" xfId="37" applyFont="1" applyFill="1" applyBorder="1"/>
    <xf numFmtId="4" fontId="8" fillId="0" borderId="22" xfId="0" applyNumberFormat="1" applyFont="1" applyFill="1" applyBorder="1"/>
    <xf numFmtId="4" fontId="7" fillId="0" borderId="22" xfId="0" applyNumberFormat="1" applyFont="1" applyFill="1" applyBorder="1"/>
    <xf numFmtId="0" fontId="12" fillId="0" borderId="24" xfId="0" applyFont="1" applyFill="1" applyBorder="1" applyAlignment="1">
      <alignment horizontal="left"/>
    </xf>
    <xf numFmtId="0" fontId="9" fillId="0" borderId="22" xfId="0" applyFont="1" applyFill="1" applyBorder="1"/>
    <xf numFmtId="164" fontId="12" fillId="0" borderId="22" xfId="37" applyFont="1" applyFill="1" applyBorder="1"/>
    <xf numFmtId="0" fontId="0" fillId="0" borderId="28" xfId="0" applyFill="1" applyBorder="1" applyAlignment="1">
      <alignment horizontal="left"/>
    </xf>
    <xf numFmtId="0" fontId="0" fillId="0" borderId="29" xfId="0" applyFill="1" applyBorder="1"/>
    <xf numFmtId="164" fontId="48" fillId="0" borderId="29" xfId="37" applyFont="1" applyFill="1" applyBorder="1"/>
    <xf numFmtId="0" fontId="0" fillId="0" borderId="30" xfId="0" applyFill="1" applyBorder="1" applyAlignment="1">
      <alignment horizontal="left"/>
    </xf>
    <xf numFmtId="0" fontId="3" fillId="0" borderId="30" xfId="0" applyFont="1" applyFill="1" applyBorder="1" applyAlignment="1">
      <alignment horizontal="center"/>
    </xf>
    <xf numFmtId="164" fontId="3" fillId="0" borderId="30" xfId="37" applyFont="1" applyFill="1" applyBorder="1"/>
    <xf numFmtId="164" fontId="4" fillId="0" borderId="0" xfId="0" applyNumberFormat="1" applyFont="1" applyFill="1"/>
    <xf numFmtId="49" fontId="8" fillId="0" borderId="85" xfId="31" applyNumberFormat="1" applyFont="1" applyBorder="1" applyAlignment="1">
      <alignment horizontal="left"/>
    </xf>
    <xf numFmtId="4" fontId="8" fillId="0" borderId="108" xfId="31" applyNumberFormat="1" applyFont="1" applyBorder="1"/>
    <xf numFmtId="164" fontId="3" fillId="0" borderId="117" xfId="37" applyFont="1" applyBorder="1"/>
    <xf numFmtId="0" fontId="3" fillId="0" borderId="73" xfId="0" applyFont="1" applyBorder="1" applyAlignment="1">
      <alignment horizontal="left"/>
    </xf>
    <xf numFmtId="0" fontId="4" fillId="0" borderId="0" xfId="0" applyFont="1" applyBorder="1"/>
    <xf numFmtId="0" fontId="4" fillId="0" borderId="23" xfId="0" applyFont="1" applyBorder="1"/>
    <xf numFmtId="0" fontId="4" fillId="0" borderId="3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49" fontId="3" fillId="0" borderId="33" xfId="0" applyNumberFormat="1" applyFont="1" applyBorder="1"/>
    <xf numFmtId="49" fontId="2" fillId="0" borderId="34" xfId="0" applyNumberFormat="1" applyFont="1" applyBorder="1"/>
    <xf numFmtId="49" fontId="3" fillId="0" borderId="3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164" fontId="2" fillId="0" borderId="117" xfId="37" applyBorder="1"/>
    <xf numFmtId="0" fontId="7" fillId="0" borderId="85" xfId="0" applyFont="1" applyBorder="1" applyAlignment="1">
      <alignment horizontal="left"/>
    </xf>
    <xf numFmtId="0" fontId="7" fillId="0" borderId="108" xfId="0" applyFont="1" applyBorder="1"/>
    <xf numFmtId="0" fontId="3" fillId="0" borderId="0" xfId="0" applyFont="1" applyFill="1" applyAlignment="1">
      <alignment horizontal="center" wrapText="1"/>
    </xf>
    <xf numFmtId="174" fontId="4" fillId="0" borderId="0" xfId="0" applyNumberFormat="1" applyFont="1" applyFill="1"/>
    <xf numFmtId="174" fontId="2" fillId="0" borderId="0" xfId="0" applyNumberFormat="1" applyFont="1" applyFill="1"/>
    <xf numFmtId="0" fontId="2" fillId="0" borderId="0" xfId="0" applyFont="1" applyFill="1"/>
    <xf numFmtId="1" fontId="2" fillId="0" borderId="48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/>
    </xf>
    <xf numFmtId="0" fontId="5" fillId="0" borderId="72" xfId="0" applyFont="1" applyFill="1" applyBorder="1" applyAlignment="1">
      <alignment horizontal="center" vertical="center" wrapText="1"/>
    </xf>
    <xf numFmtId="8" fontId="4" fillId="0" borderId="25" xfId="0" applyNumberFormat="1" applyFont="1" applyFill="1" applyBorder="1" applyAlignment="1">
      <alignment horizontal="center" vertical="center"/>
    </xf>
    <xf numFmtId="174" fontId="4" fillId="26" borderId="48" xfId="0" applyNumberFormat="1" applyFont="1" applyFill="1" applyBorder="1"/>
    <xf numFmtId="174" fontId="4" fillId="26" borderId="107" xfId="0" applyNumberFormat="1" applyFont="1" applyFill="1" applyBorder="1"/>
    <xf numFmtId="174" fontId="4" fillId="26" borderId="82" xfId="0" applyNumberFormat="1" applyFont="1" applyFill="1" applyBorder="1"/>
    <xf numFmtId="174" fontId="3" fillId="26" borderId="48" xfId="0" applyNumberFormat="1" applyFont="1" applyFill="1" applyBorder="1"/>
    <xf numFmtId="174" fontId="3" fillId="26" borderId="107" xfId="0" applyNumberFormat="1" applyFont="1" applyFill="1" applyBorder="1"/>
    <xf numFmtId="174" fontId="3" fillId="26" borderId="82" xfId="0" applyNumberFormat="1" applyFont="1" applyFill="1" applyBorder="1"/>
    <xf numFmtId="174" fontId="3" fillId="26" borderId="36" xfId="0" applyNumberFormat="1" applyFont="1" applyFill="1" applyBorder="1"/>
    <xf numFmtId="174" fontId="2" fillId="26" borderId="107" xfId="0" applyNumberFormat="1" applyFont="1" applyFill="1" applyBorder="1"/>
    <xf numFmtId="174" fontId="2" fillId="26" borderId="48" xfId="0" applyNumberFormat="1" applyFont="1" applyFill="1" applyBorder="1"/>
    <xf numFmtId="174" fontId="4" fillId="26" borderId="69" xfId="0" applyNumberFormat="1" applyFont="1" applyFill="1" applyBorder="1"/>
    <xf numFmtId="174" fontId="4" fillId="26" borderId="80" xfId="0" applyNumberFormat="1" applyFont="1" applyFill="1" applyBorder="1"/>
    <xf numFmtId="174" fontId="4" fillId="26" borderId="113" xfId="0" applyNumberFormat="1" applyFont="1" applyFill="1" applyBorder="1"/>
    <xf numFmtId="174" fontId="4" fillId="26" borderId="122" xfId="0" applyNumberFormat="1" applyFont="1" applyFill="1" applyBorder="1"/>
    <xf numFmtId="174" fontId="4" fillId="26" borderId="111" xfId="0" applyNumberFormat="1" applyFont="1" applyFill="1" applyBorder="1"/>
    <xf numFmtId="174" fontId="4" fillId="26" borderId="114" xfId="0" applyNumberFormat="1" applyFont="1" applyFill="1" applyBorder="1"/>
    <xf numFmtId="174" fontId="4" fillId="26" borderId="123" xfId="0" applyNumberFormat="1" applyFont="1" applyFill="1" applyBorder="1"/>
    <xf numFmtId="174" fontId="4" fillId="26" borderId="112" xfId="0" applyNumberFormat="1" applyFont="1" applyFill="1" applyBorder="1"/>
    <xf numFmtId="174" fontId="4" fillId="26" borderId="115" xfId="0" applyNumberFormat="1" applyFont="1" applyFill="1" applyBorder="1"/>
    <xf numFmtId="174" fontId="3" fillId="26" borderId="50" xfId="0" applyNumberFormat="1" applyFont="1" applyFill="1" applyBorder="1"/>
    <xf numFmtId="174" fontId="3" fillId="26" borderId="37" xfId="0" applyNumberFormat="1" applyFont="1" applyFill="1" applyBorder="1"/>
    <xf numFmtId="174" fontId="3" fillId="26" borderId="75" xfId="0" applyNumberFormat="1" applyFont="1" applyFill="1" applyBorder="1"/>
    <xf numFmtId="174" fontId="3" fillId="26" borderId="106" xfId="0" applyNumberFormat="1" applyFont="1" applyFill="1" applyBorder="1"/>
    <xf numFmtId="174" fontId="4" fillId="26" borderId="106" xfId="0" applyNumberFormat="1" applyFont="1" applyFill="1" applyBorder="1"/>
    <xf numFmtId="174" fontId="3" fillId="26" borderId="12" xfId="0" applyNumberFormat="1" applyFont="1" applyFill="1" applyBorder="1"/>
    <xf numFmtId="174" fontId="3" fillId="26" borderId="10" xfId="0" applyNumberFormat="1" applyFont="1" applyFill="1" applyBorder="1"/>
    <xf numFmtId="174" fontId="4" fillId="26" borderId="14" xfId="0" applyNumberFormat="1" applyFont="1" applyFill="1" applyBorder="1"/>
    <xf numFmtId="174" fontId="4" fillId="26" borderId="72" xfId="0" applyNumberFormat="1" applyFont="1" applyFill="1" applyBorder="1"/>
    <xf numFmtId="174" fontId="3" fillId="26" borderId="11" xfId="0" applyNumberFormat="1" applyFont="1" applyFill="1" applyBorder="1"/>
    <xf numFmtId="174" fontId="50" fillId="26" borderId="12" xfId="37" applyNumberFormat="1" applyFont="1" applyFill="1" applyBorder="1" applyAlignment="1">
      <alignment vertical="center"/>
    </xf>
    <xf numFmtId="164" fontId="50" fillId="26" borderId="107" xfId="37" applyFont="1" applyFill="1" applyBorder="1" applyAlignment="1">
      <alignment vertical="center"/>
    </xf>
    <xf numFmtId="164" fontId="50" fillId="26" borderId="37" xfId="37" applyFont="1" applyFill="1" applyBorder="1"/>
    <xf numFmtId="174" fontId="61" fillId="26" borderId="12" xfId="37" applyNumberFormat="1" applyFont="1" applyFill="1" applyBorder="1" applyAlignment="1">
      <alignment vertical="center"/>
    </xf>
    <xf numFmtId="164" fontId="61" fillId="26" borderId="107" xfId="37" applyFont="1" applyFill="1" applyBorder="1" applyAlignment="1">
      <alignment vertical="center"/>
    </xf>
    <xf numFmtId="174" fontId="2" fillId="26" borderId="12" xfId="37" applyNumberFormat="1" applyFill="1" applyBorder="1" applyAlignment="1">
      <alignment vertical="center"/>
    </xf>
    <xf numFmtId="164" fontId="2" fillId="26" borderId="107" xfId="37" applyFill="1" applyBorder="1" applyAlignment="1">
      <alignment vertical="center"/>
    </xf>
    <xf numFmtId="164" fontId="50" fillId="26" borderId="12" xfId="37" applyFont="1" applyFill="1" applyBorder="1" applyAlignment="1">
      <alignment vertical="center"/>
    </xf>
    <xf numFmtId="174" fontId="3" fillId="26" borderId="12" xfId="37" applyNumberFormat="1" applyFont="1" applyFill="1" applyBorder="1"/>
    <xf numFmtId="164" fontId="3" fillId="26" borderId="107" xfId="37" applyFont="1" applyFill="1" applyBorder="1"/>
    <xf numFmtId="174" fontId="2" fillId="26" borderId="12" xfId="37" applyNumberFormat="1" applyFill="1" applyBorder="1"/>
    <xf numFmtId="164" fontId="2" fillId="26" borderId="107" xfId="37" applyFill="1" applyBorder="1"/>
    <xf numFmtId="164" fontId="2" fillId="0" borderId="34" xfId="37" applyFont="1" applyFill="1" applyBorder="1" applyAlignment="1">
      <alignment horizontal="center" wrapText="1"/>
    </xf>
    <xf numFmtId="164" fontId="4" fillId="26" borderId="34" xfId="37" applyFont="1" applyFill="1" applyBorder="1"/>
    <xf numFmtId="174" fontId="56" fillId="0" borderId="38" xfId="31" applyNumberFormat="1" applyFont="1" applyBorder="1"/>
    <xf numFmtId="4" fontId="57" fillId="0" borderId="10" xfId="31" applyNumberFormat="1" applyFont="1" applyBorder="1"/>
    <xf numFmtId="4" fontId="3" fillId="0" borderId="0" xfId="31" applyNumberFormat="1" applyFont="1" applyFill="1" applyBorder="1" applyAlignment="1">
      <alignment vertical="center" wrapText="1"/>
    </xf>
    <xf numFmtId="164" fontId="2" fillId="0" borderId="23" xfId="37" applyFill="1" applyBorder="1" applyAlignment="1">
      <alignment horizontal="center" wrapText="1"/>
    </xf>
    <xf numFmtId="0" fontId="3" fillId="0" borderId="20" xfId="0" applyFont="1" applyFill="1" applyBorder="1" applyAlignment="1">
      <alignment horizontal="left" vertical="center" wrapText="1"/>
    </xf>
    <xf numFmtId="177" fontId="0" fillId="0" borderId="0" xfId="0" applyNumberFormat="1" applyFill="1"/>
    <xf numFmtId="167" fontId="56" fillId="0" borderId="63" xfId="31" applyNumberFormat="1" applyFont="1" applyBorder="1"/>
    <xf numFmtId="167" fontId="56" fillId="0" borderId="46" xfId="31" applyNumberFormat="1" applyFont="1" applyBorder="1"/>
    <xf numFmtId="167" fontId="56" fillId="0" borderId="68" xfId="31" applyNumberFormat="1" applyFont="1" applyBorder="1"/>
    <xf numFmtId="0" fontId="53" fillId="0" borderId="33" xfId="0" applyFont="1" applyFill="1" applyBorder="1" applyAlignment="1">
      <alignment horizontal="center" wrapText="1"/>
    </xf>
    <xf numFmtId="174" fontId="2" fillId="0" borderId="34" xfId="37" applyNumberFormat="1" applyFont="1" applyFill="1" applyBorder="1" applyAlignment="1">
      <alignment horizontal="center" wrapText="1"/>
    </xf>
    <xf numFmtId="174" fontId="2" fillId="0" borderId="34" xfId="31" applyNumberFormat="1" applyFont="1" applyFill="1" applyBorder="1" applyAlignment="1">
      <alignment horizontal="right"/>
    </xf>
    <xf numFmtId="174" fontId="2" fillId="0" borderId="34" xfId="31" applyNumberFormat="1" applyFont="1" applyFill="1" applyBorder="1"/>
    <xf numFmtId="174" fontId="2" fillId="0" borderId="35" xfId="31" applyNumberFormat="1" applyFill="1" applyBorder="1" applyAlignment="1">
      <alignment horizontal="right"/>
    </xf>
    <xf numFmtId="174" fontId="4" fillId="0" borderId="34" xfId="31" applyNumberFormat="1" applyFont="1" applyFill="1" applyBorder="1"/>
    <xf numFmtId="167" fontId="56" fillId="0" borderId="83" xfId="31" applyNumberFormat="1" applyFont="1" applyBorder="1"/>
    <xf numFmtId="167" fontId="57" fillId="0" borderId="83" xfId="0" applyNumberFormat="1" applyFont="1" applyBorder="1"/>
    <xf numFmtId="174" fontId="2" fillId="0" borderId="21" xfId="31" applyNumberFormat="1" applyFont="1" applyFill="1" applyBorder="1" applyAlignment="1">
      <alignment horizontal="right"/>
    </xf>
    <xf numFmtId="174" fontId="2" fillId="0" borderId="23" xfId="31" applyNumberFormat="1" applyFont="1" applyFill="1" applyBorder="1" applyAlignment="1">
      <alignment horizontal="right"/>
    </xf>
    <xf numFmtId="0" fontId="67" fillId="0" borderId="95" xfId="0" applyFont="1" applyBorder="1" applyAlignment="1">
      <alignment horizontal="left"/>
    </xf>
    <xf numFmtId="4" fontId="68" fillId="0" borderId="95" xfId="31" applyNumberFormat="1" applyFont="1" applyBorder="1"/>
    <xf numFmtId="0" fontId="68" fillId="0" borderId="95" xfId="0" applyFont="1" applyBorder="1"/>
    <xf numFmtId="4" fontId="67" fillId="0" borderId="95" xfId="31" applyNumberFormat="1" applyFont="1" applyBorder="1"/>
    <xf numFmtId="0" fontId="67" fillId="0" borderId="95" xfId="0" applyFont="1" applyBorder="1"/>
    <xf numFmtId="0" fontId="67" fillId="0" borderId="95" xfId="0" applyFont="1" applyBorder="1" applyAlignment="1">
      <alignment vertical="justify" wrapText="1"/>
    </xf>
    <xf numFmtId="4" fontId="2" fillId="0" borderId="0" xfId="31" applyNumberForma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13" fillId="0" borderId="34" xfId="0" applyFont="1" applyBorder="1" applyAlignment="1">
      <alignment horizontal="left" wrapText="1"/>
    </xf>
    <xf numFmtId="0" fontId="13" fillId="0" borderId="20" xfId="0" applyFont="1" applyBorder="1" applyAlignment="1">
      <alignment vertical="center"/>
    </xf>
    <xf numFmtId="0" fontId="13" fillId="0" borderId="43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8" fontId="3" fillId="0" borderId="87" xfId="0" applyNumberFormat="1" applyFont="1" applyFill="1" applyBorder="1" applyAlignment="1">
      <alignment horizontal="center"/>
    </xf>
    <xf numFmtId="8" fontId="4" fillId="0" borderId="48" xfId="0" applyNumberFormat="1" applyFont="1" applyFill="1" applyBorder="1" applyAlignment="1">
      <alignment horizontal="center"/>
    </xf>
    <xf numFmtId="8" fontId="3" fillId="0" borderId="48" xfId="0" applyNumberFormat="1" applyFont="1" applyFill="1" applyBorder="1" applyAlignment="1">
      <alignment horizontal="center"/>
    </xf>
    <xf numFmtId="8" fontId="3" fillId="0" borderId="69" xfId="0" applyNumberFormat="1" applyFont="1" applyFill="1" applyBorder="1" applyAlignment="1">
      <alignment horizontal="center"/>
    </xf>
    <xf numFmtId="8" fontId="3" fillId="0" borderId="44" xfId="0" applyNumberFormat="1" applyFont="1" applyFill="1" applyBorder="1" applyAlignment="1">
      <alignment horizontal="center"/>
    </xf>
    <xf numFmtId="8" fontId="3" fillId="0" borderId="19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3" fillId="0" borderId="29" xfId="0" applyNumberFormat="1" applyFont="1" applyFill="1" applyBorder="1" applyAlignment="1">
      <alignment horizontal="center"/>
    </xf>
    <xf numFmtId="173" fontId="3" fillId="26" borderId="12" xfId="0" applyNumberFormat="1" applyFont="1" applyFill="1" applyBorder="1"/>
    <xf numFmtId="173" fontId="3" fillId="26" borderId="10" xfId="0" applyNumberFormat="1" applyFont="1" applyFill="1" applyBorder="1"/>
    <xf numFmtId="173" fontId="3" fillId="26" borderId="13" xfId="0" applyNumberFormat="1" applyFont="1" applyFill="1" applyBorder="1"/>
    <xf numFmtId="173" fontId="4" fillId="26" borderId="12" xfId="0" applyNumberFormat="1" applyFont="1" applyFill="1" applyBorder="1"/>
    <xf numFmtId="173" fontId="4" fillId="26" borderId="10" xfId="0" applyNumberFormat="1" applyFont="1" applyFill="1" applyBorder="1"/>
    <xf numFmtId="173" fontId="4" fillId="26" borderId="13" xfId="0" applyNumberFormat="1" applyFont="1" applyFill="1" applyBorder="1"/>
    <xf numFmtId="173" fontId="3" fillId="26" borderId="48" xfId="0" applyNumberFormat="1" applyFont="1" applyFill="1" applyBorder="1"/>
    <xf numFmtId="173" fontId="3" fillId="26" borderId="36" xfId="0" applyNumberFormat="1" applyFont="1" applyFill="1" applyBorder="1"/>
    <xf numFmtId="173" fontId="2" fillId="26" borderId="48" xfId="0" applyNumberFormat="1" applyFont="1" applyFill="1" applyBorder="1"/>
    <xf numFmtId="173" fontId="2" fillId="26" borderId="10" xfId="0" applyNumberFormat="1" applyFont="1" applyFill="1" applyBorder="1"/>
    <xf numFmtId="173" fontId="50" fillId="26" borderId="48" xfId="0" applyNumberFormat="1" applyFont="1" applyFill="1" applyBorder="1"/>
    <xf numFmtId="173" fontId="4" fillId="26" borderId="51" xfId="0" applyNumberFormat="1" applyFont="1" applyFill="1" applyBorder="1"/>
    <xf numFmtId="173" fontId="4" fillId="26" borderId="0" xfId="0" applyNumberFormat="1" applyFont="1" applyFill="1"/>
    <xf numFmtId="173" fontId="4" fillId="26" borderId="72" xfId="0" applyNumberFormat="1" applyFont="1" applyFill="1" applyBorder="1"/>
    <xf numFmtId="173" fontId="4" fillId="26" borderId="52" xfId="0" applyNumberFormat="1" applyFont="1" applyFill="1" applyBorder="1"/>
    <xf numFmtId="173" fontId="3" fillId="26" borderId="30" xfId="0" applyNumberFormat="1" applyFont="1" applyFill="1" applyBorder="1"/>
    <xf numFmtId="0" fontId="3" fillId="26" borderId="0" xfId="0" applyFont="1" applyFill="1" applyAlignment="1">
      <alignment horizontal="center" wrapText="1"/>
    </xf>
    <xf numFmtId="173" fontId="3" fillId="26" borderId="63" xfId="0" applyNumberFormat="1" applyFont="1" applyFill="1" applyBorder="1"/>
    <xf numFmtId="173" fontId="3" fillId="26" borderId="68" xfId="0" applyNumberFormat="1" applyFont="1" applyFill="1" applyBorder="1"/>
    <xf numFmtId="173" fontId="3" fillId="26" borderId="37" xfId="0" applyNumberFormat="1" applyFont="1" applyFill="1" applyBorder="1"/>
    <xf numFmtId="173" fontId="3" fillId="26" borderId="49" xfId="0" applyNumberFormat="1" applyFont="1" applyFill="1" applyBorder="1"/>
    <xf numFmtId="173" fontId="3" fillId="26" borderId="38" xfId="0" applyNumberFormat="1" applyFont="1" applyFill="1" applyBorder="1"/>
    <xf numFmtId="173" fontId="3" fillId="26" borderId="107" xfId="0" applyNumberFormat="1" applyFont="1" applyFill="1" applyBorder="1"/>
    <xf numFmtId="173" fontId="3" fillId="26" borderId="106" xfId="0" applyNumberFormat="1" applyFont="1" applyFill="1" applyBorder="1"/>
    <xf numFmtId="173" fontId="2" fillId="26" borderId="36" xfId="0" applyNumberFormat="1" applyFont="1" applyFill="1" applyBorder="1"/>
    <xf numFmtId="173" fontId="4" fillId="26" borderId="38" xfId="0" applyNumberFormat="1" applyFont="1" applyFill="1" applyBorder="1"/>
    <xf numFmtId="173" fontId="4" fillId="26" borderId="107" xfId="0" applyNumberFormat="1" applyFont="1" applyFill="1" applyBorder="1"/>
    <xf numFmtId="173" fontId="4" fillId="26" borderId="106" xfId="0" applyNumberFormat="1" applyFont="1" applyFill="1" applyBorder="1"/>
    <xf numFmtId="173" fontId="4" fillId="26" borderId="36" xfId="0" applyNumberFormat="1" applyFont="1" applyFill="1" applyBorder="1"/>
    <xf numFmtId="173" fontId="2" fillId="26" borderId="36" xfId="37" applyNumberFormat="1" applyFill="1" applyBorder="1"/>
    <xf numFmtId="173" fontId="2" fillId="26" borderId="38" xfId="0" applyNumberFormat="1" applyFont="1" applyFill="1" applyBorder="1"/>
    <xf numFmtId="173" fontId="2" fillId="26" borderId="107" xfId="0" applyNumberFormat="1" applyFont="1" applyFill="1" applyBorder="1"/>
    <xf numFmtId="173" fontId="4" fillId="26" borderId="64" xfId="0" applyNumberFormat="1" applyFont="1" applyFill="1" applyBorder="1"/>
    <xf numFmtId="173" fontId="4" fillId="26" borderId="71" xfId="0" applyNumberFormat="1" applyFont="1" applyFill="1" applyBorder="1"/>
    <xf numFmtId="173" fontId="4" fillId="26" borderId="108" xfId="0" applyNumberFormat="1" applyFont="1" applyFill="1" applyBorder="1"/>
    <xf numFmtId="173" fontId="3" fillId="26" borderId="47" xfId="0" applyNumberFormat="1" applyFont="1" applyFill="1" applyBorder="1"/>
    <xf numFmtId="173" fontId="3" fillId="26" borderId="61" xfId="0" applyNumberFormat="1" applyFont="1" applyFill="1" applyBorder="1"/>
    <xf numFmtId="181" fontId="3" fillId="26" borderId="61" xfId="0" applyNumberFormat="1" applyFont="1" applyFill="1" applyBorder="1"/>
    <xf numFmtId="0" fontId="4" fillId="26" borderId="0" xfId="0" applyFont="1" applyFill="1"/>
    <xf numFmtId="177" fontId="4" fillId="26" borderId="0" xfId="0" applyNumberFormat="1" applyFont="1" applyFill="1"/>
    <xf numFmtId="174" fontId="50" fillId="26" borderId="48" xfId="0" applyNumberFormat="1" applyFont="1" applyFill="1" applyBorder="1"/>
    <xf numFmtId="174" fontId="50" fillId="0" borderId="107" xfId="0" applyNumberFormat="1" applyFont="1" applyFill="1" applyBorder="1"/>
    <xf numFmtId="0" fontId="0" fillId="24" borderId="0" xfId="0" applyFill="1"/>
    <xf numFmtId="0" fontId="8" fillId="25" borderId="13" xfId="0" applyFont="1" applyFill="1" applyBorder="1"/>
    <xf numFmtId="0" fontId="8" fillId="25" borderId="13" xfId="0" applyFont="1" applyFill="1" applyBorder="1" applyAlignment="1">
      <alignment horizontal="justify" vertical="top" wrapText="1"/>
    </xf>
    <xf numFmtId="0" fontId="6" fillId="25" borderId="13" xfId="0" applyFont="1" applyFill="1" applyBorder="1" applyAlignment="1">
      <alignment vertical="top" wrapText="1"/>
    </xf>
    <xf numFmtId="4" fontId="6" fillId="0" borderId="0" xfId="31" applyNumberFormat="1" applyFont="1" applyAlignment="1">
      <alignment horizontal="center"/>
    </xf>
    <xf numFmtId="164" fontId="2" fillId="0" borderId="0" xfId="37" applyFont="1"/>
    <xf numFmtId="164" fontId="0" fillId="0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164" fontId="2" fillId="0" borderId="10" xfId="37" applyFont="1" applyFill="1" applyBorder="1" applyAlignment="1">
      <alignment horizontal="center"/>
    </xf>
    <xf numFmtId="167" fontId="56" fillId="0" borderId="75" xfId="31" applyNumberFormat="1" applyFont="1" applyBorder="1"/>
    <xf numFmtId="167" fontId="57" fillId="0" borderId="38" xfId="0" applyNumberFormat="1" applyFont="1" applyBorder="1"/>
    <xf numFmtId="164" fontId="69" fillId="0" borderId="0" xfId="37" applyFont="1"/>
    <xf numFmtId="4" fontId="6" fillId="0" borderId="0" xfId="31" applyNumberFormat="1" applyFont="1" applyAlignment="1">
      <alignment horizontal="center"/>
    </xf>
    <xf numFmtId="174" fontId="58" fillId="0" borderId="23" xfId="31" applyNumberFormat="1" applyFont="1" applyFill="1" applyBorder="1" applyAlignment="1">
      <alignment horizontal="right"/>
    </xf>
    <xf numFmtId="174" fontId="59" fillId="0" borderId="23" xfId="31" applyNumberFormat="1" applyFont="1" applyFill="1" applyBorder="1" applyAlignment="1">
      <alignment horizontal="right"/>
    </xf>
    <xf numFmtId="164" fontId="58" fillId="0" borderId="23" xfId="37" applyFont="1" applyFill="1" applyBorder="1" applyAlignment="1">
      <alignment horizontal="center" wrapText="1"/>
    </xf>
    <xf numFmtId="174" fontId="58" fillId="0" borderId="77" xfId="31" applyNumberFormat="1" applyFont="1" applyFill="1" applyBorder="1" applyAlignment="1">
      <alignment horizontal="right"/>
    </xf>
    <xf numFmtId="168" fontId="57" fillId="0" borderId="38" xfId="31" applyNumberFormat="1" applyFont="1" applyBorder="1"/>
    <xf numFmtId="174" fontId="2" fillId="0" borderId="48" xfId="0" applyNumberFormat="1" applyFont="1" applyFill="1" applyBorder="1"/>
    <xf numFmtId="174" fontId="2" fillId="0" borderId="107" xfId="0" applyNumberFormat="1" applyFont="1" applyFill="1" applyBorder="1"/>
    <xf numFmtId="174" fontId="2" fillId="0" borderId="82" xfId="0" applyNumberFormat="1" applyFont="1" applyFill="1" applyBorder="1"/>
    <xf numFmtId="177" fontId="6" fillId="0" borderId="0" xfId="0" applyNumberFormat="1" applyFont="1" applyFill="1"/>
    <xf numFmtId="0" fontId="6" fillId="0" borderId="0" xfId="0" applyFont="1" applyFill="1"/>
    <xf numFmtId="174" fontId="66" fillId="0" borderId="0" xfId="37" applyNumberFormat="1" applyFont="1"/>
    <xf numFmtId="177" fontId="2" fillId="0" borderId="0" xfId="0" applyNumberFormat="1" applyFont="1" applyFill="1"/>
    <xf numFmtId="167" fontId="68" fillId="0" borderId="10" xfId="31" applyNumberFormat="1" applyFont="1" applyBorder="1"/>
    <xf numFmtId="0" fontId="6" fillId="25" borderId="13" xfId="0" applyFont="1" applyFill="1" applyBorder="1" applyAlignment="1">
      <alignment horizontal="justify" vertical="top" wrapText="1"/>
    </xf>
    <xf numFmtId="167" fontId="67" fillId="0" borderId="90" xfId="31" applyNumberFormat="1" applyFont="1" applyBorder="1"/>
    <xf numFmtId="167" fontId="67" fillId="0" borderId="10" xfId="31" applyNumberFormat="1" applyFont="1" applyBorder="1"/>
    <xf numFmtId="164" fontId="8" fillId="0" borderId="23" xfId="37" applyFont="1" applyBorder="1"/>
    <xf numFmtId="4" fontId="67" fillId="0" borderId="10" xfId="31" applyNumberFormat="1" applyFont="1" applyBorder="1" applyAlignment="1">
      <alignment horizontal="center" vertical="center" wrapText="1"/>
    </xf>
    <xf numFmtId="171" fontId="68" fillId="0" borderId="0" xfId="31" applyNumberFormat="1" applyFont="1"/>
    <xf numFmtId="4" fontId="68" fillId="0" borderId="0" xfId="31" applyNumberFormat="1" applyFont="1"/>
    <xf numFmtId="4" fontId="67" fillId="0" borderId="10" xfId="31" applyNumberFormat="1" applyFont="1" applyBorder="1" applyAlignment="1">
      <alignment horizontal="center"/>
    </xf>
    <xf numFmtId="49" fontId="67" fillId="0" borderId="10" xfId="31" applyNumberFormat="1" applyFont="1" applyBorder="1" applyAlignment="1">
      <alignment horizontal="center"/>
    </xf>
    <xf numFmtId="49" fontId="67" fillId="0" borderId="10" xfId="31" applyNumberFormat="1" applyFont="1" applyBorder="1" applyAlignment="1">
      <alignment horizontal="center" vertical="center" wrapText="1"/>
    </xf>
    <xf numFmtId="0" fontId="68" fillId="0" borderId="95" xfId="0" applyFont="1" applyBorder="1" applyAlignment="1">
      <alignment wrapText="1"/>
    </xf>
    <xf numFmtId="167" fontId="67" fillId="0" borderId="83" xfId="31" applyNumberFormat="1" applyFont="1" applyBorder="1"/>
    <xf numFmtId="168" fontId="67" fillId="0" borderId="38" xfId="31" applyNumberFormat="1" applyFont="1" applyBorder="1"/>
    <xf numFmtId="167" fontId="67" fillId="0" borderId="36" xfId="31" applyNumberFormat="1" applyFont="1" applyBorder="1"/>
    <xf numFmtId="167" fontId="67" fillId="0" borderId="98" xfId="31" applyNumberFormat="1" applyFont="1" applyBorder="1"/>
    <xf numFmtId="167" fontId="68" fillId="0" borderId="12" xfId="31" applyNumberFormat="1" applyFont="1" applyBorder="1"/>
    <xf numFmtId="167" fontId="68" fillId="0" borderId="13" xfId="31" applyNumberFormat="1" applyFont="1" applyBorder="1"/>
    <xf numFmtId="167" fontId="68" fillId="0" borderId="36" xfId="31" applyNumberFormat="1" applyFont="1" applyBorder="1"/>
    <xf numFmtId="167" fontId="68" fillId="0" borderId="38" xfId="31" applyNumberFormat="1" applyFont="1" applyBorder="1"/>
    <xf numFmtId="167" fontId="67" fillId="0" borderId="102" xfId="31" applyNumberFormat="1" applyFont="1" applyBorder="1"/>
    <xf numFmtId="49" fontId="67" fillId="0" borderId="81" xfId="31" applyNumberFormat="1" applyFont="1" applyBorder="1" applyAlignment="1">
      <alignment horizontal="left"/>
    </xf>
    <xf numFmtId="174" fontId="67" fillId="0" borderId="81" xfId="37" applyNumberFormat="1" applyFont="1" applyBorder="1"/>
    <xf numFmtId="174" fontId="67" fillId="0" borderId="10" xfId="37" applyNumberFormat="1" applyFont="1" applyBorder="1"/>
    <xf numFmtId="174" fontId="67" fillId="0" borderId="83" xfId="37" applyNumberFormat="1" applyFont="1" applyBorder="1"/>
    <xf numFmtId="174" fontId="67" fillId="0" borderId="58" xfId="31" applyNumberFormat="1" applyFont="1" applyBorder="1"/>
    <xf numFmtId="174" fontId="67" fillId="0" borderId="10" xfId="31" applyNumberFormat="1" applyFont="1" applyBorder="1"/>
    <xf numFmtId="174" fontId="67" fillId="0" borderId="59" xfId="31" applyNumberFormat="1" applyFont="1" applyBorder="1"/>
    <xf numFmtId="167" fontId="67" fillId="0" borderId="82" xfId="31" applyNumberFormat="1" applyFont="1" applyBorder="1"/>
    <xf numFmtId="167" fontId="67" fillId="0" borderId="59" xfId="31" applyNumberFormat="1" applyFont="1" applyBorder="1"/>
    <xf numFmtId="0" fontId="56" fillId="0" borderId="96" xfId="0" applyFont="1" applyBorder="1" applyAlignment="1">
      <alignment horizontal="left"/>
    </xf>
    <xf numFmtId="0" fontId="67" fillId="0" borderId="102" xfId="0" applyFont="1" applyBorder="1" applyAlignment="1">
      <alignment horizontal="left"/>
    </xf>
    <xf numFmtId="174" fontId="56" fillId="0" borderId="124" xfId="37" applyNumberFormat="1" applyFont="1" applyBorder="1"/>
    <xf numFmtId="174" fontId="56" fillId="0" borderId="124" xfId="31" applyNumberFormat="1" applyFont="1" applyBorder="1"/>
    <xf numFmtId="174" fontId="56" fillId="0" borderId="46" xfId="31" applyNumberFormat="1" applyFont="1" applyBorder="1"/>
    <xf numFmtId="174" fontId="56" fillId="0" borderId="57" xfId="31" applyNumberFormat="1" applyFont="1" applyBorder="1"/>
    <xf numFmtId="167" fontId="56" fillId="0" borderId="57" xfId="31" applyNumberFormat="1" applyFont="1" applyBorder="1"/>
    <xf numFmtId="167" fontId="56" fillId="0" borderId="62" xfId="31" applyNumberFormat="1" applyFont="1" applyBorder="1"/>
    <xf numFmtId="167" fontId="56" fillId="0" borderId="39" xfId="31" applyNumberFormat="1" applyFont="1" applyBorder="1"/>
    <xf numFmtId="0" fontId="56" fillId="0" borderId="90" xfId="0" applyFont="1" applyBorder="1" applyAlignment="1">
      <alignment horizontal="left"/>
    </xf>
    <xf numFmtId="0" fontId="57" fillId="0" borderId="90" xfId="0" applyFont="1" applyBorder="1"/>
    <xf numFmtId="0" fontId="56" fillId="0" borderId="90" xfId="0" applyFont="1" applyBorder="1"/>
    <xf numFmtId="0" fontId="57" fillId="0" borderId="90" xfId="0" applyFont="1" applyBorder="1" applyAlignment="1">
      <alignment horizontal="left"/>
    </xf>
    <xf numFmtId="49" fontId="57" fillId="0" borderId="90" xfId="31" applyNumberFormat="1" applyFont="1" applyBorder="1" applyAlignment="1">
      <alignment horizontal="left"/>
    </xf>
    <xf numFmtId="49" fontId="6" fillId="0" borderId="90" xfId="31" applyNumberFormat="1" applyFont="1" applyBorder="1" applyAlignment="1">
      <alignment horizontal="left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4" fillId="0" borderId="34" xfId="0" applyFont="1" applyBorder="1"/>
    <xf numFmtId="0" fontId="3" fillId="0" borderId="35" xfId="0" applyFont="1" applyBorder="1" applyAlignment="1">
      <alignment horizontal="center"/>
    </xf>
    <xf numFmtId="0" fontId="2" fillId="0" borderId="35" xfId="0" applyFont="1" applyBorder="1"/>
    <xf numFmtId="0" fontId="4" fillId="0" borderId="35" xfId="0" applyFont="1" applyBorder="1"/>
    <xf numFmtId="0" fontId="2" fillId="0" borderId="34" xfId="0" applyFont="1" applyBorder="1"/>
    <xf numFmtId="177" fontId="9" fillId="0" borderId="33" xfId="37" applyNumberFormat="1" applyFont="1" applyBorder="1"/>
    <xf numFmtId="177" fontId="3" fillId="0" borderId="34" xfId="37" applyNumberFormat="1" applyFont="1" applyBorder="1"/>
    <xf numFmtId="177" fontId="4" fillId="0" borderId="34" xfId="37" applyNumberFormat="1" applyFont="1" applyBorder="1"/>
    <xf numFmtId="177" fontId="4" fillId="0" borderId="108" xfId="37" applyNumberFormat="1" applyFont="1" applyBorder="1"/>
    <xf numFmtId="167" fontId="56" fillId="0" borderId="93" xfId="31" applyNumberFormat="1" applyFont="1" applyBorder="1"/>
    <xf numFmtId="167" fontId="56" fillId="0" borderId="94" xfId="31" applyNumberFormat="1" applyFont="1" applyBorder="1"/>
    <xf numFmtId="0" fontId="8" fillId="25" borderId="17" xfId="0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8" fillId="25" borderId="19" xfId="0" applyFont="1" applyFill="1" applyBorder="1" applyAlignment="1">
      <alignment horizontal="center" vertical="center" wrapText="1"/>
    </xf>
    <xf numFmtId="49" fontId="8" fillId="25" borderId="12" xfId="0" applyNumberFormat="1" applyFont="1" applyFill="1" applyBorder="1" applyAlignment="1">
      <alignment horizontal="center"/>
    </xf>
    <xf numFmtId="0" fontId="8" fillId="25" borderId="10" xfId="0" applyFont="1" applyFill="1" applyBorder="1"/>
    <xf numFmtId="49" fontId="6" fillId="25" borderId="12" xfId="0" applyNumberFormat="1" applyFont="1" applyFill="1" applyBorder="1"/>
    <xf numFmtId="49" fontId="6" fillId="25" borderId="10" xfId="0" applyNumberFormat="1" applyFont="1" applyFill="1" applyBorder="1" applyAlignment="1">
      <alignment horizontal="center" vertical="center"/>
    </xf>
    <xf numFmtId="0" fontId="6" fillId="25" borderId="10" xfId="0" applyFont="1" applyFill="1" applyBorder="1" applyAlignment="1">
      <alignment vertical="center"/>
    </xf>
    <xf numFmtId="49" fontId="8" fillId="25" borderId="10" xfId="0" applyNumberFormat="1" applyFont="1" applyFill="1" applyBorder="1"/>
    <xf numFmtId="0" fontId="6" fillId="25" borderId="10" xfId="0" applyFont="1" applyFill="1" applyBorder="1" applyAlignment="1">
      <alignment vertical="center" wrapText="1"/>
    </xf>
    <xf numFmtId="49" fontId="8" fillId="25" borderId="12" xfId="0" applyNumberFormat="1" applyFont="1" applyFill="1" applyBorder="1"/>
    <xf numFmtId="49" fontId="8" fillId="25" borderId="10" xfId="0" applyNumberFormat="1" applyFont="1" applyFill="1" applyBorder="1" applyAlignment="1">
      <alignment horizontal="center" vertical="center"/>
    </xf>
    <xf numFmtId="0" fontId="8" fillId="25" borderId="10" xfId="0" applyFont="1" applyFill="1" applyBorder="1" applyAlignment="1">
      <alignment vertical="center" wrapText="1"/>
    </xf>
    <xf numFmtId="0" fontId="6" fillId="25" borderId="10" xfId="0" applyFont="1" applyFill="1" applyBorder="1"/>
    <xf numFmtId="0" fontId="6" fillId="25" borderId="13" xfId="0" applyFont="1" applyFill="1" applyBorder="1"/>
    <xf numFmtId="0" fontId="6" fillId="25" borderId="13" xfId="0" applyFont="1" applyFill="1" applyBorder="1" applyAlignment="1">
      <alignment horizontal="left" vertical="justify" wrapText="1"/>
    </xf>
    <xf numFmtId="49" fontId="6" fillId="25" borderId="14" xfId="0" applyNumberFormat="1" applyFont="1" applyFill="1" applyBorder="1"/>
    <xf numFmtId="49" fontId="6" fillId="25" borderId="72" xfId="0" applyNumberFormat="1" applyFont="1" applyFill="1" applyBorder="1" applyAlignment="1">
      <alignment horizontal="center" vertical="center"/>
    </xf>
    <xf numFmtId="0" fontId="6" fillId="25" borderId="72" xfId="0" applyFont="1" applyFill="1" applyBorder="1" applyAlignment="1">
      <alignment vertical="center" wrapText="1"/>
    </xf>
    <xf numFmtId="0" fontId="6" fillId="24" borderId="0" xfId="0" applyFont="1" applyFill="1"/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 wrapText="1"/>
    </xf>
    <xf numFmtId="174" fontId="2" fillId="0" borderId="10" xfId="37" applyNumberFormat="1" applyFill="1" applyBorder="1" applyAlignment="1">
      <alignment vertical="center"/>
    </xf>
    <xf numFmtId="164" fontId="2" fillId="0" borderId="10" xfId="37" applyFill="1" applyBorder="1" applyAlignment="1">
      <alignment vertical="center"/>
    </xf>
    <xf numFmtId="167" fontId="2" fillId="0" borderId="10" xfId="34" quotePrefix="1" applyNumberFormat="1" applyFill="1" applyBorder="1" applyAlignment="1">
      <alignment vertical="center" wrapText="1"/>
    </xf>
    <xf numFmtId="0" fontId="3" fillId="26" borderId="0" xfId="0" applyFont="1" applyFill="1"/>
    <xf numFmtId="0" fontId="2" fillId="0" borderId="0" xfId="50"/>
    <xf numFmtId="0" fontId="41" fillId="0" borderId="0" xfId="50" applyFont="1"/>
    <xf numFmtId="0" fontId="15" fillId="0" borderId="33" xfId="50" applyFont="1" applyBorder="1" applyAlignment="1">
      <alignment horizontal="center"/>
    </xf>
    <xf numFmtId="0" fontId="3" fillId="0" borderId="34" xfId="50" applyFont="1" applyBorder="1" applyAlignment="1">
      <alignment horizontal="center"/>
    </xf>
    <xf numFmtId="0" fontId="3" fillId="0" borderId="34" xfId="50" applyFont="1" applyBorder="1" applyAlignment="1">
      <alignment horizontal="left"/>
    </xf>
    <xf numFmtId="165" fontId="3" fillId="0" borderId="0" xfId="50" applyNumberFormat="1" applyFont="1" applyAlignment="1">
      <alignment horizontal="center" wrapText="1"/>
    </xf>
    <xf numFmtId="0" fontId="2" fillId="0" borderId="34" xfId="50" applyBorder="1" applyAlignment="1">
      <alignment horizontal="center"/>
    </xf>
    <xf numFmtId="0" fontId="2" fillId="0" borderId="34" xfId="50" applyBorder="1"/>
    <xf numFmtId="164" fontId="2" fillId="0" borderId="34" xfId="37" applyFont="1" applyBorder="1"/>
    <xf numFmtId="165" fontId="2" fillId="0" borderId="0" xfId="36" applyFont="1"/>
    <xf numFmtId="0" fontId="3" fillId="0" borderId="34" xfId="50" applyFont="1" applyBorder="1"/>
    <xf numFmtId="0" fontId="2" fillId="0" borderId="35" xfId="50" applyBorder="1" applyAlignment="1">
      <alignment horizontal="center"/>
    </xf>
    <xf numFmtId="0" fontId="2" fillId="0" borderId="35" xfId="50" applyBorder="1"/>
    <xf numFmtId="0" fontId="2" fillId="0" borderId="61" xfId="50" applyBorder="1"/>
    <xf numFmtId="0" fontId="3" fillId="0" borderId="30" xfId="50" applyFont="1" applyBorder="1" applyAlignment="1">
      <alignment horizontal="center"/>
    </xf>
    <xf numFmtId="44" fontId="2" fillId="0" borderId="0" xfId="50" applyNumberFormat="1"/>
    <xf numFmtId="165" fontId="2" fillId="0" borderId="0" xfId="50" applyNumberFormat="1"/>
    <xf numFmtId="0" fontId="15" fillId="0" borderId="41" xfId="50" applyFont="1" applyBorder="1" applyAlignment="1">
      <alignment horizontal="center"/>
    </xf>
    <xf numFmtId="0" fontId="3" fillId="0" borderId="20" xfId="50" applyFont="1" applyBorder="1" applyAlignment="1">
      <alignment horizontal="center"/>
    </xf>
    <xf numFmtId="175" fontId="2" fillId="0" borderId="0" xfId="50" applyNumberFormat="1"/>
    <xf numFmtId="0" fontId="2" fillId="0" borderId="20" xfId="50" applyBorder="1" applyAlignment="1">
      <alignment horizontal="center"/>
    </xf>
    <xf numFmtId="0" fontId="2" fillId="0" borderId="44" xfId="50" applyBorder="1" applyAlignment="1">
      <alignment horizontal="center"/>
    </xf>
    <xf numFmtId="0" fontId="3" fillId="0" borderId="35" xfId="50" applyFont="1" applyBorder="1"/>
    <xf numFmtId="4" fontId="3" fillId="0" borderId="0" xfId="50" applyNumberFormat="1" applyFont="1"/>
    <xf numFmtId="0" fontId="2" fillId="26" borderId="20" xfId="0" applyFont="1" applyFill="1" applyBorder="1" applyAlignment="1">
      <alignment horizontal="left"/>
    </xf>
    <xf numFmtId="49" fontId="64" fillId="26" borderId="24" xfId="0" applyNumberFormat="1" applyFont="1" applyFill="1" applyBorder="1" applyAlignment="1">
      <alignment horizontal="center"/>
    </xf>
    <xf numFmtId="4" fontId="3" fillId="26" borderId="0" xfId="31" applyNumberFormat="1" applyFont="1" applyFill="1" applyAlignment="1">
      <alignment wrapText="1"/>
    </xf>
    <xf numFmtId="174" fontId="3" fillId="26" borderId="34" xfId="31" applyNumberFormat="1" applyFont="1" applyFill="1" applyBorder="1"/>
    <xf numFmtId="174" fontId="3" fillId="26" borderId="23" xfId="31" applyNumberFormat="1" applyFont="1" applyFill="1" applyBorder="1"/>
    <xf numFmtId="174" fontId="3" fillId="26" borderId="104" xfId="31" applyNumberFormat="1" applyFont="1" applyFill="1" applyBorder="1"/>
    <xf numFmtId="174" fontId="3" fillId="26" borderId="21" xfId="31" applyNumberFormat="1" applyFont="1" applyFill="1" applyBorder="1" applyAlignment="1">
      <alignment horizontal="right"/>
    </xf>
    <xf numFmtId="4" fontId="2" fillId="26" borderId="0" xfId="31" applyNumberFormat="1" applyFill="1" applyAlignment="1">
      <alignment wrapText="1"/>
    </xf>
    <xf numFmtId="174" fontId="2" fillId="26" borderId="34" xfId="31" applyNumberFormat="1" applyFont="1" applyFill="1" applyBorder="1"/>
    <xf numFmtId="174" fontId="2" fillId="26" borderId="21" xfId="31" applyNumberFormat="1" applyFill="1" applyBorder="1" applyAlignment="1">
      <alignment horizontal="right"/>
    </xf>
    <xf numFmtId="177" fontId="3" fillId="26" borderId="0" xfId="0" applyNumberFormat="1" applyFont="1" applyFill="1"/>
    <xf numFmtId="49" fontId="64" fillId="26" borderId="24" xfId="0" applyNumberFormat="1" applyFont="1" applyFill="1" applyBorder="1" applyAlignment="1">
      <alignment horizontal="center" vertical="center"/>
    </xf>
    <xf numFmtId="4" fontId="3" fillId="26" borderId="0" xfId="31" applyNumberFormat="1" applyFont="1" applyFill="1" applyAlignment="1">
      <alignment vertical="center" wrapText="1"/>
    </xf>
    <xf numFmtId="174" fontId="2" fillId="26" borderId="34" xfId="31" applyNumberFormat="1" applyFont="1" applyFill="1" applyBorder="1" applyAlignment="1">
      <alignment vertical="center"/>
    </xf>
    <xf numFmtId="174" fontId="3" fillId="26" borderId="34" xfId="31" applyNumberFormat="1" applyFont="1" applyFill="1" applyBorder="1" applyAlignment="1">
      <alignment vertical="center"/>
    </xf>
    <xf numFmtId="174" fontId="3" fillId="26" borderId="23" xfId="37" applyNumberFormat="1" applyFont="1" applyFill="1" applyBorder="1" applyAlignment="1">
      <alignment horizontal="center" vertical="center" wrapText="1"/>
    </xf>
    <xf numFmtId="174" fontId="3" fillId="26" borderId="23" xfId="31" applyNumberFormat="1" applyFont="1" applyFill="1" applyBorder="1" applyAlignment="1">
      <alignment vertical="center"/>
    </xf>
    <xf numFmtId="174" fontId="3" fillId="26" borderId="104" xfId="31" applyNumberFormat="1" applyFont="1" applyFill="1" applyBorder="1" applyAlignment="1">
      <alignment vertical="center"/>
    </xf>
    <xf numFmtId="174" fontId="4" fillId="26" borderId="21" xfId="31" applyNumberFormat="1" applyFont="1" applyFill="1" applyBorder="1" applyAlignment="1">
      <alignment horizontal="right"/>
    </xf>
    <xf numFmtId="49" fontId="64" fillId="0" borderId="34" xfId="0" applyNumberFormat="1" applyFont="1" applyFill="1" applyBorder="1" applyAlignment="1">
      <alignment horizontal="center"/>
    </xf>
    <xf numFmtId="4" fontId="3" fillId="0" borderId="34" xfId="31" applyNumberFormat="1" applyFont="1" applyFill="1" applyBorder="1" applyAlignment="1">
      <alignment vertical="center" wrapText="1"/>
    </xf>
    <xf numFmtId="0" fontId="2" fillId="26" borderId="34" xfId="0" applyFont="1" applyFill="1" applyBorder="1" applyAlignment="1">
      <alignment horizontal="left"/>
    </xf>
    <xf numFmtId="49" fontId="64" fillId="26" borderId="34" xfId="0" applyNumberFormat="1" applyFont="1" applyFill="1" applyBorder="1" applyAlignment="1">
      <alignment horizontal="center"/>
    </xf>
    <xf numFmtId="4" fontId="2" fillId="26" borderId="34" xfId="31" applyNumberFormat="1" applyFill="1" applyBorder="1" applyAlignment="1">
      <alignment wrapText="1"/>
    </xf>
    <xf numFmtId="174" fontId="2" fillId="26" borderId="34" xfId="31" applyNumberFormat="1" applyFill="1" applyBorder="1" applyAlignment="1">
      <alignment horizontal="right"/>
    </xf>
    <xf numFmtId="0" fontId="2" fillId="26" borderId="35" xfId="0" applyFont="1" applyFill="1" applyBorder="1" applyAlignment="1">
      <alignment horizontal="left"/>
    </xf>
    <xf numFmtId="4" fontId="3" fillId="26" borderId="34" xfId="31" applyNumberFormat="1" applyFont="1" applyFill="1" applyBorder="1" applyAlignment="1">
      <alignment wrapText="1"/>
    </xf>
    <xf numFmtId="174" fontId="3" fillId="26" borderId="34" xfId="31" applyNumberFormat="1" applyFont="1" applyFill="1" applyBorder="1" applyAlignment="1">
      <alignment horizontal="right"/>
    </xf>
    <xf numFmtId="49" fontId="64" fillId="26" borderId="35" xfId="0" applyNumberFormat="1" applyFont="1" applyFill="1" applyBorder="1" applyAlignment="1">
      <alignment horizontal="center" vertical="center"/>
    </xf>
    <xf numFmtId="4" fontId="3" fillId="26" borderId="35" xfId="31" applyNumberFormat="1" applyFont="1" applyFill="1" applyBorder="1" applyAlignment="1">
      <alignment vertical="center" wrapText="1"/>
    </xf>
    <xf numFmtId="174" fontId="2" fillId="26" borderId="35" xfId="31" applyNumberFormat="1" applyFont="1" applyFill="1" applyBorder="1" applyAlignment="1">
      <alignment vertical="center"/>
    </xf>
    <xf numFmtId="174" fontId="3" fillId="26" borderId="35" xfId="31" applyNumberFormat="1" applyFont="1" applyFill="1" applyBorder="1" applyAlignment="1">
      <alignment vertical="center"/>
    </xf>
    <xf numFmtId="174" fontId="3" fillId="26" borderId="35" xfId="37" applyNumberFormat="1" applyFont="1" applyFill="1" applyBorder="1" applyAlignment="1">
      <alignment horizontal="center" vertical="center" wrapText="1"/>
    </xf>
    <xf numFmtId="174" fontId="4" fillId="26" borderId="35" xfId="31" applyNumberFormat="1" applyFont="1" applyFill="1" applyBorder="1" applyAlignment="1">
      <alignment horizontal="right"/>
    </xf>
    <xf numFmtId="0" fontId="2" fillId="0" borderId="35" xfId="0" applyFont="1" applyFill="1" applyBorder="1" applyAlignment="1">
      <alignment horizontal="left" vertical="center" wrapText="1"/>
    </xf>
    <xf numFmtId="49" fontId="64" fillId="0" borderId="35" xfId="0" applyNumberFormat="1" applyFont="1" applyFill="1" applyBorder="1" applyAlignment="1">
      <alignment horizontal="center" vertical="center" wrapText="1"/>
    </xf>
    <xf numFmtId="174" fontId="2" fillId="0" borderId="35" xfId="31" applyNumberFormat="1" applyFont="1" applyFill="1" applyBorder="1" applyAlignment="1">
      <alignment horizontal="right"/>
    </xf>
    <xf numFmtId="164" fontId="58" fillId="0" borderId="35" xfId="37" applyFont="1" applyFill="1" applyBorder="1" applyAlignment="1">
      <alignment horizontal="center" wrapText="1"/>
    </xf>
    <xf numFmtId="164" fontId="2" fillId="0" borderId="35" xfId="37" applyFill="1" applyBorder="1" applyAlignment="1">
      <alignment horizontal="center" wrapText="1"/>
    </xf>
    <xf numFmtId="0" fontId="6" fillId="25" borderId="40" xfId="0" applyFont="1" applyFill="1" applyBorder="1" applyAlignment="1">
      <alignment horizontal="left" vertical="top" wrapText="1"/>
    </xf>
    <xf numFmtId="0" fontId="6" fillId="25" borderId="21" xfId="0" applyFont="1" applyFill="1" applyBorder="1" applyAlignment="1">
      <alignment horizontal="left" vertical="top" wrapText="1"/>
    </xf>
    <xf numFmtId="0" fontId="6" fillId="25" borderId="39" xfId="0" applyFont="1" applyFill="1" applyBorder="1" applyAlignment="1">
      <alignment horizontal="left" vertical="top" wrapText="1"/>
    </xf>
    <xf numFmtId="49" fontId="8" fillId="25" borderId="12" xfId="0" applyNumberFormat="1" applyFont="1" applyFill="1" applyBorder="1" applyAlignment="1">
      <alignment horizontal="center"/>
    </xf>
    <xf numFmtId="49" fontId="8" fillId="25" borderId="10" xfId="0" applyNumberFormat="1" applyFont="1" applyFill="1" applyBorder="1" applyAlignment="1">
      <alignment horizontal="center"/>
    </xf>
    <xf numFmtId="49" fontId="8" fillId="25" borderId="13" xfId="0" applyNumberFormat="1" applyFont="1" applyFill="1" applyBorder="1" applyAlignment="1">
      <alignment horizontal="center"/>
    </xf>
    <xf numFmtId="0" fontId="6" fillId="25" borderId="13" xfId="0" applyFont="1" applyFill="1" applyBorder="1" applyAlignment="1">
      <alignment horizontal="justify" vertical="top" wrapText="1"/>
    </xf>
    <xf numFmtId="0" fontId="6" fillId="25" borderId="15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0" fontId="19" fillId="25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26" borderId="76" xfId="0" applyFont="1" applyFill="1" applyBorder="1" applyAlignment="1">
      <alignment horizontal="center" vertical="center" wrapText="1"/>
    </xf>
    <xf numFmtId="0" fontId="5" fillId="26" borderId="23" xfId="0" applyFont="1" applyFill="1" applyBorder="1" applyAlignment="1">
      <alignment horizontal="center" vertical="center" wrapText="1"/>
    </xf>
    <xf numFmtId="0" fontId="5" fillId="26" borderId="77" xfId="0" applyFont="1" applyFill="1" applyBorder="1" applyAlignment="1">
      <alignment horizontal="center" vertical="center" wrapText="1"/>
    </xf>
    <xf numFmtId="0" fontId="5" fillId="26" borderId="103" xfId="0" applyFont="1" applyFill="1" applyBorder="1" applyAlignment="1">
      <alignment horizontal="center" vertical="center" wrapText="1"/>
    </xf>
    <xf numFmtId="0" fontId="5" fillId="26" borderId="104" xfId="0" applyFont="1" applyFill="1" applyBorder="1" applyAlignment="1">
      <alignment horizontal="center" vertical="center" wrapText="1"/>
    </xf>
    <xf numFmtId="0" fontId="5" fillId="26" borderId="105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26" borderId="42" xfId="0" applyFont="1" applyFill="1" applyBorder="1" applyAlignment="1">
      <alignment horizontal="center" vertical="center" wrapText="1"/>
    </xf>
    <xf numFmtId="0" fontId="5" fillId="26" borderId="43" xfId="0" applyFont="1" applyFill="1" applyBorder="1" applyAlignment="1">
      <alignment horizontal="center" vertical="center" wrapText="1"/>
    </xf>
    <xf numFmtId="0" fontId="5" fillId="26" borderId="4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5" fillId="26" borderId="33" xfId="0" applyFont="1" applyFill="1" applyBorder="1" applyAlignment="1">
      <alignment horizontal="center" vertical="center" wrapText="1"/>
    </xf>
    <xf numFmtId="0" fontId="5" fillId="26" borderId="34" xfId="0" applyFont="1" applyFill="1" applyBorder="1" applyAlignment="1">
      <alignment horizontal="center" vertical="center" wrapText="1"/>
    </xf>
    <xf numFmtId="0" fontId="5" fillId="26" borderId="3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/>
    </xf>
    <xf numFmtId="0" fontId="8" fillId="27" borderId="0" xfId="0" applyFont="1" applyFill="1" applyAlignment="1">
      <alignment horizontal="center" vertical="center"/>
    </xf>
    <xf numFmtId="0" fontId="8" fillId="27" borderId="23" xfId="0" applyFont="1" applyFill="1" applyBorder="1" applyAlignment="1">
      <alignment horizontal="center" vertical="center"/>
    </xf>
    <xf numFmtId="0" fontId="8" fillId="27" borderId="41" xfId="0" applyFont="1" applyFill="1" applyBorder="1" applyAlignment="1">
      <alignment horizontal="center" vertical="center"/>
    </xf>
    <xf numFmtId="0" fontId="8" fillId="27" borderId="73" xfId="0" applyFont="1" applyFill="1" applyBorder="1" applyAlignment="1">
      <alignment horizontal="center" vertical="center"/>
    </xf>
    <xf numFmtId="0" fontId="8" fillId="27" borderId="76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8" fillId="0" borderId="4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 wrapText="1"/>
    </xf>
    <xf numFmtId="0" fontId="38" fillId="0" borderId="76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38" fillId="0" borderId="35" xfId="0" applyFont="1" applyBorder="1" applyAlignment="1">
      <alignment horizontal="center" vertical="center" wrapText="1"/>
    </xf>
    <xf numFmtId="0" fontId="8" fillId="26" borderId="33" xfId="0" applyFont="1" applyFill="1" applyBorder="1" applyAlignment="1">
      <alignment horizontal="center" vertical="center"/>
    </xf>
    <xf numFmtId="0" fontId="38" fillId="26" borderId="35" xfId="0" applyFont="1" applyFill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8" fillId="0" borderId="47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26" xfId="0" applyNumberFormat="1" applyFont="1" applyBorder="1" applyAlignment="1">
      <alignment horizontal="center" vertical="center"/>
    </xf>
    <xf numFmtId="9" fontId="5" fillId="0" borderId="46" xfId="0" applyNumberFormat="1" applyFont="1" applyBorder="1" applyAlignment="1">
      <alignment horizontal="center" vertical="center"/>
    </xf>
    <xf numFmtId="174" fontId="3" fillId="0" borderId="33" xfId="31" applyNumberFormat="1" applyFont="1" applyFill="1" applyBorder="1" applyAlignment="1">
      <alignment horizontal="center" vertical="center" wrapText="1"/>
    </xf>
    <xf numFmtId="174" fontId="3" fillId="0" borderId="3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" fontId="3" fillId="0" borderId="33" xfId="31" applyNumberFormat="1" applyFont="1" applyFill="1" applyBorder="1" applyAlignment="1">
      <alignment horizontal="center" vertical="center" wrapText="1"/>
    </xf>
    <xf numFmtId="4" fontId="3" fillId="0" borderId="34" xfId="31" applyNumberFormat="1" applyFont="1" applyFill="1" applyBorder="1" applyAlignment="1">
      <alignment horizontal="center" vertical="center" wrapText="1"/>
    </xf>
    <xf numFmtId="4" fontId="3" fillId="0" borderId="35" xfId="31" applyNumberFormat="1" applyFont="1" applyFill="1" applyBorder="1" applyAlignment="1">
      <alignment horizontal="center" vertical="center" wrapText="1"/>
    </xf>
    <xf numFmtId="174" fontId="3" fillId="0" borderId="41" xfId="31" applyNumberFormat="1" applyFont="1" applyFill="1" applyBorder="1" applyAlignment="1">
      <alignment horizontal="center"/>
    </xf>
    <xf numFmtId="174" fontId="3" fillId="0" borderId="73" xfId="31" applyNumberFormat="1" applyFont="1" applyFill="1" applyBorder="1" applyAlignment="1">
      <alignment horizontal="center"/>
    </xf>
    <xf numFmtId="174" fontId="3" fillId="0" borderId="76" xfId="31" applyNumberFormat="1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 vertical="center"/>
    </xf>
    <xf numFmtId="0" fontId="0" fillId="0" borderId="35" xfId="0" applyFill="1" applyBorder="1"/>
    <xf numFmtId="0" fontId="3" fillId="0" borderId="3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53" fillId="0" borderId="33" xfId="0" applyFont="1" applyFill="1" applyBorder="1" applyAlignment="1">
      <alignment horizontal="center" vertical="center" wrapText="1"/>
    </xf>
    <xf numFmtId="0" fontId="53" fillId="0" borderId="35" xfId="0" applyFont="1" applyFill="1" applyBorder="1" applyAlignment="1">
      <alignment horizontal="center" vertical="center" wrapText="1"/>
    </xf>
    <xf numFmtId="4" fontId="53" fillId="0" borderId="33" xfId="31" applyNumberFormat="1" applyFont="1" applyFill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53" fillId="0" borderId="73" xfId="0" applyFont="1" applyFill="1" applyBorder="1" applyAlignment="1">
      <alignment horizontal="center" vertical="center" wrapText="1"/>
    </xf>
    <xf numFmtId="0" fontId="53" fillId="0" borderId="76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5" fillId="0" borderId="76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4" fontId="45" fillId="0" borderId="33" xfId="31" applyNumberFormat="1" applyFont="1" applyFill="1" applyBorder="1" applyAlignment="1">
      <alignment horizontal="center" vertical="center" wrapText="1"/>
    </xf>
    <xf numFmtId="4" fontId="45" fillId="0" borderId="35" xfId="31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/>
    </xf>
    <xf numFmtId="4" fontId="63" fillId="0" borderId="0" xfId="31" applyNumberFormat="1" applyFont="1" applyAlignment="1">
      <alignment horizontal="center"/>
    </xf>
    <xf numFmtId="4" fontId="63" fillId="0" borderId="75" xfId="31" applyNumberFormat="1" applyFont="1" applyBorder="1" applyAlignment="1">
      <alignment horizontal="center"/>
    </xf>
    <xf numFmtId="174" fontId="67" fillId="0" borderId="38" xfId="37" applyNumberFormat="1" applyFont="1" applyBorder="1" applyAlignment="1">
      <alignment horizontal="center"/>
    </xf>
    <xf numFmtId="174" fontId="67" fillId="0" borderId="82" xfId="37" applyNumberFormat="1" applyFont="1" applyBorder="1" applyAlignment="1">
      <alignment horizontal="center"/>
    </xf>
    <xf numFmtId="174" fontId="67" fillId="0" borderId="36" xfId="37" applyNumberFormat="1" applyFont="1" applyBorder="1" applyAlignment="1">
      <alignment horizontal="center"/>
    </xf>
    <xf numFmtId="4" fontId="67" fillId="0" borderId="10" xfId="31" applyNumberFormat="1" applyFont="1" applyBorder="1" applyAlignment="1">
      <alignment horizontal="center" vertical="center" wrapText="1"/>
    </xf>
    <xf numFmtId="4" fontId="6" fillId="0" borderId="0" xfId="31" applyNumberFormat="1" applyFont="1" applyAlignment="1">
      <alignment horizontal="center"/>
    </xf>
    <xf numFmtId="4" fontId="67" fillId="0" borderId="10" xfId="31" applyNumberFormat="1" applyFont="1" applyBorder="1" applyAlignment="1">
      <alignment horizontal="center"/>
    </xf>
    <xf numFmtId="4" fontId="67" fillId="0" borderId="10" xfId="31" applyNumberFormat="1" applyFont="1" applyBorder="1" applyAlignment="1">
      <alignment horizontal="center" vertical="center"/>
    </xf>
    <xf numFmtId="174" fontId="67" fillId="0" borderId="10" xfId="31" applyNumberFormat="1" applyFont="1" applyBorder="1" applyAlignment="1">
      <alignment horizontal="center" vertical="center" wrapText="1"/>
    </xf>
    <xf numFmtId="174" fontId="67" fillId="0" borderId="10" xfId="37" applyNumberFormat="1" applyFont="1" applyBorder="1" applyAlignment="1">
      <alignment horizontal="center" vertical="center" wrapText="1"/>
    </xf>
    <xf numFmtId="174" fontId="67" fillId="0" borderId="10" xfId="31" applyNumberFormat="1" applyFont="1" applyBorder="1" applyAlignment="1">
      <alignment horizontal="center"/>
    </xf>
    <xf numFmtId="49" fontId="67" fillId="0" borderId="10" xfId="31" applyNumberFormat="1" applyFont="1" applyBorder="1" applyAlignment="1">
      <alignment horizontal="center" vertical="center" textRotation="90" wrapText="1"/>
    </xf>
    <xf numFmtId="0" fontId="67" fillId="0" borderId="10" xfId="0" applyFont="1" applyBorder="1" applyAlignment="1">
      <alignment horizontal="center" vertical="center" textRotation="90" wrapText="1"/>
    </xf>
    <xf numFmtId="0" fontId="67" fillId="0" borderId="10" xfId="0" applyFont="1" applyBorder="1" applyAlignment="1">
      <alignment horizontal="center" vertical="center" wrapText="1"/>
    </xf>
    <xf numFmtId="174" fontId="67" fillId="0" borderId="10" xfId="37" applyNumberFormat="1" applyFont="1" applyBorder="1" applyAlignment="1">
      <alignment horizontal="center"/>
    </xf>
    <xf numFmtId="174" fontId="67" fillId="0" borderId="10" xfId="37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42" fillId="0" borderId="44" xfId="50" applyFont="1" applyBorder="1" applyAlignment="1">
      <alignment horizontal="center"/>
    </xf>
    <xf numFmtId="0" fontId="42" fillId="0" borderId="31" xfId="50" applyFont="1" applyBorder="1" applyAlignment="1">
      <alignment horizontal="center"/>
    </xf>
    <xf numFmtId="0" fontId="42" fillId="0" borderId="77" xfId="50" applyFont="1" applyBorder="1" applyAlignment="1">
      <alignment horizontal="center"/>
    </xf>
    <xf numFmtId="0" fontId="40" fillId="0" borderId="41" xfId="50" applyFont="1" applyBorder="1" applyAlignment="1">
      <alignment horizontal="center"/>
    </xf>
    <xf numFmtId="0" fontId="40" fillId="0" borderId="73" xfId="50" applyFont="1" applyBorder="1" applyAlignment="1">
      <alignment horizontal="center"/>
    </xf>
    <xf numFmtId="0" fontId="40" fillId="0" borderId="76" xfId="50" applyFont="1" applyBorder="1" applyAlignment="1">
      <alignment horizontal="center"/>
    </xf>
    <xf numFmtId="49" fontId="40" fillId="0" borderId="20" xfId="50" applyNumberFormat="1" applyFont="1" applyBorder="1" applyAlignment="1">
      <alignment horizontal="center"/>
    </xf>
    <xf numFmtId="49" fontId="40" fillId="0" borderId="0" xfId="50" applyNumberFormat="1" applyFont="1" applyAlignment="1">
      <alignment horizontal="center"/>
    </xf>
    <xf numFmtId="49" fontId="40" fillId="0" borderId="23" xfId="50" applyNumberFormat="1" applyFont="1" applyBorder="1" applyAlignment="1">
      <alignment horizontal="center"/>
    </xf>
    <xf numFmtId="0" fontId="40" fillId="0" borderId="20" xfId="50" applyFont="1" applyBorder="1" applyAlignment="1">
      <alignment horizontal="center"/>
    </xf>
    <xf numFmtId="0" fontId="40" fillId="0" borderId="0" xfId="50" applyFont="1" applyAlignment="1">
      <alignment horizontal="center"/>
    </xf>
    <xf numFmtId="0" fontId="40" fillId="0" borderId="23" xfId="50" applyFont="1" applyBorder="1" applyAlignment="1">
      <alignment horizontal="center"/>
    </xf>
    <xf numFmtId="0" fontId="39" fillId="0" borderId="0" xfId="50" applyFont="1" applyAlignment="1">
      <alignment horizontal="center"/>
    </xf>
    <xf numFmtId="49" fontId="39" fillId="0" borderId="0" xfId="0" applyNumberFormat="1" applyFont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49" fontId="39" fillId="0" borderId="31" xfId="0" applyNumberFormat="1" applyFont="1" applyBorder="1" applyAlignment="1">
      <alignment horizontal="center"/>
    </xf>
    <xf numFmtId="0" fontId="43" fillId="0" borderId="33" xfId="0" applyFont="1" applyBorder="1" applyAlignment="1">
      <alignment horizontal="center" vertical="center" wrapText="1"/>
    </xf>
    <xf numFmtId="0" fontId="44" fillId="0" borderId="35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78" xfId="0" applyFont="1" applyBorder="1" applyAlignment="1">
      <alignment vertical="center" wrapText="1"/>
    </xf>
    <xf numFmtId="0" fontId="40" fillId="0" borderId="41" xfId="0" applyFont="1" applyBorder="1" applyAlignment="1">
      <alignment horizontal="center"/>
    </xf>
    <xf numFmtId="0" fontId="40" fillId="0" borderId="73" xfId="0" applyFont="1" applyBorder="1" applyAlignment="1">
      <alignment horizontal="center"/>
    </xf>
    <xf numFmtId="0" fontId="40" fillId="0" borderId="76" xfId="0" applyFont="1" applyBorder="1" applyAlignment="1">
      <alignment horizontal="center"/>
    </xf>
    <xf numFmtId="0" fontId="42" fillId="0" borderId="44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42" fillId="0" borderId="77" xfId="0" applyFont="1" applyBorder="1" applyAlignment="1">
      <alignment horizontal="center"/>
    </xf>
    <xf numFmtId="164" fontId="39" fillId="0" borderId="0" xfId="37" applyFont="1" applyAlignment="1">
      <alignment horizontal="center"/>
    </xf>
    <xf numFmtId="0" fontId="46" fillId="0" borderId="0" xfId="0" applyFont="1" applyAlignment="1">
      <alignment horizontal="center"/>
    </xf>
    <xf numFmtId="49" fontId="46" fillId="0" borderId="0" xfId="0" applyNumberFormat="1" applyFont="1" applyAlignment="1">
      <alignment horizontal="center"/>
    </xf>
    <xf numFmtId="49" fontId="54" fillId="0" borderId="33" xfId="0" applyNumberFormat="1" applyFont="1" applyBorder="1" applyAlignment="1">
      <alignment horizontal="center" vertical="center" wrapText="1"/>
    </xf>
    <xf numFmtId="49" fontId="54" fillId="0" borderId="35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5" fillId="0" borderId="35" xfId="0" applyFont="1" applyBorder="1" applyAlignment="1">
      <alignment vertical="center" wrapText="1"/>
    </xf>
    <xf numFmtId="0" fontId="54" fillId="0" borderId="27" xfId="0" applyFont="1" applyBorder="1" applyAlignment="1">
      <alignment horizontal="center" vertical="center" wrapText="1"/>
    </xf>
    <xf numFmtId="0" fontId="55" fillId="0" borderId="78" xfId="0" applyFont="1" applyBorder="1" applyAlignment="1">
      <alignment vertical="center" wrapText="1"/>
    </xf>
    <xf numFmtId="0" fontId="72" fillId="0" borderId="0" xfId="0" applyFont="1"/>
    <xf numFmtId="0" fontId="73" fillId="0" borderId="0" xfId="0" applyFont="1" applyFill="1" applyAlignment="1">
      <alignment horizontal="center"/>
    </xf>
    <xf numFmtId="0" fontId="74" fillId="0" borderId="0" xfId="0" applyFont="1" applyFill="1" applyAlignment="1">
      <alignment horizontal="center"/>
    </xf>
    <xf numFmtId="0" fontId="75" fillId="0" borderId="0" xfId="0" applyFont="1" applyFill="1" applyAlignment="1">
      <alignment horizontal="center"/>
    </xf>
    <xf numFmtId="0" fontId="75" fillId="0" borderId="0" xfId="0" applyFont="1" applyFill="1" applyAlignment="1">
      <alignment horizontal="left"/>
    </xf>
    <xf numFmtId="0" fontId="75" fillId="0" borderId="0" xfId="0" applyFont="1" applyFill="1" applyAlignment="1">
      <alignment horizontal="left"/>
    </xf>
    <xf numFmtId="0" fontId="77" fillId="0" borderId="33" xfId="0" applyFont="1" applyFill="1" applyBorder="1" applyAlignment="1">
      <alignment horizontal="center" vertical="center" wrapText="1"/>
    </xf>
    <xf numFmtId="49" fontId="78" fillId="0" borderId="33" xfId="0" applyNumberFormat="1" applyFont="1" applyFill="1" applyBorder="1" applyAlignment="1">
      <alignment horizontal="center" vertical="center" wrapText="1"/>
    </xf>
    <xf numFmtId="4" fontId="77" fillId="0" borderId="33" xfId="31" applyNumberFormat="1" applyFont="1" applyFill="1" applyBorder="1" applyAlignment="1">
      <alignment horizontal="center" vertical="center" wrapText="1"/>
    </xf>
    <xf numFmtId="0" fontId="78" fillId="0" borderId="41" xfId="0" applyFont="1" applyFill="1" applyBorder="1" applyAlignment="1">
      <alignment horizontal="center" vertical="center" wrapText="1"/>
    </xf>
    <xf numFmtId="0" fontId="78" fillId="0" borderId="73" xfId="0" applyFont="1" applyFill="1" applyBorder="1" applyAlignment="1">
      <alignment horizontal="center" vertical="center" wrapText="1"/>
    </xf>
    <xf numFmtId="0" fontId="78" fillId="0" borderId="33" xfId="0" applyFont="1" applyFill="1" applyBorder="1" applyAlignment="1">
      <alignment horizontal="center" vertical="center" wrapText="1"/>
    </xf>
    <xf numFmtId="0" fontId="77" fillId="0" borderId="35" xfId="0" applyFont="1" applyFill="1" applyBorder="1" applyAlignment="1">
      <alignment horizontal="center" vertical="center" wrapText="1"/>
    </xf>
    <xf numFmtId="49" fontId="78" fillId="0" borderId="35" xfId="0" applyNumberFormat="1" applyFont="1" applyFill="1" applyBorder="1" applyAlignment="1">
      <alignment horizontal="center" vertical="center" wrapText="1"/>
    </xf>
    <xf numFmtId="0" fontId="78" fillId="0" borderId="61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78" fillId="0" borderId="32" xfId="0" applyFont="1" applyFill="1" applyBorder="1" applyAlignment="1">
      <alignment horizontal="center" vertical="center" wrapText="1"/>
    </xf>
    <xf numFmtId="0" fontId="78" fillId="0" borderId="35" xfId="0" applyFont="1" applyFill="1" applyBorder="1" applyAlignment="1">
      <alignment horizontal="center" vertical="center" wrapText="1"/>
    </xf>
    <xf numFmtId="0" fontId="79" fillId="0" borderId="20" xfId="0" applyFont="1" applyFill="1" applyBorder="1" applyAlignment="1">
      <alignment horizontal="left" vertical="center" wrapText="1"/>
    </xf>
    <xf numFmtId="49" fontId="80" fillId="0" borderId="25" xfId="0" applyNumberFormat="1" applyFont="1" applyFill="1" applyBorder="1" applyAlignment="1">
      <alignment horizontal="center" vertical="center" wrapText="1"/>
    </xf>
    <xf numFmtId="0" fontId="79" fillId="0" borderId="0" xfId="0" applyFont="1" applyFill="1" applyAlignment="1">
      <alignment horizontal="left" vertical="center" wrapText="1"/>
    </xf>
    <xf numFmtId="164" fontId="79" fillId="0" borderId="41" xfId="37" applyFont="1" applyFill="1" applyBorder="1" applyAlignment="1">
      <alignment horizontal="center" wrapText="1"/>
    </xf>
    <xf numFmtId="164" fontId="79" fillId="0" borderId="33" xfId="37" applyFont="1" applyFill="1" applyBorder="1" applyAlignment="1">
      <alignment horizontal="center" wrapText="1"/>
    </xf>
    <xf numFmtId="164" fontId="79" fillId="0" borderId="73" xfId="37" applyFont="1" applyFill="1" applyBorder="1" applyAlignment="1">
      <alignment horizontal="center" wrapText="1"/>
    </xf>
    <xf numFmtId="167" fontId="79" fillId="0" borderId="34" xfId="31" applyNumberFormat="1" applyFont="1" applyFill="1" applyBorder="1" applyAlignment="1">
      <alignment horizontal="right"/>
    </xf>
    <xf numFmtId="0" fontId="81" fillId="0" borderId="0" xfId="0" applyFont="1"/>
    <xf numFmtId="49" fontId="80" fillId="0" borderId="24" xfId="0" applyNumberFormat="1" applyFont="1" applyFill="1" applyBorder="1" applyAlignment="1">
      <alignment horizontal="center" vertical="center" wrapText="1"/>
    </xf>
    <xf numFmtId="0" fontId="77" fillId="0" borderId="0" xfId="0" applyFont="1" applyFill="1" applyAlignment="1">
      <alignment horizontal="left" vertical="center" wrapText="1"/>
    </xf>
    <xf numFmtId="164" fontId="77" fillId="0" borderId="20" xfId="37" applyFont="1" applyFill="1" applyBorder="1" applyAlignment="1">
      <alignment horizontal="center" wrapText="1"/>
    </xf>
    <xf numFmtId="164" fontId="79" fillId="0" borderId="34" xfId="37" applyFont="1" applyFill="1" applyBorder="1" applyAlignment="1">
      <alignment horizontal="center" wrapText="1"/>
    </xf>
    <xf numFmtId="164" fontId="79" fillId="0" borderId="0" xfId="37" applyFont="1" applyFill="1" applyBorder="1" applyAlignment="1">
      <alignment horizontal="center" wrapText="1"/>
    </xf>
    <xf numFmtId="164" fontId="79" fillId="0" borderId="0" xfId="37" applyFont="1" applyFill="1" applyAlignment="1">
      <alignment horizontal="center" wrapText="1"/>
    </xf>
    <xf numFmtId="167" fontId="77" fillId="0" borderId="34" xfId="31" applyNumberFormat="1" applyFont="1" applyFill="1" applyBorder="1" applyAlignment="1">
      <alignment horizontal="right"/>
    </xf>
    <xf numFmtId="164" fontId="79" fillId="0" borderId="20" xfId="37" applyFont="1" applyFill="1" applyBorder="1" applyAlignment="1">
      <alignment horizontal="center" wrapText="1"/>
    </xf>
    <xf numFmtId="164" fontId="72" fillId="0" borderId="0" xfId="0" applyNumberFormat="1" applyFont="1"/>
    <xf numFmtId="177" fontId="81" fillId="0" borderId="0" xfId="0" applyNumberFormat="1" applyFont="1"/>
    <xf numFmtId="0" fontId="79" fillId="0" borderId="34" xfId="0" applyFont="1" applyFill="1" applyBorder="1" applyAlignment="1">
      <alignment horizontal="left" vertical="center" wrapText="1"/>
    </xf>
    <xf numFmtId="49" fontId="80" fillId="0" borderId="34" xfId="0" applyNumberFormat="1" applyFont="1" applyFill="1" applyBorder="1" applyAlignment="1">
      <alignment horizontal="center" vertical="center" wrapText="1"/>
    </xf>
    <xf numFmtId="0" fontId="77" fillId="0" borderId="34" xfId="0" applyFont="1" applyFill="1" applyBorder="1" applyAlignment="1">
      <alignment horizontal="left" vertical="center" wrapText="1"/>
    </xf>
    <xf numFmtId="164" fontId="77" fillId="0" borderId="34" xfId="37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left" vertical="center" wrapText="1"/>
    </xf>
    <xf numFmtId="49" fontId="80" fillId="0" borderId="24" xfId="0" applyNumberFormat="1" applyFont="1" applyFill="1" applyBorder="1" applyAlignment="1">
      <alignment horizontal="left" vertical="center" wrapText="1"/>
    </xf>
    <xf numFmtId="164" fontId="77" fillId="0" borderId="0" xfId="37" applyFont="1" applyFill="1" applyBorder="1" applyAlignment="1">
      <alignment horizontal="center" wrapText="1"/>
    </xf>
    <xf numFmtId="164" fontId="77" fillId="0" borderId="0" xfId="37" applyFont="1" applyFill="1" applyAlignment="1">
      <alignment horizontal="center" wrapText="1"/>
    </xf>
    <xf numFmtId="0" fontId="79" fillId="0" borderId="35" xfId="0" applyFont="1" applyFill="1" applyBorder="1" applyAlignment="1">
      <alignment horizontal="left" vertical="center" wrapText="1"/>
    </xf>
    <xf numFmtId="49" fontId="80" fillId="0" borderId="35" xfId="0" applyNumberFormat="1" applyFont="1" applyFill="1" applyBorder="1" applyAlignment="1">
      <alignment horizontal="center" vertical="center" wrapText="1"/>
    </xf>
    <xf numFmtId="164" fontId="79" fillId="0" borderId="35" xfId="37" applyFont="1" applyFill="1" applyBorder="1" applyAlignment="1">
      <alignment horizontal="center" wrapText="1"/>
    </xf>
    <xf numFmtId="164" fontId="77" fillId="0" borderId="35" xfId="37" applyFont="1" applyFill="1" applyBorder="1" applyAlignment="1">
      <alignment horizontal="center" wrapText="1"/>
    </xf>
    <xf numFmtId="167" fontId="79" fillId="0" borderId="35" xfId="31" applyNumberFormat="1" applyFont="1" applyFill="1" applyBorder="1" applyAlignment="1">
      <alignment horizontal="right"/>
    </xf>
    <xf numFmtId="4" fontId="77" fillId="0" borderId="0" xfId="31" applyNumberFormat="1" applyFont="1" applyFill="1" applyAlignment="1">
      <alignment wrapText="1"/>
    </xf>
    <xf numFmtId="4" fontId="77" fillId="0" borderId="0" xfId="31" applyNumberFormat="1" applyFont="1" applyFill="1" applyBorder="1" applyAlignment="1">
      <alignment wrapText="1"/>
    </xf>
    <xf numFmtId="4" fontId="79" fillId="0" borderId="0" xfId="31" applyNumberFormat="1" applyFont="1" applyFill="1" applyAlignment="1">
      <alignment wrapText="1"/>
    </xf>
    <xf numFmtId="0" fontId="79" fillId="0" borderId="20" xfId="0" applyFont="1" applyFill="1" applyBorder="1" applyAlignment="1">
      <alignment horizontal="left"/>
    </xf>
    <xf numFmtId="49" fontId="82" fillId="0" borderId="24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left" vertical="center" wrapText="1"/>
    </xf>
    <xf numFmtId="49" fontId="80" fillId="0" borderId="24" xfId="0" applyNumberFormat="1" applyFont="1" applyFill="1" applyBorder="1" applyAlignment="1">
      <alignment horizontal="left"/>
    </xf>
    <xf numFmtId="4" fontId="77" fillId="0" borderId="43" xfId="31" applyNumberFormat="1" applyFont="1" applyFill="1" applyBorder="1" applyAlignment="1">
      <alignment wrapText="1"/>
    </xf>
    <xf numFmtId="167" fontId="77" fillId="0" borderId="20" xfId="31" applyNumberFormat="1" applyFont="1" applyFill="1" applyBorder="1" applyAlignment="1">
      <alignment horizontal="right"/>
    </xf>
    <xf numFmtId="167" fontId="79" fillId="0" borderId="0" xfId="31" applyNumberFormat="1" applyFont="1" applyFill="1" applyBorder="1" applyAlignment="1">
      <alignment horizontal="right"/>
    </xf>
    <xf numFmtId="167" fontId="79" fillId="0" borderId="0" xfId="31" applyNumberFormat="1" applyFont="1" applyFill="1" applyAlignment="1">
      <alignment horizontal="right"/>
    </xf>
    <xf numFmtId="167" fontId="79" fillId="0" borderId="20" xfId="31" applyNumberFormat="1" applyFont="1" applyFill="1" applyBorder="1" applyAlignment="1">
      <alignment horizontal="right"/>
    </xf>
    <xf numFmtId="0" fontId="79" fillId="0" borderId="43" xfId="0" applyFont="1" applyFill="1" applyBorder="1" applyAlignment="1">
      <alignment horizontal="left" vertical="center" wrapText="1"/>
    </xf>
    <xf numFmtId="49" fontId="80" fillId="0" borderId="20" xfId="0" applyNumberFormat="1" applyFont="1" applyFill="1" applyBorder="1" applyAlignment="1">
      <alignment horizontal="center" vertical="center" wrapText="1"/>
    </xf>
    <xf numFmtId="164" fontId="79" fillId="0" borderId="34" xfId="0" applyNumberFormat="1" applyFont="1" applyFill="1" applyBorder="1"/>
    <xf numFmtId="164" fontId="79" fillId="0" borderId="23" xfId="37" applyFont="1" applyFill="1" applyBorder="1" applyAlignment="1">
      <alignment horizontal="center" wrapText="1"/>
    </xf>
    <xf numFmtId="49" fontId="80" fillId="0" borderId="34" xfId="0" applyNumberFormat="1" applyFont="1" applyFill="1" applyBorder="1" applyAlignment="1">
      <alignment horizontal="left"/>
    </xf>
    <xf numFmtId="4" fontId="77" fillId="0" borderId="34" xfId="31" applyNumberFormat="1" applyFont="1" applyFill="1" applyBorder="1" applyAlignment="1">
      <alignment wrapText="1"/>
    </xf>
    <xf numFmtId="0" fontId="79" fillId="0" borderId="0" xfId="0" applyFont="1" applyFill="1" applyBorder="1" applyAlignment="1">
      <alignment horizontal="left"/>
    </xf>
    <xf numFmtId="4" fontId="79" fillId="0" borderId="23" xfId="31" applyNumberFormat="1" applyFont="1" applyFill="1" applyBorder="1" applyAlignment="1">
      <alignment wrapText="1"/>
    </xf>
    <xf numFmtId="164" fontId="79" fillId="0" borderId="0" xfId="48" applyNumberFormat="1" applyFont="1"/>
    <xf numFmtId="4" fontId="79" fillId="0" borderId="0" xfId="31" applyNumberFormat="1" applyFont="1" applyFill="1" applyBorder="1" applyAlignment="1">
      <alignment wrapText="1"/>
    </xf>
    <xf numFmtId="164" fontId="79" fillId="0" borderId="34" xfId="48" applyNumberFormat="1" applyFont="1" applyBorder="1"/>
    <xf numFmtId="0" fontId="79" fillId="0" borderId="34" xfId="0" applyFont="1" applyFill="1" applyBorder="1" applyAlignment="1">
      <alignment horizontal="left"/>
    </xf>
    <xf numFmtId="4" fontId="79" fillId="0" borderId="34" xfId="31" applyNumberFormat="1" applyFont="1" applyFill="1" applyBorder="1" applyAlignment="1">
      <alignment wrapText="1"/>
    </xf>
    <xf numFmtId="0" fontId="79" fillId="0" borderId="85" xfId="0" applyFont="1" applyFill="1" applyBorder="1" applyAlignment="1">
      <alignment horizontal="left"/>
    </xf>
    <xf numFmtId="0" fontId="79" fillId="0" borderId="35" xfId="0" applyFont="1" applyFill="1" applyBorder="1" applyAlignment="1">
      <alignment horizontal="left"/>
    </xf>
    <xf numFmtId="49" fontId="80" fillId="0" borderId="35" xfId="0" applyNumberFormat="1" applyFont="1" applyFill="1" applyBorder="1" applyAlignment="1">
      <alignment horizontal="left"/>
    </xf>
    <xf numFmtId="4" fontId="79" fillId="0" borderId="35" xfId="31" applyNumberFormat="1" applyFont="1" applyFill="1" applyBorder="1" applyAlignment="1">
      <alignment wrapText="1"/>
    </xf>
    <xf numFmtId="0" fontId="83" fillId="0" borderId="0" xfId="0" applyFont="1"/>
    <xf numFmtId="49" fontId="80" fillId="0" borderId="44" xfId="0" applyNumberFormat="1" applyFont="1" applyFill="1" applyBorder="1" applyAlignment="1">
      <alignment horizontal="center" vertical="center" wrapText="1"/>
    </xf>
    <xf numFmtId="0" fontId="79" fillId="0" borderId="50" xfId="0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left" vertical="center" wrapText="1"/>
    </xf>
    <xf numFmtId="164" fontId="85" fillId="0" borderId="20" xfId="37" applyFont="1" applyFill="1" applyBorder="1" applyAlignment="1">
      <alignment horizontal="center" wrapText="1"/>
    </xf>
    <xf numFmtId="164" fontId="78" fillId="0" borderId="34" xfId="37" applyFont="1" applyFill="1" applyBorder="1" applyAlignment="1">
      <alignment horizontal="center" wrapText="1"/>
    </xf>
    <xf numFmtId="164" fontId="86" fillId="0" borderId="34" xfId="37" applyFont="1" applyFill="1" applyBorder="1" applyAlignment="1">
      <alignment horizontal="center" wrapText="1"/>
    </xf>
    <xf numFmtId="164" fontId="78" fillId="0" borderId="20" xfId="37" applyFont="1" applyFill="1" applyBorder="1" applyAlignment="1">
      <alignment horizontal="center" wrapText="1"/>
    </xf>
    <xf numFmtId="164" fontId="86" fillId="0" borderId="20" xfId="37" applyFont="1" applyFill="1" applyBorder="1" applyAlignment="1">
      <alignment horizontal="center" wrapText="1"/>
    </xf>
    <xf numFmtId="0" fontId="79" fillId="26" borderId="20" xfId="0" applyFont="1" applyFill="1" applyBorder="1" applyAlignment="1">
      <alignment horizontal="left" vertical="center" wrapText="1"/>
    </xf>
    <xf numFmtId="49" fontId="80" fillId="26" borderId="24" xfId="0" applyNumberFormat="1" applyFont="1" applyFill="1" applyBorder="1" applyAlignment="1">
      <alignment horizontal="center" vertical="center" wrapText="1"/>
    </xf>
    <xf numFmtId="0" fontId="77" fillId="26" borderId="0" xfId="0" applyFont="1" applyFill="1" applyBorder="1" applyAlignment="1">
      <alignment horizontal="left" vertical="center" wrapText="1"/>
    </xf>
    <xf numFmtId="164" fontId="77" fillId="26" borderId="20" xfId="37" applyFont="1" applyFill="1" applyBorder="1" applyAlignment="1">
      <alignment horizontal="center" wrapText="1"/>
    </xf>
    <xf numFmtId="164" fontId="79" fillId="26" borderId="34" xfId="37" applyFont="1" applyFill="1" applyBorder="1" applyAlignment="1">
      <alignment horizontal="center" wrapText="1"/>
    </xf>
    <xf numFmtId="164" fontId="79" fillId="26" borderId="0" xfId="37" applyFont="1" applyFill="1" applyBorder="1" applyAlignment="1">
      <alignment horizontal="center" wrapText="1"/>
    </xf>
    <xf numFmtId="164" fontId="77" fillId="26" borderId="34" xfId="37" applyFont="1" applyFill="1" applyBorder="1" applyAlignment="1">
      <alignment horizontal="center" wrapText="1"/>
    </xf>
    <xf numFmtId="164" fontId="77" fillId="26" borderId="0" xfId="37" applyFont="1" applyFill="1" applyBorder="1" applyAlignment="1">
      <alignment horizontal="center" wrapText="1"/>
    </xf>
    <xf numFmtId="167" fontId="77" fillId="26" borderId="34" xfId="31" applyNumberFormat="1" applyFont="1" applyFill="1" applyBorder="1" applyAlignment="1">
      <alignment horizontal="right"/>
    </xf>
    <xf numFmtId="0" fontId="72" fillId="26" borderId="0" xfId="0" applyFont="1" applyFill="1"/>
    <xf numFmtId="0" fontId="79" fillId="26" borderId="0" xfId="0" applyFont="1" applyFill="1" applyBorder="1" applyAlignment="1">
      <alignment horizontal="left" vertical="center" wrapText="1"/>
    </xf>
    <xf numFmtId="164" fontId="79" fillId="26" borderId="20" xfId="37" applyFont="1" applyFill="1" applyBorder="1" applyAlignment="1">
      <alignment horizontal="center" wrapText="1"/>
    </xf>
    <xf numFmtId="167" fontId="79" fillId="26" borderId="34" xfId="31" applyNumberFormat="1" applyFont="1" applyFill="1" applyBorder="1" applyAlignment="1">
      <alignment horizontal="right"/>
    </xf>
    <xf numFmtId="0" fontId="79" fillId="26" borderId="35" xfId="0" applyFont="1" applyFill="1" applyBorder="1" applyAlignment="1">
      <alignment horizontal="left" vertical="center" wrapText="1"/>
    </xf>
    <xf numFmtId="49" fontId="80" fillId="26" borderId="35" xfId="0" applyNumberFormat="1" applyFont="1" applyFill="1" applyBorder="1" applyAlignment="1">
      <alignment horizontal="center" vertical="center" wrapText="1"/>
    </xf>
    <xf numFmtId="164" fontId="79" fillId="26" borderId="35" xfId="37" applyFont="1" applyFill="1" applyBorder="1" applyAlignment="1">
      <alignment horizontal="center" wrapText="1"/>
    </xf>
    <xf numFmtId="164" fontId="77" fillId="26" borderId="35" xfId="37" applyFont="1" applyFill="1" applyBorder="1" applyAlignment="1">
      <alignment horizontal="center" wrapText="1"/>
    </xf>
    <xf numFmtId="167" fontId="79" fillId="26" borderId="35" xfId="31" applyNumberFormat="1" applyFont="1" applyFill="1" applyBorder="1" applyAlignment="1">
      <alignment horizontal="right"/>
    </xf>
    <xf numFmtId="49" fontId="80" fillId="26" borderId="44" xfId="0" applyNumberFormat="1" applyFont="1" applyFill="1" applyBorder="1" applyAlignment="1">
      <alignment horizontal="center" vertical="center" wrapText="1"/>
    </xf>
    <xf numFmtId="0" fontId="79" fillId="26" borderId="34" xfId="0" applyFont="1" applyFill="1" applyBorder="1" applyAlignment="1">
      <alignment horizontal="left" vertical="center" wrapText="1"/>
    </xf>
    <xf numFmtId="0" fontId="78" fillId="26" borderId="0" xfId="0" applyFont="1" applyFill="1" applyBorder="1" applyAlignment="1">
      <alignment horizontal="left" vertical="center" wrapText="1"/>
    </xf>
    <xf numFmtId="164" fontId="85" fillId="26" borderId="20" xfId="37" applyFont="1" applyFill="1" applyBorder="1" applyAlignment="1">
      <alignment horizontal="center" wrapText="1"/>
    </xf>
    <xf numFmtId="49" fontId="80" fillId="26" borderId="24" xfId="0" applyNumberFormat="1" applyFont="1" applyFill="1" applyBorder="1" applyAlignment="1">
      <alignment horizontal="left" vertical="center" wrapText="1"/>
    </xf>
    <xf numFmtId="0" fontId="79" fillId="26" borderId="0" xfId="0" applyFont="1" applyFill="1" applyAlignment="1">
      <alignment horizontal="left" vertical="center" wrapText="1"/>
    </xf>
    <xf numFmtId="0" fontId="81" fillId="26" borderId="0" xfId="0" applyFont="1" applyFill="1"/>
    <xf numFmtId="0" fontId="80" fillId="0" borderId="20" xfId="0" applyFont="1" applyFill="1" applyBorder="1" applyAlignment="1">
      <alignment horizontal="left" vertical="center" wrapText="1"/>
    </xf>
    <xf numFmtId="0" fontId="79" fillId="0" borderId="61" xfId="0" applyFont="1" applyFill="1" applyBorder="1" applyAlignment="1">
      <alignment horizontal="left" vertical="center" wrapText="1"/>
    </xf>
    <xf numFmtId="49" fontId="80" fillId="0" borderId="53" xfId="0" applyNumberFormat="1" applyFont="1" applyFill="1" applyBorder="1" applyAlignment="1">
      <alignment horizontal="center" vertical="center" wrapText="1"/>
    </xf>
    <xf numFmtId="0" fontId="77" fillId="0" borderId="56" xfId="0" applyFont="1" applyFill="1" applyBorder="1" applyAlignment="1">
      <alignment horizontal="left" vertical="center" wrapText="1"/>
    </xf>
    <xf numFmtId="164" fontId="77" fillId="0" borderId="61" xfId="37" applyFont="1" applyFill="1" applyBorder="1" applyAlignment="1">
      <alignment horizontal="center" wrapText="1"/>
    </xf>
    <xf numFmtId="164" fontId="77" fillId="0" borderId="89" xfId="37" applyFont="1" applyFill="1" applyBorder="1" applyAlignment="1">
      <alignment horizontal="center" wrapText="1"/>
    </xf>
    <xf numFmtId="164" fontId="77" fillId="0" borderId="30" xfId="37" applyFont="1" applyFill="1" applyBorder="1" applyAlignment="1">
      <alignment horizontal="center" wrapText="1"/>
    </xf>
    <xf numFmtId="164" fontId="78" fillId="0" borderId="53" xfId="37" applyFont="1" applyFill="1" applyBorder="1" applyAlignment="1">
      <alignment horizontal="center" wrapText="1"/>
    </xf>
    <xf numFmtId="164" fontId="77" fillId="0" borderId="53" xfId="37" applyFont="1" applyFill="1" applyBorder="1" applyAlignment="1">
      <alignment horizontal="center" wrapText="1"/>
    </xf>
    <xf numFmtId="49" fontId="80" fillId="0" borderId="0" xfId="0" applyNumberFormat="1" applyFont="1" applyFill="1" applyBorder="1" applyAlignment="1">
      <alignment horizontal="center" vertical="center" wrapText="1"/>
    </xf>
    <xf numFmtId="164" fontId="78" fillId="0" borderId="0" xfId="37" applyFont="1" applyFill="1" applyBorder="1" applyAlignment="1">
      <alignment horizontal="center" wrapText="1"/>
    </xf>
    <xf numFmtId="0" fontId="83" fillId="0" borderId="0" xfId="0" applyFont="1" applyFill="1"/>
    <xf numFmtId="164" fontId="72" fillId="0" borderId="0" xfId="0" applyNumberFormat="1" applyFont="1" applyFill="1"/>
    <xf numFmtId="0" fontId="72" fillId="0" borderId="0" xfId="0" applyFont="1" applyFill="1"/>
    <xf numFmtId="4" fontId="72" fillId="0" borderId="0" xfId="0" applyNumberFormat="1" applyFont="1" applyFill="1"/>
    <xf numFmtId="167" fontId="72" fillId="0" borderId="0" xfId="0" applyNumberFormat="1" applyFont="1" applyFill="1"/>
    <xf numFmtId="164" fontId="72" fillId="0" borderId="0" xfId="37" applyFont="1" applyFill="1"/>
    <xf numFmtId="44" fontId="72" fillId="0" borderId="0" xfId="0" applyNumberFormat="1" applyFont="1" applyFill="1"/>
    <xf numFmtId="0" fontId="87" fillId="0" borderId="0" xfId="0" applyFont="1" applyFill="1"/>
    <xf numFmtId="167" fontId="87" fillId="0" borderId="0" xfId="0" applyNumberFormat="1" applyFont="1" applyFill="1"/>
    <xf numFmtId="164" fontId="87" fillId="0" borderId="0" xfId="0" applyNumberFormat="1" applyFont="1" applyFill="1"/>
    <xf numFmtId="44" fontId="87" fillId="0" borderId="0" xfId="0" applyNumberFormat="1" applyFont="1" applyFill="1"/>
    <xf numFmtId="0" fontId="83" fillId="0" borderId="0" xfId="0" applyFont="1" applyFill="1" applyAlignment="1">
      <alignment horizontal="left"/>
    </xf>
    <xf numFmtId="49" fontId="72" fillId="0" borderId="0" xfId="0" applyNumberFormat="1" applyFont="1" applyFill="1" applyAlignment="1">
      <alignment horizontal="left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4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oneda" xfId="37" builtinId="4"/>
    <cellStyle name="Moneda 2" xfId="49"/>
    <cellStyle name="Neutral" xfId="38" builtinId="28" customBuiltin="1"/>
    <cellStyle name="Normal" xfId="0" builtinId="0"/>
    <cellStyle name="Normal 2" xfId="48"/>
    <cellStyle name="Normal 3" xfId="50"/>
    <cellStyle name="Notas" xfId="39" builtinId="10" customBuiltin="1"/>
    <cellStyle name="Notas 2" xfId="51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F35"/>
  <sheetViews>
    <sheetView topLeftCell="B1" zoomScale="115" zoomScaleNormal="115" workbookViewId="0">
      <selection activeCell="H28" sqref="H28"/>
    </sheetView>
  </sheetViews>
  <sheetFormatPr baseColWidth="10" defaultRowHeight="12.75" x14ac:dyDescent="0.2"/>
  <cols>
    <col min="1" max="1" width="1.28515625" style="963" customWidth="1"/>
    <col min="2" max="2" width="7.28515625" style="963" customWidth="1"/>
    <col min="3" max="3" width="7.140625" style="963" customWidth="1"/>
    <col min="4" max="4" width="31.7109375" style="963" customWidth="1"/>
    <col min="5" max="5" width="42.5703125" style="963" customWidth="1"/>
    <col min="6" max="16384" width="11.42578125" style="963"/>
  </cols>
  <sheetData>
    <row r="1" spans="2:5" x14ac:dyDescent="0.2">
      <c r="B1" s="1147" t="s">
        <v>303</v>
      </c>
      <c r="C1" s="1147"/>
      <c r="D1" s="1147"/>
      <c r="E1" s="1147"/>
    </row>
    <row r="2" spans="2:5" x14ac:dyDescent="0.2">
      <c r="B2" s="1148" t="s">
        <v>437</v>
      </c>
      <c r="C2" s="1148"/>
      <c r="D2" s="1148"/>
      <c r="E2" s="1148"/>
    </row>
    <row r="3" spans="2:5" ht="13.5" thickBot="1" x14ac:dyDescent="0.25">
      <c r="B3" s="1148" t="s">
        <v>795</v>
      </c>
      <c r="C3" s="1148"/>
      <c r="D3" s="1148"/>
      <c r="E3" s="1148"/>
    </row>
    <row r="4" spans="2:5" ht="33.75" x14ac:dyDescent="0.2">
      <c r="B4" s="1050" t="s">
        <v>554</v>
      </c>
      <c r="C4" s="1051" t="s">
        <v>553</v>
      </c>
      <c r="D4" s="1051" t="s">
        <v>103</v>
      </c>
      <c r="E4" s="1052" t="s">
        <v>552</v>
      </c>
    </row>
    <row r="5" spans="2:5" x14ac:dyDescent="0.2">
      <c r="B5" s="1142" t="s">
        <v>682</v>
      </c>
      <c r="C5" s="1143"/>
      <c r="D5" s="1143"/>
      <c r="E5" s="1144"/>
    </row>
    <row r="6" spans="2:5" x14ac:dyDescent="0.2">
      <c r="B6" s="1053" t="s">
        <v>274</v>
      </c>
      <c r="C6" s="1054"/>
      <c r="D6" s="1054" t="s">
        <v>315</v>
      </c>
      <c r="E6" s="964"/>
    </row>
    <row r="7" spans="2:5" ht="38.25" customHeight="1" x14ac:dyDescent="0.2">
      <c r="B7" s="1055"/>
      <c r="C7" s="1056" t="s">
        <v>20</v>
      </c>
      <c r="D7" s="1057" t="s">
        <v>448</v>
      </c>
      <c r="E7" s="993" t="s">
        <v>702</v>
      </c>
    </row>
    <row r="8" spans="2:5" ht="30" customHeight="1" x14ac:dyDescent="0.2">
      <c r="B8" s="1055"/>
      <c r="C8" s="1056" t="s">
        <v>21</v>
      </c>
      <c r="D8" s="1057" t="s">
        <v>449</v>
      </c>
      <c r="E8" s="993" t="s">
        <v>703</v>
      </c>
    </row>
    <row r="9" spans="2:5" x14ac:dyDescent="0.2">
      <c r="B9" s="1053" t="s">
        <v>278</v>
      </c>
      <c r="C9" s="1058"/>
      <c r="D9" s="1054" t="s">
        <v>279</v>
      </c>
      <c r="E9" s="964"/>
    </row>
    <row r="10" spans="2:5" ht="48" customHeight="1" x14ac:dyDescent="0.2">
      <c r="B10" s="1055"/>
      <c r="C10" s="1056" t="s">
        <v>24</v>
      </c>
      <c r="D10" s="1057" t="s">
        <v>316</v>
      </c>
      <c r="E10" s="993" t="s">
        <v>704</v>
      </c>
    </row>
    <row r="11" spans="2:5" ht="27" customHeight="1" x14ac:dyDescent="0.2">
      <c r="B11" s="1055"/>
      <c r="C11" s="1056" t="s">
        <v>253</v>
      </c>
      <c r="D11" s="1057" t="s">
        <v>317</v>
      </c>
      <c r="E11" s="993" t="s">
        <v>705</v>
      </c>
    </row>
    <row r="12" spans="2:5" x14ac:dyDescent="0.2">
      <c r="B12" s="1142" t="s">
        <v>318</v>
      </c>
      <c r="C12" s="1143"/>
      <c r="D12" s="1143"/>
      <c r="E12" s="1144"/>
    </row>
    <row r="13" spans="2:5" x14ac:dyDescent="0.2">
      <c r="B13" s="1053" t="s">
        <v>281</v>
      </c>
      <c r="C13" s="1058"/>
      <c r="D13" s="1054" t="s">
        <v>319</v>
      </c>
      <c r="E13" s="964"/>
    </row>
    <row r="14" spans="2:5" ht="45" customHeight="1" x14ac:dyDescent="0.2">
      <c r="B14" s="1055"/>
      <c r="C14" s="1056" t="s">
        <v>231</v>
      </c>
      <c r="D14" s="1059" t="s">
        <v>320</v>
      </c>
      <c r="E14" s="1145" t="s">
        <v>706</v>
      </c>
    </row>
    <row r="15" spans="2:5" ht="48" customHeight="1" x14ac:dyDescent="0.2">
      <c r="B15" s="1055"/>
      <c r="C15" s="1056" t="s">
        <v>232</v>
      </c>
      <c r="D15" s="1059" t="s">
        <v>321</v>
      </c>
      <c r="E15" s="1145"/>
    </row>
    <row r="16" spans="2:5" ht="91.5" customHeight="1" x14ac:dyDescent="0.2">
      <c r="B16" s="1055"/>
      <c r="C16" s="1056" t="s">
        <v>777</v>
      </c>
      <c r="D16" s="1059" t="s">
        <v>321</v>
      </c>
      <c r="E16" s="993" t="s">
        <v>778</v>
      </c>
    </row>
    <row r="17" spans="2:5" ht="19.5" customHeight="1" x14ac:dyDescent="0.2">
      <c r="B17" s="1060" t="s">
        <v>781</v>
      </c>
      <c r="C17" s="1061"/>
      <c r="D17" s="1062" t="s">
        <v>783</v>
      </c>
      <c r="E17" s="965"/>
    </row>
    <row r="18" spans="2:5" ht="24.75" customHeight="1" x14ac:dyDescent="0.2">
      <c r="B18" s="1055"/>
      <c r="C18" s="1056" t="s">
        <v>770</v>
      </c>
      <c r="D18" s="1059" t="s">
        <v>784</v>
      </c>
      <c r="E18" s="1139" t="s">
        <v>785</v>
      </c>
    </row>
    <row r="19" spans="2:5" ht="24" customHeight="1" x14ac:dyDescent="0.2">
      <c r="B19" s="1055"/>
      <c r="C19" s="1056" t="s">
        <v>771</v>
      </c>
      <c r="D19" s="1059" t="s">
        <v>786</v>
      </c>
      <c r="E19" s="1140"/>
    </row>
    <row r="20" spans="2:5" ht="23.25" customHeight="1" x14ac:dyDescent="0.2">
      <c r="B20" s="1055"/>
      <c r="C20" s="1056" t="s">
        <v>782</v>
      </c>
      <c r="D20" s="1059" t="s">
        <v>787</v>
      </c>
      <c r="E20" s="1141"/>
    </row>
    <row r="21" spans="2:5" ht="19.5" customHeight="1" x14ac:dyDescent="0.2">
      <c r="B21" s="1060" t="s">
        <v>788</v>
      </c>
      <c r="C21" s="1061"/>
      <c r="D21" s="1062" t="s">
        <v>789</v>
      </c>
      <c r="E21" s="965"/>
    </row>
    <row r="22" spans="2:5" ht="24" customHeight="1" x14ac:dyDescent="0.2">
      <c r="B22" s="1055"/>
      <c r="C22" s="1056" t="s">
        <v>790</v>
      </c>
      <c r="D22" s="1059" t="s">
        <v>791</v>
      </c>
      <c r="E22" s="1139" t="s">
        <v>792</v>
      </c>
    </row>
    <row r="23" spans="2:5" ht="24" customHeight="1" x14ac:dyDescent="0.2">
      <c r="B23" s="1055"/>
      <c r="C23" s="1056" t="s">
        <v>793</v>
      </c>
      <c r="D23" s="1059" t="s">
        <v>794</v>
      </c>
      <c r="E23" s="1140"/>
    </row>
    <row r="24" spans="2:5" ht="24" customHeight="1" x14ac:dyDescent="0.2">
      <c r="B24" s="1055"/>
      <c r="C24" s="1056" t="s">
        <v>836</v>
      </c>
      <c r="D24" s="1059" t="s">
        <v>786</v>
      </c>
      <c r="E24" s="1141"/>
    </row>
    <row r="25" spans="2:5" x14ac:dyDescent="0.2">
      <c r="B25" s="1142" t="s">
        <v>322</v>
      </c>
      <c r="C25" s="1143"/>
      <c r="D25" s="1143"/>
      <c r="E25" s="1144"/>
    </row>
    <row r="26" spans="2:5" x14ac:dyDescent="0.2">
      <c r="B26" s="1053" t="s">
        <v>286</v>
      </c>
      <c r="C26" s="1063"/>
      <c r="D26" s="1054" t="s">
        <v>323</v>
      </c>
      <c r="E26" s="1064"/>
    </row>
    <row r="27" spans="2:5" ht="60" customHeight="1" x14ac:dyDescent="0.2">
      <c r="B27" s="1055"/>
      <c r="C27" s="1056" t="s">
        <v>233</v>
      </c>
      <c r="D27" s="1059" t="s">
        <v>447</v>
      </c>
      <c r="E27" s="966" t="s">
        <v>707</v>
      </c>
    </row>
    <row r="28" spans="2:5" ht="69" customHeight="1" x14ac:dyDescent="0.2">
      <c r="B28" s="1055"/>
      <c r="C28" s="1056" t="s">
        <v>445</v>
      </c>
      <c r="D28" s="1059" t="s">
        <v>447</v>
      </c>
      <c r="E28" s="966" t="s">
        <v>779</v>
      </c>
    </row>
    <row r="29" spans="2:5" x14ac:dyDescent="0.2">
      <c r="B29" s="1142" t="s">
        <v>324</v>
      </c>
      <c r="C29" s="1143"/>
      <c r="D29" s="1143"/>
      <c r="E29" s="1144"/>
    </row>
    <row r="30" spans="2:5" x14ac:dyDescent="0.2">
      <c r="B30" s="1053" t="s">
        <v>290</v>
      </c>
      <c r="C30" s="1063"/>
      <c r="D30" s="1054" t="s">
        <v>291</v>
      </c>
      <c r="E30" s="1065"/>
    </row>
    <row r="31" spans="2:5" ht="39.75" customHeight="1" x14ac:dyDescent="0.2">
      <c r="B31" s="1060"/>
      <c r="C31" s="1056" t="s">
        <v>234</v>
      </c>
      <c r="D31" s="1059" t="s">
        <v>455</v>
      </c>
      <c r="E31" s="1145" t="s">
        <v>708</v>
      </c>
    </row>
    <row r="32" spans="2:5" ht="20.25" customHeight="1" x14ac:dyDescent="0.2">
      <c r="B32" s="1060"/>
      <c r="C32" s="1056" t="s">
        <v>614</v>
      </c>
      <c r="D32" s="1059" t="s">
        <v>633</v>
      </c>
      <c r="E32" s="1145"/>
    </row>
    <row r="33" spans="2:6" ht="13.5" thickBot="1" x14ac:dyDescent="0.25">
      <c r="B33" s="1066"/>
      <c r="C33" s="1067" t="s">
        <v>454</v>
      </c>
      <c r="D33" s="1068" t="s">
        <v>214</v>
      </c>
      <c r="E33" s="1146"/>
    </row>
    <row r="35" spans="2:6" x14ac:dyDescent="0.2">
      <c r="F35" s="1069"/>
    </row>
  </sheetData>
  <mergeCells count="11">
    <mergeCell ref="E14:E15"/>
    <mergeCell ref="B1:E1"/>
    <mergeCell ref="B2:E2"/>
    <mergeCell ref="B3:E3"/>
    <mergeCell ref="B5:E5"/>
    <mergeCell ref="B12:E12"/>
    <mergeCell ref="E18:E20"/>
    <mergeCell ref="B25:E25"/>
    <mergeCell ref="B29:E29"/>
    <mergeCell ref="E31:E33"/>
    <mergeCell ref="E22:E24"/>
  </mergeCells>
  <printOptions horizontalCentered="1"/>
  <pageMargins left="0.55118110236220474" right="0.31496062992125984" top="0.51181102362204722" bottom="0.35433070866141736" header="0" footer="0"/>
  <pageSetup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indexed="22"/>
  </sheetPr>
  <dimension ref="B1:K79"/>
  <sheetViews>
    <sheetView showGridLines="0" zoomScale="115" zoomScaleNormal="115" workbookViewId="0">
      <pane ySplit="11" topLeftCell="A57" activePane="bottomLeft" state="frozen"/>
      <selection pane="bottomLeft" activeCell="F69" sqref="F69"/>
    </sheetView>
  </sheetViews>
  <sheetFormatPr baseColWidth="10" defaultRowHeight="12.75" x14ac:dyDescent="0.2"/>
  <cols>
    <col min="1" max="1" width="14.7109375" customWidth="1"/>
    <col min="2" max="2" width="8.28515625" style="737" customWidth="1"/>
    <col min="3" max="3" width="9.42578125" style="768" customWidth="1"/>
    <col min="4" max="4" width="54.140625" style="548" customWidth="1"/>
    <col min="5" max="5" width="19.28515625" style="512" customWidth="1"/>
    <col min="6" max="7" width="15.42578125" style="512" customWidth="1"/>
    <col min="8" max="8" width="15.7109375" style="512" customWidth="1"/>
    <col min="9" max="9" width="18.140625" style="512" hidden="1" customWidth="1"/>
    <col min="10" max="10" width="22.28515625" style="512" customWidth="1"/>
  </cols>
  <sheetData>
    <row r="1" spans="2:10" ht="15.75" x14ac:dyDescent="0.25">
      <c r="B1" s="1282" t="s">
        <v>208</v>
      </c>
      <c r="C1" s="1282"/>
      <c r="D1" s="1282"/>
      <c r="E1" s="1282"/>
      <c r="F1" s="1282"/>
      <c r="G1" s="1282"/>
      <c r="H1" s="1282"/>
      <c r="I1" s="1282"/>
      <c r="J1" s="1282"/>
    </row>
    <row r="2" spans="2:10" x14ac:dyDescent="0.2">
      <c r="B2" s="1283" t="s">
        <v>583</v>
      </c>
      <c r="C2" s="1283"/>
      <c r="D2" s="1283"/>
      <c r="E2" s="1283"/>
      <c r="F2" s="1283"/>
      <c r="G2" s="1283"/>
      <c r="H2" s="1283"/>
      <c r="I2" s="1283"/>
      <c r="J2" s="1283"/>
    </row>
    <row r="3" spans="2:10" ht="7.5" customHeight="1" x14ac:dyDescent="0.3">
      <c r="B3" s="513"/>
      <c r="C3" s="513"/>
      <c r="D3" s="513"/>
      <c r="E3" s="513"/>
      <c r="F3" s="513"/>
      <c r="G3" s="513"/>
      <c r="H3" s="513"/>
      <c r="I3" s="513"/>
      <c r="J3" s="513"/>
    </row>
    <row r="4" spans="2:10" ht="18" customHeight="1" x14ac:dyDescent="0.3">
      <c r="B4" s="1284" t="s">
        <v>442</v>
      </c>
      <c r="C4" s="1284"/>
      <c r="D4" s="1284"/>
      <c r="E4" s="1284"/>
      <c r="F4" s="1284"/>
      <c r="G4" s="1284"/>
      <c r="H4" s="1284"/>
      <c r="I4" s="1284"/>
      <c r="J4" s="1284"/>
    </row>
    <row r="5" spans="2:10" ht="18" customHeight="1" x14ac:dyDescent="0.3">
      <c r="B5" s="1284" t="s">
        <v>796</v>
      </c>
      <c r="C5" s="1284"/>
      <c r="D5" s="1284"/>
      <c r="E5" s="1284"/>
      <c r="F5" s="1284"/>
      <c r="G5" s="1284"/>
      <c r="H5" s="1284"/>
      <c r="I5" s="1284"/>
      <c r="J5" s="1284"/>
    </row>
    <row r="6" spans="2:10" ht="18" customHeight="1" x14ac:dyDescent="0.3">
      <c r="B6" s="1284" t="s">
        <v>326</v>
      </c>
      <c r="C6" s="1284"/>
      <c r="D6" s="1284"/>
      <c r="E6" s="1284"/>
      <c r="F6" s="1284"/>
      <c r="G6" s="1284"/>
      <c r="H6" s="1284"/>
      <c r="I6" s="1284"/>
      <c r="J6" s="1284"/>
    </row>
    <row r="7" spans="2:10" ht="18" customHeight="1" x14ac:dyDescent="0.3">
      <c r="B7" s="1284" t="s">
        <v>327</v>
      </c>
      <c r="C7" s="1284"/>
      <c r="D7" s="1284"/>
      <c r="E7" s="1284"/>
      <c r="F7" s="1284"/>
      <c r="G7" s="1284"/>
      <c r="H7" s="1284"/>
      <c r="I7" s="1284"/>
      <c r="J7" s="1284"/>
    </row>
    <row r="8" spans="2:10" ht="18" customHeight="1" x14ac:dyDescent="0.3">
      <c r="B8" s="1284" t="s">
        <v>328</v>
      </c>
      <c r="C8" s="1284"/>
      <c r="D8" s="1284"/>
      <c r="E8" s="1284"/>
      <c r="F8" s="1284"/>
      <c r="G8" s="1284"/>
      <c r="H8" s="1284"/>
      <c r="I8" s="1284"/>
      <c r="J8" s="1284"/>
    </row>
    <row r="9" spans="2:10" ht="3.75" customHeight="1" thickBot="1" x14ac:dyDescent="0.35">
      <c r="B9" s="514"/>
      <c r="C9" s="514"/>
      <c r="D9" s="514"/>
      <c r="E9" s="514"/>
      <c r="F9" s="514"/>
      <c r="G9" s="514"/>
      <c r="H9" s="514"/>
      <c r="I9" s="514"/>
      <c r="J9" s="514"/>
    </row>
    <row r="10" spans="2:10" ht="13.5" thickBot="1" x14ac:dyDescent="0.25">
      <c r="B10" s="1285" t="s">
        <v>188</v>
      </c>
      <c r="C10" s="1285" t="s">
        <v>189</v>
      </c>
      <c r="D10" s="1287" t="s">
        <v>571</v>
      </c>
      <c r="E10" s="1289" t="s">
        <v>116</v>
      </c>
      <c r="F10" s="1290"/>
      <c r="G10" s="1290"/>
      <c r="H10" s="1290"/>
      <c r="I10" s="1291"/>
      <c r="J10" s="1285" t="s">
        <v>573</v>
      </c>
    </row>
    <row r="11" spans="2:10" ht="25.5" customHeight="1" thickBot="1" x14ac:dyDescent="0.25">
      <c r="B11" s="1286"/>
      <c r="C11" s="1286"/>
      <c r="D11" s="1288"/>
      <c r="E11" s="740" t="s">
        <v>751</v>
      </c>
      <c r="F11" s="740" t="s">
        <v>752</v>
      </c>
      <c r="G11" s="741" t="s">
        <v>433</v>
      </c>
      <c r="H11" s="742" t="s">
        <v>3</v>
      </c>
      <c r="I11" s="742" t="s">
        <v>121</v>
      </c>
      <c r="J11" s="1286"/>
    </row>
    <row r="12" spans="2:10" x14ac:dyDescent="0.2">
      <c r="B12" s="743"/>
      <c r="C12" s="744" t="s">
        <v>459</v>
      </c>
      <c r="D12" s="745"/>
      <c r="E12" s="891"/>
      <c r="F12" s="891"/>
      <c r="G12" s="746"/>
      <c r="H12" s="746"/>
      <c r="I12" s="747"/>
      <c r="J12" s="748"/>
    </row>
    <row r="13" spans="2:10" s="54" customFormat="1" ht="25.5" x14ac:dyDescent="0.2">
      <c r="B13" s="730"/>
      <c r="C13" s="749" t="s">
        <v>459</v>
      </c>
      <c r="D13" s="729" t="s">
        <v>760</v>
      </c>
      <c r="E13" s="520">
        <f>SUM(E14)</f>
        <v>20000</v>
      </c>
      <c r="F13" s="518"/>
      <c r="G13" s="750"/>
      <c r="H13" s="750"/>
      <c r="I13" s="751"/>
      <c r="J13" s="752">
        <f>SUM(E13:I13)</f>
        <v>20000</v>
      </c>
    </row>
    <row r="14" spans="2:10" s="54" customFormat="1" x14ac:dyDescent="0.2">
      <c r="B14" s="730" t="s">
        <v>655</v>
      </c>
      <c r="C14" s="749" t="s">
        <v>459</v>
      </c>
      <c r="D14" s="733" t="s">
        <v>486</v>
      </c>
      <c r="E14" s="892">
        <v>20000</v>
      </c>
      <c r="F14" s="518"/>
      <c r="G14" s="750"/>
      <c r="H14" s="750"/>
      <c r="I14" s="751"/>
      <c r="J14" s="753">
        <f>SUM(E14:I14)</f>
        <v>20000</v>
      </c>
    </row>
    <row r="15" spans="2:10" s="54" customFormat="1" x14ac:dyDescent="0.2">
      <c r="B15" s="730"/>
      <c r="C15" s="749" t="s">
        <v>459</v>
      </c>
      <c r="D15" s="729"/>
      <c r="E15" s="892"/>
      <c r="F15" s="518"/>
      <c r="G15" s="750"/>
      <c r="H15" s="750"/>
      <c r="I15" s="751"/>
      <c r="J15" s="752"/>
    </row>
    <row r="16" spans="2:10" ht="25.5" x14ac:dyDescent="0.2">
      <c r="B16" s="730"/>
      <c r="C16" s="757" t="s">
        <v>459</v>
      </c>
      <c r="D16" s="727" t="s">
        <v>662</v>
      </c>
      <c r="E16" s="520">
        <f>SUM(E17)</f>
        <v>1442.77</v>
      </c>
      <c r="F16" s="896"/>
      <c r="G16" s="758"/>
      <c r="H16" s="758"/>
      <c r="I16" s="759"/>
      <c r="J16" s="752">
        <f>SUM(E16:I16)</f>
        <v>1442.77</v>
      </c>
    </row>
    <row r="17" spans="2:11" x14ac:dyDescent="0.2">
      <c r="B17" s="508" t="s">
        <v>655</v>
      </c>
      <c r="C17" s="757" t="s">
        <v>459</v>
      </c>
      <c r="D17" s="725" t="s">
        <v>486</v>
      </c>
      <c r="E17" s="894">
        <v>1442.77</v>
      </c>
      <c r="F17" s="896"/>
      <c r="G17" s="758"/>
      <c r="H17" s="758"/>
      <c r="I17" s="759"/>
      <c r="J17" s="753">
        <f>SUM(E17:I17)</f>
        <v>1442.77</v>
      </c>
    </row>
    <row r="18" spans="2:11" x14ac:dyDescent="0.2">
      <c r="B18" s="508"/>
      <c r="C18" s="757" t="s">
        <v>459</v>
      </c>
      <c r="D18" s="727"/>
      <c r="E18" s="894"/>
      <c r="F18" s="896"/>
      <c r="G18" s="758"/>
      <c r="H18" s="758"/>
      <c r="I18" s="759"/>
      <c r="J18" s="760"/>
    </row>
    <row r="19" spans="2:11" x14ac:dyDescent="0.2">
      <c r="B19" s="789"/>
      <c r="C19" s="1119" t="s">
        <v>459</v>
      </c>
      <c r="D19" s="1120"/>
      <c r="E19" s="893"/>
      <c r="F19" s="519"/>
      <c r="G19" s="519"/>
      <c r="H19" s="519"/>
      <c r="I19" s="519"/>
      <c r="J19" s="519"/>
    </row>
    <row r="20" spans="2:11" s="1075" customFormat="1" ht="25.5" x14ac:dyDescent="0.2">
      <c r="B20" s="1100"/>
      <c r="C20" s="1101" t="s">
        <v>459</v>
      </c>
      <c r="D20" s="1102" t="s">
        <v>679</v>
      </c>
      <c r="E20" s="1103">
        <f>SUM(E21)</f>
        <v>0</v>
      </c>
      <c r="F20" s="1103"/>
      <c r="G20" s="1104"/>
      <c r="H20" s="1103">
        <f>SUM(H21)</f>
        <v>33440.199999999997</v>
      </c>
      <c r="I20" s="1105"/>
      <c r="J20" s="1106">
        <f>SUM(E20:I20)</f>
        <v>33440.199999999997</v>
      </c>
    </row>
    <row r="21" spans="2:11" s="1075" customFormat="1" x14ac:dyDescent="0.2">
      <c r="B21" s="1100" t="s">
        <v>655</v>
      </c>
      <c r="C21" s="1101" t="s">
        <v>459</v>
      </c>
      <c r="D21" s="1107" t="s">
        <v>486</v>
      </c>
      <c r="E21" s="1108"/>
      <c r="F21" s="1103"/>
      <c r="G21" s="1104"/>
      <c r="H21" s="1108">
        <f>33445.2-5</f>
        <v>33440.199999999997</v>
      </c>
      <c r="I21" s="1105"/>
      <c r="J21" s="1109">
        <f>SUM(E21:I21)</f>
        <v>33440.199999999997</v>
      </c>
      <c r="K21" s="1110"/>
    </row>
    <row r="22" spans="2:11" s="1075" customFormat="1" x14ac:dyDescent="0.2">
      <c r="B22" s="1100"/>
      <c r="C22" s="1101" t="s">
        <v>459</v>
      </c>
      <c r="D22" s="1102"/>
      <c r="E22" s="1108"/>
      <c r="F22" s="1103"/>
      <c r="G22" s="1104"/>
      <c r="H22" s="1104"/>
      <c r="I22" s="1105"/>
      <c r="J22" s="1106"/>
    </row>
    <row r="23" spans="2:11" s="1075" customFormat="1" x14ac:dyDescent="0.2">
      <c r="B23" s="1100"/>
      <c r="C23" s="1111" t="s">
        <v>459</v>
      </c>
      <c r="D23" s="1112"/>
      <c r="E23" s="1113"/>
      <c r="F23" s="1114"/>
      <c r="G23" s="1115"/>
      <c r="H23" s="1116"/>
      <c r="I23" s="1117"/>
      <c r="J23" s="1118"/>
    </row>
    <row r="24" spans="2:11" s="1075" customFormat="1" ht="25.5" x14ac:dyDescent="0.2">
      <c r="B24" s="1100"/>
      <c r="C24" s="1101" t="s">
        <v>459</v>
      </c>
      <c r="D24" s="1102" t="s">
        <v>808</v>
      </c>
      <c r="E24" s="1103">
        <f>SUM(E25)</f>
        <v>0</v>
      </c>
      <c r="F24" s="1103"/>
      <c r="G24" s="1104"/>
      <c r="H24" s="1103">
        <f>SUM(H25)</f>
        <v>80186.13</v>
      </c>
      <c r="I24" s="1105"/>
      <c r="J24" s="1106">
        <f>SUM(E24:I24)</f>
        <v>80186.13</v>
      </c>
    </row>
    <row r="25" spans="2:11" s="1075" customFormat="1" x14ac:dyDescent="0.2">
      <c r="B25" s="1100" t="s">
        <v>655</v>
      </c>
      <c r="C25" s="1101" t="s">
        <v>459</v>
      </c>
      <c r="D25" s="1107" t="s">
        <v>486</v>
      </c>
      <c r="E25" s="1108"/>
      <c r="F25" s="1103"/>
      <c r="G25" s="1104"/>
      <c r="H25" s="1108">
        <f>74662.49-5+5528.64</f>
        <v>80186.13</v>
      </c>
      <c r="I25" s="1105"/>
      <c r="J25" s="1109">
        <f>SUM(E25:I25)</f>
        <v>80186.13</v>
      </c>
      <c r="K25" s="1110"/>
    </row>
    <row r="26" spans="2:11" s="1075" customFormat="1" x14ac:dyDescent="0.2">
      <c r="B26" s="1100"/>
      <c r="C26" s="1101" t="s">
        <v>459</v>
      </c>
      <c r="D26" s="1102"/>
      <c r="E26" s="1108"/>
      <c r="F26" s="1103"/>
      <c r="G26" s="1104"/>
      <c r="H26" s="1104"/>
      <c r="I26" s="1105"/>
      <c r="J26" s="1106"/>
    </row>
    <row r="27" spans="2:11" s="1075" customFormat="1" ht="38.25" x14ac:dyDescent="0.2">
      <c r="B27" s="1100"/>
      <c r="C27" s="1101" t="s">
        <v>459</v>
      </c>
      <c r="D27" s="1102" t="s">
        <v>809</v>
      </c>
      <c r="E27" s="1103">
        <f>SUM(E28)</f>
        <v>0</v>
      </c>
      <c r="F27" s="1103"/>
      <c r="G27" s="1104"/>
      <c r="H27" s="1103">
        <f>SUM(H28)</f>
        <v>149526.07999999999</v>
      </c>
      <c r="I27" s="1105"/>
      <c r="J27" s="1106">
        <f>SUM(E27:I27)</f>
        <v>149526.07999999999</v>
      </c>
    </row>
    <row r="28" spans="2:11" s="1075" customFormat="1" x14ac:dyDescent="0.2">
      <c r="B28" s="1100" t="s">
        <v>655</v>
      </c>
      <c r="C28" s="1101" t="s">
        <v>459</v>
      </c>
      <c r="D28" s="1107" t="s">
        <v>486</v>
      </c>
      <c r="E28" s="1108"/>
      <c r="F28" s="1103"/>
      <c r="G28" s="1104"/>
      <c r="H28" s="1108">
        <f>141659.97-5+7871.11</f>
        <v>149526.07999999999</v>
      </c>
      <c r="I28" s="1105"/>
      <c r="J28" s="1109">
        <f>SUM(E28:I28)</f>
        <v>149526.07999999999</v>
      </c>
      <c r="K28" s="1110"/>
    </row>
    <row r="29" spans="2:11" s="1075" customFormat="1" x14ac:dyDescent="0.2">
      <c r="B29" s="1100"/>
      <c r="C29" s="1101" t="s">
        <v>459</v>
      </c>
      <c r="D29" s="1102"/>
      <c r="E29" s="1108"/>
      <c r="F29" s="1103"/>
      <c r="G29" s="1104"/>
      <c r="H29" s="1104"/>
      <c r="I29" s="1105"/>
      <c r="J29" s="1106"/>
    </row>
    <row r="30" spans="2:11" s="1075" customFormat="1" ht="38.25" x14ac:dyDescent="0.2">
      <c r="B30" s="1100"/>
      <c r="C30" s="1101" t="s">
        <v>459</v>
      </c>
      <c r="D30" s="1102" t="s">
        <v>810</v>
      </c>
      <c r="E30" s="1103">
        <f>SUM(E31)</f>
        <v>0</v>
      </c>
      <c r="F30" s="1103"/>
      <c r="G30" s="1104"/>
      <c r="H30" s="1103">
        <f>SUM(H31)</f>
        <v>36019.65</v>
      </c>
      <c r="I30" s="1105"/>
      <c r="J30" s="1106">
        <f>SUM(E30:I30)</f>
        <v>36019.65</v>
      </c>
    </row>
    <row r="31" spans="2:11" s="1075" customFormat="1" x14ac:dyDescent="0.2">
      <c r="B31" s="1121" t="s">
        <v>655</v>
      </c>
      <c r="C31" s="1122" t="s">
        <v>459</v>
      </c>
      <c r="D31" s="1123" t="s">
        <v>486</v>
      </c>
      <c r="E31" s="1108"/>
      <c r="F31" s="1103"/>
      <c r="G31" s="1103"/>
      <c r="H31" s="1108">
        <f>32096.44-5+3928.21</f>
        <v>36019.65</v>
      </c>
      <c r="I31" s="1103"/>
      <c r="J31" s="1124">
        <f>SUM(E31:I31)</f>
        <v>36019.65</v>
      </c>
      <c r="K31" s="1110"/>
    </row>
    <row r="32" spans="2:11" s="1075" customFormat="1" x14ac:dyDescent="0.2">
      <c r="B32" s="1121"/>
      <c r="C32" s="1122" t="s">
        <v>459</v>
      </c>
      <c r="D32" s="1126"/>
      <c r="E32" s="1108"/>
      <c r="F32" s="1103"/>
      <c r="G32" s="1103"/>
      <c r="H32" s="1103"/>
      <c r="I32" s="1103"/>
      <c r="J32" s="1127"/>
    </row>
    <row r="33" spans="2:10" s="1075" customFormat="1" ht="13.5" thickBot="1" x14ac:dyDescent="0.25">
      <c r="B33" s="1125"/>
      <c r="C33" s="1128" t="s">
        <v>459</v>
      </c>
      <c r="D33" s="1129"/>
      <c r="E33" s="1130"/>
      <c r="F33" s="1131"/>
      <c r="G33" s="1132"/>
      <c r="H33" s="1131"/>
      <c r="I33" s="1131"/>
      <c r="J33" s="1133"/>
    </row>
    <row r="34" spans="2:10" ht="38.25" x14ac:dyDescent="0.2">
      <c r="B34" s="730"/>
      <c r="C34" s="749" t="s">
        <v>459</v>
      </c>
      <c r="D34" s="731" t="s">
        <v>699</v>
      </c>
      <c r="E34" s="520">
        <f>SUM(E35:F42)</f>
        <v>20040</v>
      </c>
      <c r="F34" s="519"/>
      <c r="G34" s="754"/>
      <c r="H34" s="754"/>
      <c r="I34" s="755"/>
      <c r="J34" s="752">
        <f>SUM(E34:I34)</f>
        <v>20040</v>
      </c>
    </row>
    <row r="35" spans="2:10" x14ac:dyDescent="0.2">
      <c r="B35" s="730">
        <v>51201</v>
      </c>
      <c r="C35" s="749" t="s">
        <v>459</v>
      </c>
      <c r="D35" s="733" t="s">
        <v>727</v>
      </c>
      <c r="E35" s="893">
        <v>16245</v>
      </c>
      <c r="F35" s="519"/>
      <c r="G35" s="754"/>
      <c r="H35" s="754"/>
      <c r="I35" s="755"/>
      <c r="J35" s="753">
        <f>SUM(E35:I35)</f>
        <v>16245</v>
      </c>
    </row>
    <row r="36" spans="2:10" x14ac:dyDescent="0.2">
      <c r="B36" s="730">
        <v>54104</v>
      </c>
      <c r="C36" s="749"/>
      <c r="D36" s="733" t="s">
        <v>717</v>
      </c>
      <c r="E36" s="893">
        <v>576</v>
      </c>
      <c r="F36" s="519"/>
      <c r="G36" s="754"/>
      <c r="H36" s="754"/>
      <c r="I36" s="755"/>
      <c r="J36" s="753">
        <f t="shared" ref="J36:J42" si="0">SUM(E36:I36)</f>
        <v>576</v>
      </c>
    </row>
    <row r="37" spans="2:10" x14ac:dyDescent="0.2">
      <c r="B37" s="730">
        <v>54105</v>
      </c>
      <c r="C37" s="749"/>
      <c r="D37" s="733" t="s">
        <v>728</v>
      </c>
      <c r="E37" s="893">
        <v>200</v>
      </c>
      <c r="F37" s="519"/>
      <c r="G37" s="754"/>
      <c r="H37" s="754"/>
      <c r="I37" s="755"/>
      <c r="J37" s="753">
        <f t="shared" si="0"/>
        <v>200</v>
      </c>
    </row>
    <row r="38" spans="2:10" x14ac:dyDescent="0.2">
      <c r="B38" s="730">
        <v>54107</v>
      </c>
      <c r="C38" s="749"/>
      <c r="D38" s="733" t="s">
        <v>718</v>
      </c>
      <c r="E38" s="893">
        <v>250</v>
      </c>
      <c r="F38" s="519"/>
      <c r="G38" s="754"/>
      <c r="H38" s="754"/>
      <c r="I38" s="755"/>
      <c r="J38" s="753">
        <f t="shared" si="0"/>
        <v>250</v>
      </c>
    </row>
    <row r="39" spans="2:10" x14ac:dyDescent="0.2">
      <c r="B39" s="730">
        <v>54110</v>
      </c>
      <c r="C39" s="749"/>
      <c r="D39" s="733" t="s">
        <v>729</v>
      </c>
      <c r="E39" s="893">
        <v>200</v>
      </c>
      <c r="F39" s="519"/>
      <c r="G39" s="754"/>
      <c r="H39" s="754"/>
      <c r="I39" s="755"/>
      <c r="J39" s="753">
        <f t="shared" si="0"/>
        <v>200</v>
      </c>
    </row>
    <row r="40" spans="2:10" x14ac:dyDescent="0.2">
      <c r="B40" s="730">
        <v>54118</v>
      </c>
      <c r="C40" s="749"/>
      <c r="D40" s="733" t="s">
        <v>730</v>
      </c>
      <c r="E40" s="893">
        <v>429</v>
      </c>
      <c r="F40" s="519"/>
      <c r="G40" s="754"/>
      <c r="H40" s="754"/>
      <c r="I40" s="755"/>
      <c r="J40" s="753">
        <f t="shared" si="0"/>
        <v>429</v>
      </c>
    </row>
    <row r="41" spans="2:10" x14ac:dyDescent="0.2">
      <c r="B41" s="730">
        <v>54199</v>
      </c>
      <c r="C41" s="749"/>
      <c r="D41" s="733" t="s">
        <v>731</v>
      </c>
      <c r="E41" s="893">
        <v>840</v>
      </c>
      <c r="F41" s="519"/>
      <c r="G41" s="754"/>
      <c r="H41" s="754"/>
      <c r="I41" s="755"/>
      <c r="J41" s="753">
        <f t="shared" si="0"/>
        <v>840</v>
      </c>
    </row>
    <row r="42" spans="2:10" x14ac:dyDescent="0.2">
      <c r="B42" s="730">
        <v>61199</v>
      </c>
      <c r="C42" s="749" t="s">
        <v>459</v>
      </c>
      <c r="D42" s="733" t="s">
        <v>732</v>
      </c>
      <c r="E42" s="893">
        <v>1300</v>
      </c>
      <c r="F42" s="519"/>
      <c r="G42" s="754"/>
      <c r="H42" s="754"/>
      <c r="I42" s="755"/>
      <c r="J42" s="753">
        <f t="shared" si="0"/>
        <v>1300</v>
      </c>
    </row>
    <row r="43" spans="2:10" x14ac:dyDescent="0.2">
      <c r="B43" s="730"/>
      <c r="C43" s="749"/>
      <c r="D43" s="733"/>
      <c r="E43" s="893"/>
      <c r="F43" s="519"/>
      <c r="G43" s="754"/>
      <c r="H43" s="754"/>
      <c r="I43" s="755"/>
      <c r="J43" s="753"/>
    </row>
    <row r="44" spans="2:10" x14ac:dyDescent="0.2">
      <c r="B44" s="508"/>
      <c r="C44" s="757"/>
      <c r="D44" s="725"/>
      <c r="E44" s="880"/>
      <c r="F44" s="515"/>
      <c r="G44" s="736"/>
      <c r="H44" s="515"/>
      <c r="I44" s="515"/>
      <c r="J44" s="752"/>
    </row>
    <row r="45" spans="2:10" x14ac:dyDescent="0.2">
      <c r="B45" s="508"/>
      <c r="C45" s="757" t="s">
        <v>459</v>
      </c>
      <c r="D45" s="727" t="s">
        <v>759</v>
      </c>
      <c r="E45" s="511">
        <f>+SUM(E46)</f>
        <v>40000</v>
      </c>
      <c r="F45" s="515"/>
      <c r="G45" s="736"/>
      <c r="H45" s="515"/>
      <c r="I45" s="515"/>
      <c r="J45" s="752">
        <f>SUM(E45:I45)</f>
        <v>40000</v>
      </c>
    </row>
    <row r="46" spans="2:10" x14ac:dyDescent="0.2">
      <c r="B46" s="508" t="s">
        <v>655</v>
      </c>
      <c r="C46" s="757" t="s">
        <v>459</v>
      </c>
      <c r="D46" s="725" t="s">
        <v>486</v>
      </c>
      <c r="E46" s="880">
        <v>40000</v>
      </c>
      <c r="F46" s="515"/>
      <c r="G46" s="736"/>
      <c r="H46" s="515"/>
      <c r="I46" s="515"/>
      <c r="J46" s="899">
        <f t="shared" ref="J46:J49" si="1">SUM(E46:I46)</f>
        <v>40000</v>
      </c>
    </row>
    <row r="47" spans="2:10" x14ac:dyDescent="0.2">
      <c r="B47" s="508"/>
      <c r="C47" s="757"/>
      <c r="D47" s="725"/>
      <c r="E47" s="880"/>
      <c r="F47" s="515"/>
      <c r="G47" s="736"/>
      <c r="H47" s="515"/>
      <c r="I47" s="515"/>
      <c r="J47" s="752">
        <f t="shared" si="1"/>
        <v>0</v>
      </c>
    </row>
    <row r="48" spans="2:10" x14ac:dyDescent="0.2">
      <c r="B48" s="508"/>
      <c r="C48" s="757" t="s">
        <v>459</v>
      </c>
      <c r="D48" s="727" t="s">
        <v>758</v>
      </c>
      <c r="E48" s="511">
        <f>SUM(E49)</f>
        <v>2000</v>
      </c>
      <c r="F48" s="515"/>
      <c r="G48" s="736"/>
      <c r="H48" s="515"/>
      <c r="I48" s="515"/>
      <c r="J48" s="752">
        <f t="shared" si="1"/>
        <v>2000</v>
      </c>
    </row>
    <row r="49" spans="2:10" x14ac:dyDescent="0.2">
      <c r="B49" s="508" t="s">
        <v>655</v>
      </c>
      <c r="C49" s="757" t="s">
        <v>459</v>
      </c>
      <c r="D49" s="725" t="s">
        <v>486</v>
      </c>
      <c r="E49" s="880">
        <v>2000</v>
      </c>
      <c r="F49" s="515"/>
      <c r="G49" s="736"/>
      <c r="H49" s="515"/>
      <c r="I49" s="515"/>
      <c r="J49" s="899">
        <f t="shared" si="1"/>
        <v>2000</v>
      </c>
    </row>
    <row r="50" spans="2:10" x14ac:dyDescent="0.2">
      <c r="B50" s="508"/>
      <c r="C50" s="757"/>
      <c r="D50" s="725"/>
      <c r="E50" s="880"/>
      <c r="F50" s="515"/>
      <c r="G50" s="736"/>
      <c r="H50" s="515"/>
      <c r="I50" s="515"/>
      <c r="J50" s="900"/>
    </row>
    <row r="51" spans="2:10" ht="25.5" x14ac:dyDescent="0.2">
      <c r="B51" s="508"/>
      <c r="C51" s="509"/>
      <c r="D51" s="739" t="s">
        <v>847</v>
      </c>
      <c r="E51" s="511">
        <f>E52</f>
        <v>248650.89999999997</v>
      </c>
      <c r="F51" s="515">
        <f>F52</f>
        <v>311077.58</v>
      </c>
      <c r="G51" s="736"/>
      <c r="H51" s="515"/>
      <c r="I51" s="515"/>
      <c r="J51" s="761"/>
    </row>
    <row r="52" spans="2:10" x14ac:dyDescent="0.2">
      <c r="B52" s="508" t="s">
        <v>655</v>
      </c>
      <c r="C52" s="757" t="s">
        <v>459</v>
      </c>
      <c r="D52" s="725" t="s">
        <v>486</v>
      </c>
      <c r="E52" s="880">
        <f>563766.46-4037.98-311077.58</f>
        <v>248650.89999999997</v>
      </c>
      <c r="F52" s="515">
        <v>311077.58</v>
      </c>
      <c r="G52" s="736"/>
      <c r="H52" s="511"/>
      <c r="I52" s="511"/>
      <c r="J52" s="511">
        <f>SUM(E52:I52)</f>
        <v>559728.48</v>
      </c>
    </row>
    <row r="53" spans="2:10" x14ac:dyDescent="0.2">
      <c r="B53" s="730"/>
      <c r="C53" s="749" t="s">
        <v>459</v>
      </c>
      <c r="D53" s="735"/>
      <c r="E53" s="893"/>
      <c r="F53" s="519"/>
      <c r="G53" s="754"/>
      <c r="H53" s="754"/>
      <c r="I53" s="755"/>
      <c r="J53" s="753"/>
    </row>
    <row r="54" spans="2:10" ht="9" customHeight="1" x14ac:dyDescent="0.2">
      <c r="B54" s="730"/>
      <c r="C54" s="749"/>
      <c r="D54" s="907"/>
      <c r="E54" s="893"/>
      <c r="F54" s="519"/>
      <c r="G54" s="754"/>
      <c r="H54" s="754"/>
      <c r="I54" s="755"/>
      <c r="J54" s="753"/>
    </row>
    <row r="55" spans="2:10" ht="25.5" x14ac:dyDescent="0.2">
      <c r="B55" s="508"/>
      <c r="C55" s="757" t="s">
        <v>459</v>
      </c>
      <c r="D55" s="727" t="s">
        <v>725</v>
      </c>
      <c r="E55" s="520">
        <f>SUM(E56)</f>
        <v>26000</v>
      </c>
      <c r="F55" s="519"/>
      <c r="G55" s="754"/>
      <c r="H55" s="754"/>
      <c r="I55" s="755"/>
      <c r="J55" s="752">
        <f>+E55</f>
        <v>26000</v>
      </c>
    </row>
    <row r="56" spans="2:10" x14ac:dyDescent="0.2">
      <c r="B56" s="508">
        <v>54107</v>
      </c>
      <c r="C56" s="757" t="s">
        <v>459</v>
      </c>
      <c r="D56" s="725" t="s">
        <v>685</v>
      </c>
      <c r="E56" s="893">
        <v>26000</v>
      </c>
      <c r="F56" s="519"/>
      <c r="G56" s="754"/>
      <c r="H56" s="754"/>
      <c r="I56" s="755"/>
      <c r="J56" s="756">
        <f>+E56</f>
        <v>26000</v>
      </c>
    </row>
    <row r="57" spans="2:10" x14ac:dyDescent="0.2">
      <c r="B57" s="730"/>
      <c r="C57" s="749" t="s">
        <v>459</v>
      </c>
      <c r="D57" s="734"/>
      <c r="E57" s="893"/>
      <c r="F57" s="519"/>
      <c r="G57" s="754"/>
      <c r="H57" s="754"/>
      <c r="I57" s="755"/>
      <c r="J57" s="756"/>
    </row>
    <row r="58" spans="2:10" x14ac:dyDescent="0.2">
      <c r="B58" s="730"/>
      <c r="C58" s="749"/>
      <c r="D58" s="884"/>
      <c r="E58" s="893"/>
      <c r="F58" s="519"/>
      <c r="G58" s="980"/>
      <c r="H58" s="754"/>
      <c r="I58" s="755"/>
      <c r="J58" s="756"/>
    </row>
    <row r="59" spans="2:10" x14ac:dyDescent="0.2">
      <c r="B59" s="508"/>
      <c r="C59" s="757" t="s">
        <v>459</v>
      </c>
      <c r="D59" s="727" t="s">
        <v>587</v>
      </c>
      <c r="E59" s="893"/>
      <c r="F59" s="519"/>
      <c r="G59" s="981"/>
      <c r="H59" s="750">
        <f>SUM(H60)</f>
        <v>0</v>
      </c>
      <c r="I59" s="755"/>
      <c r="J59" s="752">
        <f>SUM(E59:I59)</f>
        <v>0</v>
      </c>
    </row>
    <row r="60" spans="2:10" x14ac:dyDescent="0.2">
      <c r="B60" s="508" t="s">
        <v>660</v>
      </c>
      <c r="C60" s="757" t="s">
        <v>459</v>
      </c>
      <c r="D60" s="725" t="s">
        <v>487</v>
      </c>
      <c r="E60" s="893"/>
      <c r="F60" s="519"/>
      <c r="G60" s="982"/>
      <c r="H60" s="515"/>
      <c r="I60" s="726"/>
      <c r="J60" s="753">
        <f>SUM(E60:I60)</f>
        <v>0</v>
      </c>
    </row>
    <row r="61" spans="2:10" ht="13.5" thickBot="1" x14ac:dyDescent="0.25">
      <c r="B61" s="1134"/>
      <c r="C61" s="1135"/>
      <c r="D61" s="1134"/>
      <c r="E61" s="1136"/>
      <c r="F61" s="521"/>
      <c r="G61" s="1137"/>
      <c r="H61" s="1138"/>
      <c r="I61" s="1138"/>
      <c r="J61" s="895">
        <f t="shared" ref="J61:J64" si="2">SUM(E61:I61)</f>
        <v>0</v>
      </c>
    </row>
    <row r="62" spans="2:10" x14ac:dyDescent="0.2">
      <c r="B62" s="886">
        <v>72</v>
      </c>
      <c r="C62" s="757"/>
      <c r="D62" s="739" t="s">
        <v>754</v>
      </c>
      <c r="E62" s="518">
        <f>E63</f>
        <v>199.46</v>
      </c>
      <c r="F62" s="518"/>
      <c r="G62" s="981"/>
      <c r="H62" s="750">
        <f>SUM(H63)</f>
        <v>200.38</v>
      </c>
      <c r="I62" s="728"/>
      <c r="J62" s="753">
        <f t="shared" si="2"/>
        <v>399.84000000000003</v>
      </c>
    </row>
    <row r="63" spans="2:10" x14ac:dyDescent="0.2">
      <c r="B63" s="508">
        <v>72201</v>
      </c>
      <c r="C63" s="509" t="s">
        <v>459</v>
      </c>
      <c r="D63" s="510" t="s">
        <v>684</v>
      </c>
      <c r="E63" s="893">
        <f>199.46</f>
        <v>199.46</v>
      </c>
      <c r="F63" s="519"/>
      <c r="G63" s="982"/>
      <c r="H63" s="885">
        <v>200.38</v>
      </c>
      <c r="I63" s="726"/>
      <c r="J63" s="753">
        <f>SUM(E63:I63)</f>
        <v>399.84000000000003</v>
      </c>
    </row>
    <row r="64" spans="2:10" x14ac:dyDescent="0.2">
      <c r="B64" s="508"/>
      <c r="C64" s="757"/>
      <c r="D64" s="725"/>
      <c r="E64" s="893"/>
      <c r="F64" s="519"/>
      <c r="G64" s="982"/>
      <c r="H64" s="885"/>
      <c r="I64" s="726"/>
      <c r="J64" s="753">
        <f t="shared" si="2"/>
        <v>0</v>
      </c>
    </row>
    <row r="65" spans="2:10" ht="13.5" thickBot="1" x14ac:dyDescent="0.25">
      <c r="B65" s="730"/>
      <c r="C65" s="749" t="s">
        <v>459</v>
      </c>
      <c r="D65" s="735"/>
      <c r="E65" s="895"/>
      <c r="F65" s="521"/>
      <c r="G65" s="983"/>
      <c r="H65" s="761"/>
      <c r="I65" s="755"/>
      <c r="J65" s="753"/>
    </row>
    <row r="66" spans="2:10" ht="16.5" customHeight="1" thickBot="1" x14ac:dyDescent="0.25">
      <c r="B66" s="762"/>
      <c r="C66" s="763"/>
      <c r="D66" s="764" t="s">
        <v>574</v>
      </c>
      <c r="E66" s="765">
        <f>E62+E55+E51+E48+E45+E34+E16+E13</f>
        <v>358333.13</v>
      </c>
      <c r="F66" s="765">
        <f>F62+F55+F51+F48+F45+F34+F16+F13</f>
        <v>311077.58</v>
      </c>
      <c r="G66" s="765">
        <f>G20+G24+G27+G30+G62+G59</f>
        <v>0</v>
      </c>
      <c r="H66" s="765">
        <f>H20+H24+H27+H30+H62</f>
        <v>299372.44</v>
      </c>
      <c r="I66" s="765" t="e">
        <f>I13+#REF!+I16+#REF!+#REF!+#REF!+#REF!+I20+#REF!+I34+#REF!+#REF!+#REF!+I45+I48+I52+I55+I62</f>
        <v>#REF!</v>
      </c>
      <c r="J66" s="765">
        <f>J62+J55+J52+J48+J45+J34+J30+J24+J20+J16+J13+J27</f>
        <v>968783.14999999991</v>
      </c>
    </row>
    <row r="67" spans="2:10" x14ac:dyDescent="0.2">
      <c r="B67" s="766"/>
      <c r="C67" s="766"/>
      <c r="D67" s="767"/>
      <c r="E67" s="732"/>
      <c r="F67" s="732"/>
      <c r="G67" s="732"/>
      <c r="H67" s="732"/>
      <c r="I67" s="732"/>
      <c r="J67" s="732"/>
    </row>
    <row r="68" spans="2:10" x14ac:dyDescent="0.2">
      <c r="G68" s="516"/>
      <c r="H68" s="567"/>
      <c r="J68" s="567"/>
    </row>
    <row r="69" spans="2:10" x14ac:dyDescent="0.2">
      <c r="E69" s="769"/>
      <c r="F69" s="887"/>
      <c r="G69" s="516"/>
      <c r="H69" s="567"/>
    </row>
    <row r="70" spans="2:10" x14ac:dyDescent="0.2">
      <c r="H70" s="567"/>
    </row>
    <row r="71" spans="2:10" x14ac:dyDescent="0.2">
      <c r="D71" s="834"/>
      <c r="H71" s="887"/>
    </row>
    <row r="72" spans="2:10" x14ac:dyDescent="0.2">
      <c r="G72" s="887"/>
    </row>
    <row r="73" spans="2:10" x14ac:dyDescent="0.2">
      <c r="F73" s="887"/>
    </row>
    <row r="76" spans="2:10" x14ac:dyDescent="0.2">
      <c r="E76" s="887"/>
    </row>
    <row r="77" spans="2:10" x14ac:dyDescent="0.2">
      <c r="E77" s="887"/>
    </row>
    <row r="79" spans="2:10" x14ac:dyDescent="0.2">
      <c r="E79" s="887"/>
    </row>
  </sheetData>
  <autoFilter ref="B10:J66">
    <filterColumn colId="3" showButton="0"/>
    <filterColumn colId="4" showButton="0"/>
    <filterColumn colId="5" showButton="0"/>
    <filterColumn colId="6" showButton="0"/>
  </autoFilter>
  <mergeCells count="12">
    <mergeCell ref="B7:J7"/>
    <mergeCell ref="B8:J8"/>
    <mergeCell ref="B10:B11"/>
    <mergeCell ref="C10:C11"/>
    <mergeCell ref="D10:D11"/>
    <mergeCell ref="E10:I10"/>
    <mergeCell ref="J10:J11"/>
    <mergeCell ref="B1:J1"/>
    <mergeCell ref="B2:J2"/>
    <mergeCell ref="B4:J4"/>
    <mergeCell ref="B5:J5"/>
    <mergeCell ref="B6:J6"/>
  </mergeCells>
  <phoneticPr fontId="0" type="noConversion"/>
  <pageMargins left="0.19685039370078741" right="0.15748031496062992" top="0.86614173228346458" bottom="0.78740157480314965" header="0" footer="0"/>
  <pageSetup paperSize="5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2:K69"/>
  <sheetViews>
    <sheetView showGridLines="0" topLeftCell="A19" workbookViewId="0">
      <selection activeCell="C47" sqref="C47"/>
    </sheetView>
  </sheetViews>
  <sheetFormatPr baseColWidth="10" defaultRowHeight="12.75" x14ac:dyDescent="0.2"/>
  <cols>
    <col min="1" max="1" width="9.7109375" style="768" customWidth="1"/>
    <col min="2" max="2" width="65.140625" style="512" customWidth="1"/>
    <col min="3" max="3" width="19.85546875" style="512" customWidth="1"/>
    <col min="4" max="5" width="18.42578125" hidden="1" customWidth="1"/>
    <col min="6" max="6" width="14.140625" hidden="1" customWidth="1"/>
    <col min="7" max="7" width="18.140625" hidden="1" customWidth="1"/>
    <col min="8" max="8" width="15.85546875" customWidth="1"/>
    <col min="9" max="9" width="13" customWidth="1"/>
    <col min="10" max="10" width="12.42578125" bestFit="1" customWidth="1"/>
    <col min="11" max="11" width="12.28515625" bestFit="1" customWidth="1"/>
  </cols>
  <sheetData>
    <row r="2" spans="1:8" ht="15" x14ac:dyDescent="0.2">
      <c r="A2" s="1292" t="s">
        <v>491</v>
      </c>
      <c r="B2" s="1292"/>
      <c r="C2" s="1292"/>
      <c r="D2" s="1292"/>
      <c r="E2" s="1292"/>
      <c r="F2" s="1292"/>
      <c r="G2" s="1292"/>
      <c r="H2" s="1292"/>
    </row>
    <row r="3" spans="1:8" x14ac:dyDescent="0.2">
      <c r="A3" s="1293" t="s">
        <v>583</v>
      </c>
      <c r="B3" s="1293"/>
      <c r="C3" s="1293"/>
      <c r="D3" s="1293"/>
      <c r="E3" s="1293"/>
      <c r="F3" s="1293"/>
      <c r="G3" s="1293"/>
      <c r="H3" s="1293"/>
    </row>
    <row r="4" spans="1:8" x14ac:dyDescent="0.2">
      <c r="A4" s="770"/>
      <c r="B4" s="770"/>
      <c r="C4" s="770"/>
      <c r="D4" s="95"/>
      <c r="E4" s="95"/>
      <c r="F4" s="95"/>
      <c r="G4" s="95"/>
      <c r="H4" s="95"/>
    </row>
    <row r="5" spans="1:8" ht="16.7" customHeight="1" x14ac:dyDescent="0.2">
      <c r="A5" s="1301" t="s">
        <v>443</v>
      </c>
      <c r="B5" s="1301"/>
      <c r="C5" s="1301"/>
      <c r="D5" s="1301"/>
      <c r="E5" s="1301"/>
      <c r="F5" s="1301"/>
      <c r="G5" s="1301"/>
      <c r="H5" s="1301"/>
    </row>
    <row r="6" spans="1:8" ht="16.7" customHeight="1" x14ac:dyDescent="0.2">
      <c r="A6" s="1301" t="s">
        <v>797</v>
      </c>
      <c r="B6" s="1301"/>
      <c r="C6" s="1301"/>
      <c r="D6" s="1301"/>
      <c r="E6" s="1301"/>
      <c r="F6" s="1301"/>
      <c r="G6" s="1301"/>
      <c r="H6" s="1301"/>
    </row>
    <row r="7" spans="1:8" ht="16.7" customHeight="1" x14ac:dyDescent="0.2">
      <c r="A7" s="1301" t="s">
        <v>329</v>
      </c>
      <c r="B7" s="1301"/>
      <c r="C7" s="1301"/>
      <c r="D7" s="1301"/>
      <c r="E7" s="1301"/>
      <c r="F7" s="1301"/>
      <c r="G7" s="1301"/>
      <c r="H7" s="1301"/>
    </row>
    <row r="8" spans="1:8" ht="16.7" customHeight="1" x14ac:dyDescent="0.2">
      <c r="A8" s="1301" t="s">
        <v>330</v>
      </c>
      <c r="B8" s="1301"/>
      <c r="C8" s="1301"/>
      <c r="D8" s="1301"/>
      <c r="E8" s="1301"/>
      <c r="F8" s="1301"/>
      <c r="G8" s="1301"/>
      <c r="H8" s="1301"/>
    </row>
    <row r="9" spans="1:8" ht="16.7" customHeight="1" x14ac:dyDescent="0.2">
      <c r="A9" s="1301" t="s">
        <v>500</v>
      </c>
      <c r="B9" s="1301"/>
      <c r="C9" s="1301"/>
      <c r="D9" s="1301"/>
      <c r="E9" s="1301"/>
      <c r="F9" s="1301"/>
      <c r="G9" s="1301"/>
      <c r="H9" s="1301"/>
    </row>
    <row r="10" spans="1:8" ht="13.5" thickBot="1" x14ac:dyDescent="0.25">
      <c r="A10" s="771"/>
      <c r="B10" s="771"/>
      <c r="C10" s="771"/>
      <c r="D10" s="192"/>
      <c r="E10" s="192"/>
      <c r="F10" s="192"/>
      <c r="G10" s="192"/>
      <c r="H10" s="192"/>
    </row>
    <row r="11" spans="1:8" ht="28.5" customHeight="1" thickBot="1" x14ac:dyDescent="0.25">
      <c r="A11" s="772" t="s">
        <v>209</v>
      </c>
      <c r="B11" s="1299" t="s">
        <v>190</v>
      </c>
      <c r="C11" s="1294" t="s">
        <v>191</v>
      </c>
      <c r="D11" s="1295"/>
      <c r="E11" s="1295"/>
      <c r="F11" s="1295"/>
      <c r="G11" s="1296"/>
      <c r="H11" s="1297" t="s">
        <v>478</v>
      </c>
    </row>
    <row r="12" spans="1:8" ht="18.75" customHeight="1" thickBot="1" x14ac:dyDescent="0.3">
      <c r="A12" s="773" t="s">
        <v>210</v>
      </c>
      <c r="B12" s="1300"/>
      <c r="C12" s="774" t="s">
        <v>192</v>
      </c>
      <c r="D12" s="209" t="s">
        <v>1</v>
      </c>
      <c r="E12" s="209" t="s">
        <v>2</v>
      </c>
      <c r="F12" s="210" t="s">
        <v>3</v>
      </c>
      <c r="G12" s="34" t="s">
        <v>121</v>
      </c>
      <c r="H12" s="1298"/>
    </row>
    <row r="13" spans="1:8" hidden="1" x14ac:dyDescent="0.2">
      <c r="A13" s="775"/>
      <c r="B13" s="776"/>
      <c r="C13" s="777"/>
      <c r="D13" s="8"/>
      <c r="E13" s="8"/>
      <c r="F13" s="8"/>
      <c r="G13" s="8"/>
      <c r="H13" s="9"/>
    </row>
    <row r="14" spans="1:8" hidden="1" x14ac:dyDescent="0.2">
      <c r="A14" s="778"/>
      <c r="B14" s="779"/>
      <c r="C14" s="780"/>
      <c r="D14" s="6"/>
      <c r="E14" s="6"/>
      <c r="F14" s="6"/>
      <c r="G14" s="6"/>
      <c r="H14" s="10"/>
    </row>
    <row r="15" spans="1:8" ht="7.5" customHeight="1" x14ac:dyDescent="0.2">
      <c r="A15" s="781"/>
      <c r="B15" s="782"/>
      <c r="C15" s="783"/>
      <c r="D15" s="102"/>
      <c r="E15" s="102"/>
      <c r="F15" s="102"/>
      <c r="G15" s="102"/>
      <c r="H15" s="102"/>
    </row>
    <row r="16" spans="1:8" ht="17.25" customHeight="1" x14ac:dyDescent="0.2">
      <c r="A16" s="784">
        <v>55</v>
      </c>
      <c r="B16" s="785" t="s">
        <v>83</v>
      </c>
      <c r="C16" s="786">
        <f>C17+C23</f>
        <v>168970.07</v>
      </c>
      <c r="D16" s="103">
        <f>+D17</f>
        <v>0</v>
      </c>
      <c r="E16" s="103">
        <f>+E17</f>
        <v>0</v>
      </c>
      <c r="F16" s="103">
        <f>+F17</f>
        <v>0</v>
      </c>
      <c r="G16" s="103">
        <f>+G17</f>
        <v>0</v>
      </c>
      <c r="H16" s="103">
        <f t="shared" ref="H16:H23" si="0">SUM(C16:G16)</f>
        <v>168970.07</v>
      </c>
    </row>
    <row r="17" spans="1:11" ht="17.25" customHeight="1" x14ac:dyDescent="0.2">
      <c r="A17" s="784">
        <v>553</v>
      </c>
      <c r="B17" s="787" t="s">
        <v>84</v>
      </c>
      <c r="C17" s="786">
        <f>SUM(C18:C21)</f>
        <v>168970.07</v>
      </c>
      <c r="D17" s="103">
        <f>SUM(D18:D21)</f>
        <v>0</v>
      </c>
      <c r="E17" s="103">
        <f>SUM(E18:E21)</f>
        <v>0</v>
      </c>
      <c r="F17" s="103">
        <f>SUM(F18:F21)</f>
        <v>0</v>
      </c>
      <c r="G17" s="103">
        <f>SUM(G18:G21)</f>
        <v>0</v>
      </c>
      <c r="H17" s="103">
        <f>SUM(C17:G17)</f>
        <v>168970.07</v>
      </c>
    </row>
    <row r="18" spans="1:11" ht="21" hidden="1" customHeight="1" x14ac:dyDescent="0.2">
      <c r="A18" s="781">
        <v>55303</v>
      </c>
      <c r="B18" s="788" t="s">
        <v>211</v>
      </c>
      <c r="C18" s="783"/>
      <c r="D18" s="102">
        <v>0</v>
      </c>
      <c r="E18" s="102">
        <v>0</v>
      </c>
      <c r="F18" s="102">
        <v>0</v>
      </c>
      <c r="G18" s="102">
        <v>0</v>
      </c>
      <c r="H18" s="102">
        <f t="shared" si="0"/>
        <v>0</v>
      </c>
    </row>
    <row r="19" spans="1:11" ht="21" customHeight="1" x14ac:dyDescent="0.2">
      <c r="A19" s="781">
        <v>55302</v>
      </c>
      <c r="B19" s="789" t="s">
        <v>501</v>
      </c>
      <c r="C19" s="881">
        <f>743.35*5+743.4</f>
        <v>4460.1499999999996</v>
      </c>
      <c r="D19" s="102"/>
      <c r="E19" s="102"/>
      <c r="F19" s="102"/>
      <c r="G19" s="102"/>
      <c r="H19" s="102">
        <f>SUM(C19:G19)</f>
        <v>4460.1499999999996</v>
      </c>
    </row>
    <row r="20" spans="1:11" ht="21" hidden="1" customHeight="1" x14ac:dyDescent="0.2">
      <c r="A20" s="788">
        <v>55304</v>
      </c>
      <c r="B20" s="788" t="s">
        <v>212</v>
      </c>
      <c r="C20" s="783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f t="shared" si="0"/>
        <v>0</v>
      </c>
    </row>
    <row r="21" spans="1:11" ht="17.25" customHeight="1" x14ac:dyDescent="0.2">
      <c r="A21" s="781">
        <v>55304</v>
      </c>
      <c r="B21" s="789" t="s">
        <v>436</v>
      </c>
      <c r="C21" s="790">
        <v>164509.92000000001</v>
      </c>
      <c r="D21" s="102">
        <v>0</v>
      </c>
      <c r="E21" s="102">
        <v>0</v>
      </c>
      <c r="F21" s="102">
        <v>0</v>
      </c>
      <c r="G21" s="102">
        <v>0</v>
      </c>
      <c r="H21" s="102">
        <f>SUM(C21:G21)</f>
        <v>164509.92000000001</v>
      </c>
      <c r="J21" s="17"/>
      <c r="K21" s="17"/>
    </row>
    <row r="22" spans="1:11" ht="17.25" customHeight="1" x14ac:dyDescent="0.2">
      <c r="A22" s="781"/>
      <c r="B22" s="788"/>
      <c r="C22" s="783"/>
      <c r="D22" s="102"/>
      <c r="E22" s="102"/>
      <c r="F22" s="102"/>
      <c r="G22" s="102"/>
      <c r="H22" s="102"/>
    </row>
    <row r="23" spans="1:11" ht="17.25" hidden="1" customHeight="1" x14ac:dyDescent="0.2">
      <c r="A23" s="784">
        <v>556</v>
      </c>
      <c r="B23" s="791" t="s">
        <v>213</v>
      </c>
      <c r="C23" s="786">
        <f>C24</f>
        <v>0</v>
      </c>
      <c r="D23" s="103">
        <f>SUM(D24:D27)</f>
        <v>0</v>
      </c>
      <c r="E23" s="103">
        <f>SUM(E24:E27)</f>
        <v>0</v>
      </c>
      <c r="F23" s="103">
        <f>SUM(F24:F27)</f>
        <v>0</v>
      </c>
      <c r="G23" s="103">
        <f>SUM(G24:G27)</f>
        <v>0</v>
      </c>
      <c r="H23" s="103">
        <f t="shared" si="0"/>
        <v>0</v>
      </c>
      <c r="J23" s="12"/>
    </row>
    <row r="24" spans="1:11" ht="17.25" hidden="1" customHeight="1" x14ac:dyDescent="0.2">
      <c r="A24" s="781">
        <v>55603</v>
      </c>
      <c r="B24" s="792" t="s">
        <v>214</v>
      </c>
      <c r="C24" s="783"/>
      <c r="D24" s="102"/>
      <c r="E24" s="102"/>
      <c r="F24" s="102">
        <v>0</v>
      </c>
      <c r="G24" s="102"/>
      <c r="H24" s="102">
        <f>+C24</f>
        <v>0</v>
      </c>
    </row>
    <row r="25" spans="1:11" ht="17.25" customHeight="1" x14ac:dyDescent="0.2">
      <c r="A25" s="784">
        <v>71</v>
      </c>
      <c r="B25" s="787" t="s">
        <v>215</v>
      </c>
      <c r="C25" s="786">
        <f>+C26</f>
        <v>187095</v>
      </c>
      <c r="D25" s="103">
        <f>+D26</f>
        <v>0</v>
      </c>
      <c r="E25" s="103">
        <f>+E26</f>
        <v>0</v>
      </c>
      <c r="F25" s="103">
        <f>+F26</f>
        <v>0</v>
      </c>
      <c r="G25" s="103">
        <f>+G26</f>
        <v>0</v>
      </c>
      <c r="H25" s="103">
        <f>SUM(C25:G25)</f>
        <v>187095</v>
      </c>
    </row>
    <row r="26" spans="1:11" ht="17.25" customHeight="1" x14ac:dyDescent="0.2">
      <c r="A26" s="781">
        <v>713</v>
      </c>
      <c r="B26" s="787" t="s">
        <v>216</v>
      </c>
      <c r="C26" s="786">
        <f>SUM(C27:C28)</f>
        <v>187095</v>
      </c>
      <c r="D26" s="103">
        <f>SUM(D27:D28)</f>
        <v>0</v>
      </c>
      <c r="E26" s="103">
        <f>SUM(E27:E28)</f>
        <v>0</v>
      </c>
      <c r="F26" s="103">
        <f>SUM(F27:F28)</f>
        <v>0</v>
      </c>
      <c r="G26" s="103">
        <f>SUM(G27:G28)</f>
        <v>0</v>
      </c>
      <c r="H26" s="103">
        <f>SUM(C26:G26)</f>
        <v>187095</v>
      </c>
      <c r="J26" s="12"/>
    </row>
    <row r="27" spans="1:11" ht="21" hidden="1" customHeight="1" x14ac:dyDescent="0.2">
      <c r="A27" s="781">
        <v>71303</v>
      </c>
      <c r="B27" s="788" t="s">
        <v>211</v>
      </c>
      <c r="C27" s="783"/>
      <c r="D27" s="102">
        <v>0</v>
      </c>
      <c r="E27" s="102">
        <v>0</v>
      </c>
      <c r="F27" s="102">
        <v>0</v>
      </c>
      <c r="G27" s="102">
        <v>0</v>
      </c>
      <c r="H27" s="102">
        <f>SUM(C27:G27)</f>
        <v>0</v>
      </c>
    </row>
    <row r="28" spans="1:11" ht="17.25" customHeight="1" thickBot="1" x14ac:dyDescent="0.25">
      <c r="A28" s="781">
        <v>71304</v>
      </c>
      <c r="B28" s="788" t="s">
        <v>474</v>
      </c>
      <c r="C28" s="790">
        <v>187095</v>
      </c>
      <c r="D28" s="102">
        <v>0</v>
      </c>
      <c r="E28" s="102">
        <v>0</v>
      </c>
      <c r="F28" s="102">
        <v>0</v>
      </c>
      <c r="G28" s="102">
        <v>0</v>
      </c>
      <c r="H28" s="102">
        <f>SUM(C28:G28)</f>
        <v>187095</v>
      </c>
      <c r="J28" s="968"/>
      <c r="K28" s="17"/>
    </row>
    <row r="29" spans="1:11" hidden="1" x14ac:dyDescent="0.2">
      <c r="A29" s="793"/>
      <c r="B29" s="794"/>
      <c r="C29" s="795"/>
      <c r="D29" s="122"/>
      <c r="E29" s="122"/>
      <c r="F29" s="122"/>
      <c r="G29" s="122"/>
      <c r="H29" s="121"/>
      <c r="J29" s="12"/>
    </row>
    <row r="30" spans="1:11" hidden="1" x14ac:dyDescent="0.2">
      <c r="A30" s="778"/>
      <c r="B30" s="796"/>
      <c r="C30" s="795"/>
      <c r="D30" s="122"/>
      <c r="E30" s="122"/>
      <c r="F30" s="122"/>
      <c r="G30" s="122"/>
      <c r="H30" s="123"/>
    </row>
    <row r="31" spans="1:11" hidden="1" x14ac:dyDescent="0.2">
      <c r="A31" s="793"/>
      <c r="B31" s="794"/>
      <c r="C31" s="797"/>
      <c r="D31" s="120"/>
      <c r="E31" s="120"/>
      <c r="F31" s="120"/>
      <c r="G31" s="120"/>
      <c r="H31" s="123"/>
    </row>
    <row r="32" spans="1:11" hidden="1" x14ac:dyDescent="0.2">
      <c r="A32" s="793"/>
      <c r="B32" s="794"/>
      <c r="C32" s="798"/>
      <c r="D32" s="124"/>
      <c r="E32" s="124"/>
      <c r="F32" s="124"/>
      <c r="G32" s="124"/>
      <c r="H32" s="123"/>
    </row>
    <row r="33" spans="1:10" hidden="1" x14ac:dyDescent="0.2">
      <c r="A33" s="793"/>
      <c r="B33" s="794"/>
      <c r="C33" s="798"/>
      <c r="D33" s="124"/>
      <c r="E33" s="124"/>
      <c r="F33" s="124"/>
      <c r="G33" s="124"/>
      <c r="H33" s="123"/>
    </row>
    <row r="34" spans="1:10" hidden="1" x14ac:dyDescent="0.2">
      <c r="A34" s="793"/>
      <c r="B34" s="794"/>
      <c r="C34" s="797"/>
      <c r="D34" s="120"/>
      <c r="E34" s="120"/>
      <c r="F34" s="120"/>
      <c r="G34" s="120"/>
      <c r="H34" s="123"/>
    </row>
    <row r="35" spans="1:10" hidden="1" x14ac:dyDescent="0.2">
      <c r="A35" s="778"/>
      <c r="B35" s="799"/>
      <c r="C35" s="795"/>
      <c r="D35" s="122"/>
      <c r="E35" s="122"/>
      <c r="F35" s="122"/>
      <c r="G35" s="122"/>
      <c r="H35" s="123"/>
    </row>
    <row r="36" spans="1:10" hidden="1" x14ac:dyDescent="0.2">
      <c r="A36" s="793"/>
      <c r="B36" s="800"/>
      <c r="C36" s="797"/>
      <c r="D36" s="120"/>
      <c r="E36" s="120"/>
      <c r="F36" s="120"/>
      <c r="G36" s="120"/>
      <c r="H36" s="123"/>
    </row>
    <row r="37" spans="1:10" hidden="1" x14ac:dyDescent="0.2">
      <c r="A37" s="778"/>
      <c r="B37" s="799"/>
      <c r="C37" s="795"/>
      <c r="D37" s="122"/>
      <c r="E37" s="122"/>
      <c r="F37" s="122"/>
      <c r="G37" s="122"/>
      <c r="H37" s="123"/>
    </row>
    <row r="38" spans="1:10" hidden="1" x14ac:dyDescent="0.2">
      <c r="A38" s="793"/>
      <c r="B38" s="794"/>
      <c r="C38" s="797"/>
      <c r="D38" s="120"/>
      <c r="E38" s="120"/>
      <c r="F38" s="120"/>
      <c r="G38" s="120"/>
      <c r="H38" s="121"/>
    </row>
    <row r="39" spans="1:10" hidden="1" x14ac:dyDescent="0.2">
      <c r="A39" s="793"/>
      <c r="B39" s="794"/>
      <c r="C39" s="797"/>
      <c r="D39" s="120"/>
      <c r="E39" s="120"/>
      <c r="F39" s="120"/>
      <c r="G39" s="120"/>
      <c r="H39" s="121"/>
    </row>
    <row r="40" spans="1:10" hidden="1" x14ac:dyDescent="0.2">
      <c r="A40" s="793"/>
      <c r="B40" s="794"/>
      <c r="C40" s="797"/>
      <c r="D40" s="120"/>
      <c r="E40" s="120"/>
      <c r="F40" s="120"/>
      <c r="G40" s="120"/>
      <c r="H40" s="121"/>
    </row>
    <row r="41" spans="1:10" hidden="1" x14ac:dyDescent="0.2">
      <c r="A41" s="793"/>
      <c r="B41" s="794"/>
      <c r="C41" s="797"/>
      <c r="D41" s="120"/>
      <c r="E41" s="120"/>
      <c r="F41" s="120"/>
      <c r="G41" s="120"/>
      <c r="H41" s="123"/>
    </row>
    <row r="42" spans="1:10" hidden="1" x14ac:dyDescent="0.2">
      <c r="A42" s="793"/>
      <c r="B42" s="794"/>
      <c r="C42" s="797"/>
      <c r="D42" s="120"/>
      <c r="E42" s="120"/>
      <c r="F42" s="120"/>
      <c r="G42" s="120"/>
      <c r="H42" s="123"/>
    </row>
    <row r="43" spans="1:10" hidden="1" x14ac:dyDescent="0.2">
      <c r="A43" s="793"/>
      <c r="B43" s="794"/>
      <c r="C43" s="797"/>
      <c r="D43" s="120"/>
      <c r="E43" s="120"/>
      <c r="F43" s="120"/>
      <c r="G43" s="120"/>
      <c r="H43" s="125"/>
    </row>
    <row r="44" spans="1:10" ht="18" hidden="1" x14ac:dyDescent="0.25">
      <c r="A44" s="801"/>
      <c r="B44" s="802"/>
      <c r="C44" s="803"/>
      <c r="D44" s="126"/>
      <c r="E44" s="126"/>
      <c r="F44" s="126"/>
      <c r="G44" s="126"/>
      <c r="H44" s="127"/>
    </row>
    <row r="45" spans="1:10" hidden="1" x14ac:dyDescent="0.2">
      <c r="A45" s="793"/>
      <c r="B45" s="794"/>
      <c r="C45" s="798"/>
      <c r="D45" s="124"/>
      <c r="E45" s="124"/>
      <c r="F45" s="124"/>
      <c r="G45" s="124"/>
      <c r="H45" s="125"/>
    </row>
    <row r="46" spans="1:10" ht="13.5" hidden="1" thickBot="1" x14ac:dyDescent="0.25">
      <c r="A46" s="804"/>
      <c r="B46" s="805"/>
      <c r="C46" s="806"/>
      <c r="D46" s="128"/>
      <c r="E46" s="128"/>
      <c r="F46" s="128"/>
      <c r="G46" s="128"/>
      <c r="H46" s="129"/>
    </row>
    <row r="47" spans="1:10" ht="15" customHeight="1" thickBot="1" x14ac:dyDescent="0.25">
      <c r="A47" s="807"/>
      <c r="B47" s="808" t="s">
        <v>185</v>
      </c>
      <c r="C47" s="809">
        <f>C16+C25</f>
        <v>356065.07</v>
      </c>
      <c r="D47" s="130" t="e">
        <f>+D16+D20+D25+#REF!+D30</f>
        <v>#REF!</v>
      </c>
      <c r="E47" s="111" t="e">
        <f>+E16+E20+E25+#REF!+E30</f>
        <v>#REF!</v>
      </c>
      <c r="F47" s="130">
        <f>+F16+F20+F25+F30</f>
        <v>0</v>
      </c>
      <c r="G47" s="111" t="e">
        <f>+G16+G20+G25+#REF!+G30</f>
        <v>#REF!</v>
      </c>
      <c r="H47" s="111">
        <f>+H16+H25</f>
        <v>356065.07</v>
      </c>
      <c r="J47" s="390"/>
    </row>
    <row r="48" spans="1:10" x14ac:dyDescent="0.2">
      <c r="C48" s="738"/>
      <c r="H48" s="12"/>
    </row>
    <row r="49" spans="3:9" x14ac:dyDescent="0.2">
      <c r="C49" s="810"/>
      <c r="H49" s="1"/>
    </row>
    <row r="50" spans="3:9" x14ac:dyDescent="0.2">
      <c r="C50" s="810"/>
      <c r="H50" s="1"/>
    </row>
    <row r="51" spans="3:9" x14ac:dyDescent="0.2">
      <c r="C51" s="975" t="s">
        <v>801</v>
      </c>
      <c r="D51" s="973"/>
      <c r="E51" s="973"/>
      <c r="F51" s="973"/>
      <c r="G51" s="973"/>
      <c r="H51" s="972" t="s">
        <v>802</v>
      </c>
      <c r="I51" s="973" t="s">
        <v>803</v>
      </c>
    </row>
    <row r="52" spans="3:9" x14ac:dyDescent="0.2">
      <c r="C52" s="969">
        <v>14691.3</v>
      </c>
      <c r="D52" s="970"/>
      <c r="E52" s="970"/>
      <c r="F52" s="970"/>
      <c r="G52" s="970"/>
      <c r="H52" s="971">
        <v>14609.11</v>
      </c>
      <c r="I52" s="974" t="s">
        <v>798</v>
      </c>
    </row>
    <row r="53" spans="3:9" x14ac:dyDescent="0.2">
      <c r="C53" s="969">
        <v>14793.29</v>
      </c>
      <c r="D53" s="970"/>
      <c r="E53" s="970"/>
      <c r="F53" s="970"/>
      <c r="G53" s="970"/>
      <c r="H53" s="971">
        <v>14507.12</v>
      </c>
      <c r="I53" s="974" t="s">
        <v>592</v>
      </c>
    </row>
    <row r="54" spans="3:9" x14ac:dyDescent="0.2">
      <c r="C54" s="969">
        <v>16299.34</v>
      </c>
      <c r="D54" s="970"/>
      <c r="E54" s="970"/>
      <c r="F54" s="970"/>
      <c r="G54" s="970"/>
      <c r="H54" s="971">
        <v>13001.07</v>
      </c>
      <c r="I54" s="974" t="s">
        <v>593</v>
      </c>
    </row>
    <row r="55" spans="3:9" x14ac:dyDescent="0.2">
      <c r="C55" s="969">
        <v>15030.96</v>
      </c>
      <c r="D55" s="970"/>
      <c r="E55" s="970"/>
      <c r="F55" s="970"/>
      <c r="G55" s="970"/>
      <c r="H55" s="971">
        <v>14269.45</v>
      </c>
      <c r="I55" s="974" t="s">
        <v>594</v>
      </c>
    </row>
    <row r="56" spans="3:9" x14ac:dyDescent="0.2">
      <c r="C56" s="969">
        <v>15602.45</v>
      </c>
      <c r="D56" s="970"/>
      <c r="E56" s="970"/>
      <c r="F56" s="970"/>
      <c r="G56" s="970"/>
      <c r="H56" s="971">
        <v>13697.96</v>
      </c>
      <c r="I56" s="974" t="s">
        <v>799</v>
      </c>
    </row>
    <row r="57" spans="3:9" x14ac:dyDescent="0.2">
      <c r="C57" s="969">
        <v>15265.11</v>
      </c>
      <c r="D57" s="970"/>
      <c r="E57" s="970"/>
      <c r="F57" s="970"/>
      <c r="G57" s="970"/>
      <c r="H57" s="971">
        <v>14035.3</v>
      </c>
      <c r="I57" s="974" t="s">
        <v>596</v>
      </c>
    </row>
    <row r="58" spans="3:9" x14ac:dyDescent="0.2">
      <c r="C58" s="969">
        <v>15830.78</v>
      </c>
      <c r="D58" s="970"/>
      <c r="E58" s="970"/>
      <c r="F58" s="970"/>
      <c r="G58" s="970"/>
      <c r="H58" s="971">
        <v>13469.63</v>
      </c>
      <c r="I58" s="974" t="s">
        <v>597</v>
      </c>
    </row>
    <row r="59" spans="3:9" x14ac:dyDescent="0.2">
      <c r="C59" s="969">
        <v>15502.81</v>
      </c>
      <c r="D59" s="970"/>
      <c r="E59" s="970"/>
      <c r="F59" s="970"/>
      <c r="G59" s="970"/>
      <c r="H59" s="971">
        <v>13797.6</v>
      </c>
      <c r="I59" s="974" t="s">
        <v>598</v>
      </c>
    </row>
    <row r="60" spans="3:9" x14ac:dyDescent="0.2">
      <c r="C60" s="969">
        <v>15621.31</v>
      </c>
      <c r="D60" s="970"/>
      <c r="E60" s="970"/>
      <c r="F60" s="970"/>
      <c r="G60" s="970"/>
      <c r="H60" s="971">
        <v>13679.1</v>
      </c>
      <c r="I60" s="974" t="s">
        <v>599</v>
      </c>
    </row>
    <row r="61" spans="3:9" x14ac:dyDescent="0.2">
      <c r="C61" s="969">
        <v>16178.12</v>
      </c>
      <c r="D61" s="970"/>
      <c r="E61" s="970"/>
      <c r="F61" s="970"/>
      <c r="G61" s="970"/>
      <c r="H61" s="971">
        <v>13122.29</v>
      </c>
      <c r="I61" s="974" t="s">
        <v>600</v>
      </c>
    </row>
    <row r="62" spans="3:9" x14ac:dyDescent="0.2">
      <c r="C62" s="969">
        <v>15864.38</v>
      </c>
      <c r="D62" s="970"/>
      <c r="E62" s="970"/>
      <c r="F62" s="970"/>
      <c r="G62" s="970"/>
      <c r="H62" s="971">
        <v>13436.03</v>
      </c>
      <c r="I62" s="974" t="s">
        <v>800</v>
      </c>
    </row>
    <row r="63" spans="3:9" x14ac:dyDescent="0.2">
      <c r="C63" s="969">
        <v>16415.150000000001</v>
      </c>
      <c r="D63" s="970"/>
      <c r="E63" s="970"/>
      <c r="F63" s="970"/>
      <c r="G63" s="970"/>
      <c r="H63" s="971">
        <v>12885.26</v>
      </c>
      <c r="I63" s="974" t="s">
        <v>602</v>
      </c>
    </row>
    <row r="64" spans="3:9" x14ac:dyDescent="0.2">
      <c r="C64" s="969">
        <f>SUM(C52:C63)</f>
        <v>187095</v>
      </c>
      <c r="D64" s="969">
        <f t="shared" ref="D64:H64" si="1">SUM(D52:D63)</f>
        <v>0</v>
      </c>
      <c r="E64" s="969">
        <f t="shared" si="1"/>
        <v>0</v>
      </c>
      <c r="F64" s="969">
        <f t="shared" si="1"/>
        <v>0</v>
      </c>
      <c r="G64" s="969">
        <f t="shared" si="1"/>
        <v>0</v>
      </c>
      <c r="H64" s="969">
        <f t="shared" si="1"/>
        <v>164509.92000000001</v>
      </c>
      <c r="I64" s="974">
        <f>SUM(I52:I63)</f>
        <v>0</v>
      </c>
    </row>
    <row r="67" spans="8:8" x14ac:dyDescent="0.2">
      <c r="H67" s="390"/>
    </row>
    <row r="68" spans="8:8" x14ac:dyDescent="0.2">
      <c r="H68" s="390">
        <f>C64+I64</f>
        <v>187095</v>
      </c>
    </row>
    <row r="69" spans="8:8" x14ac:dyDescent="0.2">
      <c r="H69" s="390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48"/>
  </sheetPr>
  <dimension ref="A1:AV183"/>
  <sheetViews>
    <sheetView showGridLines="0" zoomScaleNormal="100" workbookViewId="0">
      <pane xSplit="2" ySplit="8" topLeftCell="C77" activePane="bottomRight" state="frozen"/>
      <selection pane="topRight" activeCell="C1" sqref="C1"/>
      <selection pane="bottomLeft" activeCell="A9" sqref="A9"/>
      <selection pane="bottomRight" activeCell="H7" sqref="H7:H8"/>
    </sheetView>
  </sheetViews>
  <sheetFormatPr baseColWidth="10" defaultRowHeight="18" customHeight="1" x14ac:dyDescent="0.2"/>
  <cols>
    <col min="1" max="1" width="6" style="14" customWidth="1"/>
    <col min="2" max="2" width="31.28515625" style="13" customWidth="1"/>
    <col min="3" max="3" width="10.5703125" style="387" customWidth="1"/>
    <col min="4" max="4" width="9.85546875" style="387" customWidth="1"/>
    <col min="5" max="5" width="10.140625" style="387" customWidth="1"/>
    <col min="6" max="7" width="10.42578125" style="387" customWidth="1"/>
    <col min="8" max="12" width="10.42578125" style="388" customWidth="1"/>
    <col min="13" max="13" width="10.42578125" style="13" customWidth="1"/>
    <col min="14" max="14" width="11.5703125" style="13" customWidth="1"/>
    <col min="15" max="16" width="10.42578125" style="13" customWidth="1"/>
    <col min="17" max="17" width="10.7109375" style="13" customWidth="1"/>
    <col min="18" max="18" width="10" style="13" customWidth="1"/>
    <col min="19" max="19" width="12.140625" style="13" customWidth="1"/>
    <col min="20" max="20" width="10.85546875" style="13" customWidth="1"/>
    <col min="21" max="21" width="9.140625" style="13" customWidth="1"/>
    <col min="22" max="22" width="10.5703125" style="13" customWidth="1"/>
    <col min="23" max="23" width="9.85546875" style="13" customWidth="1"/>
    <col min="24" max="24" width="8.85546875" style="13" customWidth="1"/>
    <col min="25" max="25" width="10.42578125" style="13" bestFit="1" customWidth="1"/>
    <col min="26" max="26" width="9.5703125" style="13" customWidth="1"/>
    <col min="27" max="28" width="9.28515625" style="13" customWidth="1"/>
    <col min="29" max="29" width="8.85546875" style="13" customWidth="1"/>
    <col min="30" max="30" width="8.5703125" style="13" customWidth="1"/>
    <col min="31" max="31" width="6.5703125" style="13" customWidth="1"/>
    <col min="32" max="32" width="8.28515625" style="13" customWidth="1"/>
    <col min="33" max="33" width="10.140625" style="13" customWidth="1"/>
    <col min="34" max="34" width="10.5703125" style="13" customWidth="1"/>
    <col min="35" max="35" width="11.7109375" style="13" customWidth="1"/>
    <col min="36" max="36" width="15.42578125" style="13" hidden="1" customWidth="1"/>
    <col min="37" max="44" width="16.7109375" style="13" hidden="1" customWidth="1"/>
    <col min="45" max="45" width="11.140625" style="13" hidden="1" customWidth="1"/>
    <col min="46" max="46" width="12.140625" style="13" customWidth="1"/>
    <col min="47" max="47" width="0.5703125" style="239" customWidth="1"/>
    <col min="48" max="16384" width="11.42578125" style="13"/>
  </cols>
  <sheetData>
    <row r="1" spans="1:47" ht="18" customHeight="1" x14ac:dyDescent="0.2">
      <c r="A1" s="1302" t="s">
        <v>855</v>
      </c>
      <c r="B1" s="1302"/>
      <c r="C1" s="1302"/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1302"/>
      <c r="O1" s="1302"/>
      <c r="P1" s="1302"/>
      <c r="Q1" s="1302"/>
      <c r="R1" s="1302"/>
      <c r="S1" s="1302"/>
      <c r="T1" s="1302"/>
      <c r="U1" s="1302"/>
      <c r="V1" s="1302"/>
      <c r="W1" s="1302"/>
      <c r="X1" s="1302"/>
      <c r="Y1" s="1302"/>
      <c r="Z1" s="1302"/>
      <c r="AA1" s="1302"/>
      <c r="AB1" s="1302"/>
      <c r="AC1" s="1302"/>
      <c r="AD1" s="1302"/>
      <c r="AE1" s="1302"/>
      <c r="AF1" s="1302"/>
      <c r="AG1" s="1302"/>
      <c r="AH1" s="1302"/>
      <c r="AI1" s="1302"/>
      <c r="AJ1" s="1302"/>
      <c r="AK1" s="1302"/>
      <c r="AL1" s="1302"/>
      <c r="AM1" s="1302"/>
      <c r="AN1" s="1302"/>
      <c r="AO1" s="1302"/>
      <c r="AP1" s="1302"/>
      <c r="AQ1" s="1302"/>
      <c r="AR1" s="1302"/>
      <c r="AS1" s="1302"/>
      <c r="AT1" s="1302"/>
    </row>
    <row r="2" spans="1:47" ht="18" customHeight="1" x14ac:dyDescent="0.2">
      <c r="A2" s="1303"/>
      <c r="B2" s="1303"/>
      <c r="C2" s="1303"/>
      <c r="D2" s="1303"/>
      <c r="E2" s="1303"/>
      <c r="F2" s="1303"/>
      <c r="G2" s="1303"/>
      <c r="H2" s="1303"/>
      <c r="I2" s="1303"/>
      <c r="J2" s="1303"/>
      <c r="K2" s="1303"/>
      <c r="L2" s="1303"/>
      <c r="M2" s="1303"/>
      <c r="N2" s="1303"/>
      <c r="O2" s="1303"/>
      <c r="P2" s="1303"/>
      <c r="Q2" s="1303"/>
      <c r="R2" s="1303"/>
      <c r="S2" s="1303"/>
      <c r="T2" s="1303"/>
      <c r="U2" s="1303"/>
      <c r="V2" s="1303"/>
      <c r="W2" s="1303"/>
      <c r="X2" s="1303"/>
      <c r="Y2" s="1303"/>
      <c r="Z2" s="1303"/>
      <c r="AA2" s="1303"/>
      <c r="AB2" s="1303"/>
      <c r="AC2" s="1303"/>
      <c r="AD2" s="1303"/>
      <c r="AE2" s="1303"/>
      <c r="AF2" s="1303"/>
      <c r="AG2" s="1303"/>
      <c r="AH2" s="1303"/>
      <c r="AI2" s="1303"/>
      <c r="AJ2" s="1303"/>
      <c r="AK2" s="1303"/>
      <c r="AL2" s="1303"/>
      <c r="AM2" s="1303"/>
      <c r="AN2" s="1303"/>
      <c r="AO2" s="1303"/>
      <c r="AP2" s="1303"/>
      <c r="AQ2" s="1303"/>
      <c r="AR2" s="1303"/>
      <c r="AS2" s="1303"/>
      <c r="AT2" s="1303"/>
    </row>
    <row r="3" spans="1:47" s="999" customFormat="1" ht="29.25" customHeight="1" x14ac:dyDescent="0.25">
      <c r="A3" s="1314" t="s">
        <v>582</v>
      </c>
      <c r="B3" s="1307" t="s">
        <v>103</v>
      </c>
      <c r="C3" s="1318" t="s">
        <v>218</v>
      </c>
      <c r="D3" s="1318"/>
      <c r="E3" s="1318"/>
      <c r="F3" s="1318"/>
      <c r="G3" s="1318"/>
      <c r="H3" s="1304" t="s">
        <v>217</v>
      </c>
      <c r="I3" s="1305"/>
      <c r="J3" s="1305"/>
      <c r="K3" s="1305"/>
      <c r="L3" s="1305"/>
      <c r="M3" s="1305"/>
      <c r="N3" s="1305"/>
      <c r="O3" s="1305"/>
      <c r="P3" s="1305"/>
      <c r="Q3" s="1305"/>
      <c r="R3" s="1305"/>
      <c r="S3" s="1305"/>
      <c r="T3" s="1305"/>
      <c r="U3" s="1305"/>
      <c r="V3" s="1306"/>
      <c r="W3" s="1304"/>
      <c r="X3" s="1305"/>
      <c r="Y3" s="1305"/>
      <c r="Z3" s="1306"/>
      <c r="AA3" s="1304"/>
      <c r="AB3" s="1305"/>
      <c r="AC3" s="1306"/>
      <c r="AD3" s="1307" t="s">
        <v>460</v>
      </c>
      <c r="AE3" s="1307"/>
      <c r="AF3" s="997"/>
      <c r="AG3" s="1307" t="s">
        <v>462</v>
      </c>
      <c r="AH3" s="1307"/>
      <c r="AI3" s="1307"/>
      <c r="AJ3" s="1307" t="s">
        <v>221</v>
      </c>
      <c r="AK3" s="1309" t="s">
        <v>219</v>
      </c>
      <c r="AL3" s="1309"/>
      <c r="AM3" s="1309"/>
      <c r="AN3" s="1309" t="s">
        <v>220</v>
      </c>
      <c r="AO3" s="1309"/>
      <c r="AP3" s="1309"/>
      <c r="AQ3" s="1309" t="s">
        <v>221</v>
      </c>
      <c r="AR3" s="1309"/>
      <c r="AS3" s="1309"/>
      <c r="AT3" s="1310" t="s">
        <v>25</v>
      </c>
      <c r="AU3" s="998"/>
    </row>
    <row r="4" spans="1:47" s="999" customFormat="1" ht="14.25" customHeight="1" x14ac:dyDescent="0.25">
      <c r="A4" s="1315"/>
      <c r="B4" s="1316"/>
      <c r="C4" s="1318"/>
      <c r="D4" s="1318"/>
      <c r="E4" s="1318"/>
      <c r="F4" s="1318"/>
      <c r="G4" s="1318"/>
      <c r="H4" s="1313" t="s">
        <v>222</v>
      </c>
      <c r="I4" s="1313"/>
      <c r="J4" s="1313"/>
      <c r="K4" s="1313"/>
      <c r="L4" s="1313"/>
      <c r="M4" s="1309" t="s">
        <v>755</v>
      </c>
      <c r="N4" s="1309"/>
      <c r="O4" s="1309"/>
      <c r="P4" s="1309"/>
      <c r="Q4" s="1309"/>
      <c r="R4" s="1309"/>
      <c r="S4" s="1309"/>
      <c r="T4" s="1309" t="s">
        <v>756</v>
      </c>
      <c r="U4" s="1309"/>
      <c r="V4" s="1309"/>
      <c r="W4" s="1309" t="s">
        <v>826</v>
      </c>
      <c r="X4" s="1309"/>
      <c r="Y4" s="1309"/>
      <c r="Z4" s="1309"/>
      <c r="AA4" s="1309" t="s">
        <v>827</v>
      </c>
      <c r="AB4" s="1309"/>
      <c r="AC4" s="1309"/>
      <c r="AD4" s="1307"/>
      <c r="AE4" s="1307"/>
      <c r="AF4" s="1307" t="s">
        <v>108</v>
      </c>
      <c r="AG4" s="1309" t="s">
        <v>631</v>
      </c>
      <c r="AH4" s="1309" t="s">
        <v>581</v>
      </c>
      <c r="AI4" s="1307" t="s">
        <v>108</v>
      </c>
      <c r="AJ4" s="1307"/>
      <c r="AK4" s="1309" t="s">
        <v>223</v>
      </c>
      <c r="AL4" s="1309"/>
      <c r="AM4" s="1000"/>
      <c r="AN4" s="1309" t="s">
        <v>223</v>
      </c>
      <c r="AO4" s="1309"/>
      <c r="AP4" s="1000"/>
      <c r="AQ4" s="1309" t="s">
        <v>223</v>
      </c>
      <c r="AR4" s="1309"/>
      <c r="AS4" s="1000"/>
      <c r="AT4" s="1310"/>
      <c r="AU4" s="998"/>
    </row>
    <row r="5" spans="1:47" s="999" customFormat="1" ht="15" customHeight="1" x14ac:dyDescent="0.25">
      <c r="A5" s="1315"/>
      <c r="B5" s="1316"/>
      <c r="C5" s="1317" t="s">
        <v>451</v>
      </c>
      <c r="D5" s="1317"/>
      <c r="E5" s="1317"/>
      <c r="F5" s="1317"/>
      <c r="G5" s="1317"/>
      <c r="H5" s="1313" t="s">
        <v>451</v>
      </c>
      <c r="I5" s="1313"/>
      <c r="J5" s="1313"/>
      <c r="K5" s="1313"/>
      <c r="L5" s="1313"/>
      <c r="M5" s="1309" t="s">
        <v>224</v>
      </c>
      <c r="N5" s="1309"/>
      <c r="O5" s="1000" t="s">
        <v>225</v>
      </c>
      <c r="P5" s="1309" t="s">
        <v>226</v>
      </c>
      <c r="Q5" s="1309"/>
      <c r="R5" s="1309"/>
      <c r="S5" s="1307" t="s">
        <v>108</v>
      </c>
      <c r="T5" s="1000" t="s">
        <v>225</v>
      </c>
      <c r="U5" s="1000" t="s">
        <v>225</v>
      </c>
      <c r="V5" s="1307" t="s">
        <v>108</v>
      </c>
      <c r="W5" s="1000" t="s">
        <v>225</v>
      </c>
      <c r="X5" s="1000" t="s">
        <v>225</v>
      </c>
      <c r="Y5" s="1000" t="s">
        <v>225</v>
      </c>
      <c r="Z5" s="1307" t="s">
        <v>108</v>
      </c>
      <c r="AA5" s="997"/>
      <c r="AB5" s="997"/>
      <c r="AC5" s="1307" t="s">
        <v>108</v>
      </c>
      <c r="AD5" s="1307" t="s">
        <v>429</v>
      </c>
      <c r="AE5" s="1307"/>
      <c r="AF5" s="1307"/>
      <c r="AG5" s="1309"/>
      <c r="AH5" s="1309"/>
      <c r="AI5" s="1307"/>
      <c r="AJ5" s="1000" t="s">
        <v>224</v>
      </c>
      <c r="AK5" s="1000" t="s">
        <v>224</v>
      </c>
      <c r="AL5" s="1000" t="s">
        <v>227</v>
      </c>
      <c r="AM5" s="1309" t="s">
        <v>108</v>
      </c>
      <c r="AN5" s="1000" t="s">
        <v>224</v>
      </c>
      <c r="AO5" s="1000" t="s">
        <v>227</v>
      </c>
      <c r="AP5" s="1309" t="s">
        <v>108</v>
      </c>
      <c r="AQ5" s="1000" t="s">
        <v>224</v>
      </c>
      <c r="AR5" s="1000" t="s">
        <v>227</v>
      </c>
      <c r="AS5" s="1309" t="s">
        <v>108</v>
      </c>
      <c r="AT5" s="1310"/>
      <c r="AU5" s="998"/>
    </row>
    <row r="6" spans="1:47" s="999" customFormat="1" ht="15.75" customHeight="1" x14ac:dyDescent="0.25">
      <c r="A6" s="1315"/>
      <c r="B6" s="1316"/>
      <c r="C6" s="1317" t="s">
        <v>453</v>
      </c>
      <c r="D6" s="1317"/>
      <c r="E6" s="1317"/>
      <c r="F6" s="1317"/>
      <c r="G6" s="1317"/>
      <c r="H6" s="1313" t="s">
        <v>452</v>
      </c>
      <c r="I6" s="1313"/>
      <c r="J6" s="1313"/>
      <c r="K6" s="1313"/>
      <c r="L6" s="1313"/>
      <c r="M6" s="1309" t="s">
        <v>228</v>
      </c>
      <c r="N6" s="1309"/>
      <c r="O6" s="1000" t="s">
        <v>229</v>
      </c>
      <c r="P6" s="1309" t="s">
        <v>230</v>
      </c>
      <c r="Q6" s="1309"/>
      <c r="R6" s="1309"/>
      <c r="S6" s="1307"/>
      <c r="T6" s="1000" t="s">
        <v>749</v>
      </c>
      <c r="U6" s="1000" t="s">
        <v>748</v>
      </c>
      <c r="V6" s="1307"/>
      <c r="W6" s="1000" t="s">
        <v>773</v>
      </c>
      <c r="X6" s="1000" t="s">
        <v>773</v>
      </c>
      <c r="Y6" s="1000" t="s">
        <v>773</v>
      </c>
      <c r="Z6" s="1307"/>
      <c r="AA6" s="997"/>
      <c r="AB6" s="997"/>
      <c r="AC6" s="1307"/>
      <c r="AD6" s="1307"/>
      <c r="AE6" s="1307"/>
      <c r="AF6" s="1307"/>
      <c r="AG6" s="1000" t="s">
        <v>228</v>
      </c>
      <c r="AH6" s="1000" t="s">
        <v>229</v>
      </c>
      <c r="AI6" s="1307"/>
      <c r="AJ6" s="1000" t="s">
        <v>228</v>
      </c>
      <c r="AK6" s="1000" t="s">
        <v>228</v>
      </c>
      <c r="AL6" s="1000" t="s">
        <v>229</v>
      </c>
      <c r="AM6" s="1309"/>
      <c r="AN6" s="1000" t="s">
        <v>228</v>
      </c>
      <c r="AO6" s="1000" t="s">
        <v>229</v>
      </c>
      <c r="AP6" s="1309"/>
      <c r="AQ6" s="1000" t="s">
        <v>228</v>
      </c>
      <c r="AR6" s="1000" t="s">
        <v>229</v>
      </c>
      <c r="AS6" s="1309"/>
      <c r="AT6" s="1310"/>
      <c r="AU6" s="998"/>
    </row>
    <row r="7" spans="1:47" s="999" customFormat="1" ht="14.25" customHeight="1" x14ac:dyDescent="0.25">
      <c r="A7" s="1315"/>
      <c r="B7" s="1316"/>
      <c r="C7" s="1312" t="s">
        <v>473</v>
      </c>
      <c r="D7" s="1312" t="s">
        <v>472</v>
      </c>
      <c r="E7" s="1312" t="s">
        <v>463</v>
      </c>
      <c r="F7" s="1312" t="s">
        <v>464</v>
      </c>
      <c r="G7" s="1312" t="s">
        <v>108</v>
      </c>
      <c r="H7" s="1311" t="s">
        <v>473</v>
      </c>
      <c r="I7" s="1311" t="s">
        <v>472</v>
      </c>
      <c r="J7" s="1311" t="s">
        <v>463</v>
      </c>
      <c r="K7" s="1311" t="s">
        <v>464</v>
      </c>
      <c r="L7" s="1312" t="s">
        <v>108</v>
      </c>
      <c r="M7" s="1001" t="s">
        <v>231</v>
      </c>
      <c r="N7" s="1001" t="s">
        <v>232</v>
      </c>
      <c r="O7" s="1001" t="s">
        <v>233</v>
      </c>
      <c r="P7" s="1001" t="s">
        <v>234</v>
      </c>
      <c r="Q7" s="1001" t="s">
        <v>614</v>
      </c>
      <c r="R7" s="1001" t="s">
        <v>454</v>
      </c>
      <c r="S7" s="1307"/>
      <c r="T7" s="1001" t="s">
        <v>232</v>
      </c>
      <c r="U7" s="1001" t="s">
        <v>233</v>
      </c>
      <c r="V7" s="1307"/>
      <c r="W7" s="1001" t="s">
        <v>770</v>
      </c>
      <c r="X7" s="1001" t="s">
        <v>771</v>
      </c>
      <c r="Y7" s="1001" t="s">
        <v>782</v>
      </c>
      <c r="Z7" s="1307"/>
      <c r="AA7" s="1002">
        <v>3601</v>
      </c>
      <c r="AB7" s="1002" t="s">
        <v>793</v>
      </c>
      <c r="AC7" s="1307"/>
      <c r="AD7" s="1000" t="s">
        <v>856</v>
      </c>
      <c r="AE7" s="1001" t="s">
        <v>233</v>
      </c>
      <c r="AF7" s="1307"/>
      <c r="AG7" s="1001" t="s">
        <v>232</v>
      </c>
      <c r="AH7" s="1001" t="s">
        <v>233</v>
      </c>
      <c r="AI7" s="1307"/>
      <c r="AJ7" s="1001" t="s">
        <v>232</v>
      </c>
      <c r="AK7" s="1001" t="s">
        <v>231</v>
      </c>
      <c r="AL7" s="1001" t="s">
        <v>233</v>
      </c>
      <c r="AM7" s="1309"/>
      <c r="AN7" s="1001" t="s">
        <v>231</v>
      </c>
      <c r="AO7" s="1001" t="s">
        <v>233</v>
      </c>
      <c r="AP7" s="1309"/>
      <c r="AQ7" s="1001" t="s">
        <v>231</v>
      </c>
      <c r="AR7" s="1001" t="s">
        <v>233</v>
      </c>
      <c r="AS7" s="1309"/>
      <c r="AT7" s="1310"/>
      <c r="AU7" s="998"/>
    </row>
    <row r="8" spans="1:47" s="999" customFormat="1" ht="68.25" customHeight="1" x14ac:dyDescent="0.25">
      <c r="A8" s="1315"/>
      <c r="B8" s="1316"/>
      <c r="C8" s="1312"/>
      <c r="D8" s="1312"/>
      <c r="E8" s="1312"/>
      <c r="F8" s="1312"/>
      <c r="G8" s="1312"/>
      <c r="H8" s="1311"/>
      <c r="I8" s="1311"/>
      <c r="J8" s="1311"/>
      <c r="K8" s="1311"/>
      <c r="L8" s="1312"/>
      <c r="M8" s="997" t="s">
        <v>584</v>
      </c>
      <c r="N8" s="997" t="s">
        <v>585</v>
      </c>
      <c r="O8" s="997" t="s">
        <v>493</v>
      </c>
      <c r="P8" s="997" t="s">
        <v>615</v>
      </c>
      <c r="Q8" s="997" t="s">
        <v>616</v>
      </c>
      <c r="R8" s="997" t="s">
        <v>456</v>
      </c>
      <c r="S8" s="1307"/>
      <c r="T8" s="997" t="s">
        <v>585</v>
      </c>
      <c r="U8" s="997" t="s">
        <v>493</v>
      </c>
      <c r="V8" s="1307"/>
      <c r="W8" s="997" t="s">
        <v>862</v>
      </c>
      <c r="X8" s="997" t="s">
        <v>772</v>
      </c>
      <c r="Y8" s="997" t="s">
        <v>804</v>
      </c>
      <c r="Z8" s="1307"/>
      <c r="AA8" s="997" t="s">
        <v>791</v>
      </c>
      <c r="AB8" s="997" t="s">
        <v>794</v>
      </c>
      <c r="AC8" s="1307"/>
      <c r="AD8" s="997" t="s">
        <v>585</v>
      </c>
      <c r="AE8" s="997" t="s">
        <v>630</v>
      </c>
      <c r="AF8" s="1307"/>
      <c r="AG8" s="997" t="s">
        <v>492</v>
      </c>
      <c r="AH8" s="997" t="s">
        <v>494</v>
      </c>
      <c r="AI8" s="1307"/>
      <c r="AJ8" s="997" t="s">
        <v>235</v>
      </c>
      <c r="AK8" s="1000" t="s">
        <v>235</v>
      </c>
      <c r="AL8" s="1000" t="s">
        <v>236</v>
      </c>
      <c r="AM8" s="1309"/>
      <c r="AN8" s="1000" t="s">
        <v>235</v>
      </c>
      <c r="AO8" s="1000" t="s">
        <v>236</v>
      </c>
      <c r="AP8" s="1309"/>
      <c r="AQ8" s="1000" t="s">
        <v>235</v>
      </c>
      <c r="AR8" s="1000" t="s">
        <v>236</v>
      </c>
      <c r="AS8" s="1309"/>
      <c r="AT8" s="1310"/>
      <c r="AU8" s="998"/>
    </row>
    <row r="9" spans="1:47" s="313" customFormat="1" ht="18" customHeight="1" x14ac:dyDescent="0.25">
      <c r="A9" s="1022">
        <v>51</v>
      </c>
      <c r="B9" s="1023" t="s">
        <v>122</v>
      </c>
      <c r="C9" s="1024">
        <f>C10+C17+C22+C25+C28+C31+C34+C37+C39</f>
        <v>128461.6</v>
      </c>
      <c r="D9" s="347">
        <f>D10+D17+D22+D25+D28+D31+D34+D37+D39</f>
        <v>47600</v>
      </c>
      <c r="E9" s="347">
        <f>E10+E17+E22+E25+E28+E31+E34+E37+E39</f>
        <v>23650.04</v>
      </c>
      <c r="F9" s="347">
        <f>F10+F17+F22+F25+F28+F31+F34+F37+F39</f>
        <v>54832.979999999996</v>
      </c>
      <c r="G9" s="316">
        <f>+G10+G17+G22+G25+G28+G31+G34+G39</f>
        <v>254544.62000000002</v>
      </c>
      <c r="H9" s="1025">
        <f>H10+H17+H22+H25+H28+H31+H34+H37+H39</f>
        <v>107745.75000000001</v>
      </c>
      <c r="I9" s="1026">
        <f>I10+I17+I22+I25+I28+I31+I34+I37</f>
        <v>29250</v>
      </c>
      <c r="J9" s="1026">
        <f>J10+J17+J22+J25+J28+J31+J34+J37</f>
        <v>26658.38</v>
      </c>
      <c r="K9" s="1026">
        <f>K10+K17+K22+K25+K28+K31+K34+K37</f>
        <v>44656.020000000004</v>
      </c>
      <c r="L9" s="1027">
        <f>L10+L17+L22+L25+L28+L31+L34+L37+L39</f>
        <v>208310.15000000002</v>
      </c>
      <c r="M9" s="888">
        <f>M10+M17+M22+M25+M28+M31+M34+M37</f>
        <v>1238.21</v>
      </c>
      <c r="N9" s="889">
        <f>N10+N17+N22+N25+N28+N31+N34+N37+N39</f>
        <v>87671.1</v>
      </c>
      <c r="O9" s="890">
        <f>O10+O17+O22+O25+O28+O31+O34+O37</f>
        <v>16245</v>
      </c>
      <c r="P9" s="889">
        <v>0</v>
      </c>
      <c r="Q9" s="889">
        <v>0</v>
      </c>
      <c r="R9" s="889">
        <v>0</v>
      </c>
      <c r="S9" s="1028">
        <f>+M9+N9+O9+P9+R9</f>
        <v>105154.31000000001</v>
      </c>
      <c r="T9" s="889"/>
      <c r="U9" s="889"/>
      <c r="V9" s="325">
        <f>+T9+U9</f>
        <v>0</v>
      </c>
      <c r="W9" s="889"/>
      <c r="X9" s="889"/>
      <c r="Y9" s="976"/>
      <c r="Z9" s="890">
        <f>+W9+X9</f>
        <v>0</v>
      </c>
      <c r="AA9" s="889"/>
      <c r="AB9" s="889"/>
      <c r="AC9" s="889"/>
      <c r="AD9" s="889"/>
      <c r="AE9" s="889">
        <v>0</v>
      </c>
      <c r="AF9" s="888"/>
      <c r="AG9" s="888">
        <v>0</v>
      </c>
      <c r="AH9" s="888">
        <v>0</v>
      </c>
      <c r="AI9" s="325">
        <f>+AG9+AH9</f>
        <v>0</v>
      </c>
      <c r="AJ9" s="888"/>
      <c r="AK9" s="1029"/>
      <c r="AL9" s="889"/>
      <c r="AM9" s="1030"/>
      <c r="AN9" s="888"/>
      <c r="AO9" s="889"/>
      <c r="AP9" s="890"/>
      <c r="AQ9" s="1029"/>
      <c r="AR9" s="889"/>
      <c r="AS9" s="890"/>
      <c r="AT9" s="368">
        <f t="shared" ref="AT9:AT40" si="0">+L9+S9+G9+AM9+AP9+AS9+V9+AE9+AI9+AJ9</f>
        <v>568009.08000000007</v>
      </c>
      <c r="AU9" s="312"/>
    </row>
    <row r="10" spans="1:47" s="313" customFormat="1" ht="18" customHeight="1" x14ac:dyDescent="0.25">
      <c r="A10" s="235">
        <v>511</v>
      </c>
      <c r="B10" s="901" t="s">
        <v>123</v>
      </c>
      <c r="C10" s="314">
        <f t="shared" ref="C10:J10" si="1">SUM(C11:C16)</f>
        <v>91350</v>
      </c>
      <c r="D10" s="315">
        <f t="shared" si="1"/>
        <v>47600</v>
      </c>
      <c r="E10" s="315">
        <f t="shared" si="1"/>
        <v>23650.04</v>
      </c>
      <c r="F10" s="315">
        <f>SUM(F11:F16)</f>
        <v>54832.979999999996</v>
      </c>
      <c r="G10" s="316">
        <f>SUM(G11:G16)</f>
        <v>217433.02000000002</v>
      </c>
      <c r="H10" s="317">
        <f>SUM(H11:H16)</f>
        <v>77700</v>
      </c>
      <c r="I10" s="318">
        <f t="shared" si="1"/>
        <v>29250</v>
      </c>
      <c r="J10" s="318">
        <f t="shared" si="1"/>
        <v>26658.38</v>
      </c>
      <c r="K10" s="319">
        <f>SUM(K11:K21)</f>
        <v>44656.020000000004</v>
      </c>
      <c r="L10" s="320">
        <f>SUM(L11:L21)</f>
        <v>178264.40000000002</v>
      </c>
      <c r="M10" s="322">
        <f>SUM(M11:M16)</f>
        <v>0</v>
      </c>
      <c r="N10" s="322">
        <f>SUM(N11:N16)</f>
        <v>0</v>
      </c>
      <c r="O10" s="322"/>
      <c r="P10" s="322">
        <f>SUM(P11:P16)</f>
        <v>0</v>
      </c>
      <c r="Q10" s="322">
        <f>SUM(Q11:Q16)</f>
        <v>0</v>
      </c>
      <c r="R10" s="322">
        <f>SUM(R11:R16)</f>
        <v>0</v>
      </c>
      <c r="S10" s="349">
        <f t="shared" ref="S10:S16" si="2">M10+N10+O10+P10+R10</f>
        <v>0</v>
      </c>
      <c r="T10" s="322"/>
      <c r="U10" s="322"/>
      <c r="V10" s="897">
        <f t="shared" ref="V10:V73" si="3">+T10+U10</f>
        <v>0</v>
      </c>
      <c r="W10" s="322"/>
      <c r="X10" s="322"/>
      <c r="Y10" s="324"/>
      <c r="Z10" s="360">
        <f t="shared" ref="Z10:Z73" si="4">+W10+X10</f>
        <v>0</v>
      </c>
      <c r="AA10" s="322"/>
      <c r="AB10" s="322"/>
      <c r="AC10" s="322"/>
      <c r="AD10" s="322"/>
      <c r="AE10" s="322">
        <v>0</v>
      </c>
      <c r="AF10" s="321"/>
      <c r="AG10" s="321">
        <v>0</v>
      </c>
      <c r="AH10" s="321">
        <v>0</v>
      </c>
      <c r="AI10" s="325">
        <f t="shared" ref="AI10:AI73" si="5">+AG10+AH10</f>
        <v>0</v>
      </c>
      <c r="AJ10" s="321"/>
      <c r="AK10" s="326"/>
      <c r="AL10" s="322"/>
      <c r="AM10" s="327"/>
      <c r="AN10" s="321"/>
      <c r="AO10" s="322"/>
      <c r="AP10" s="328"/>
      <c r="AQ10" s="326"/>
      <c r="AR10" s="322"/>
      <c r="AS10" s="328"/>
      <c r="AT10" s="368">
        <f t="shared" si="0"/>
        <v>395697.42000000004</v>
      </c>
      <c r="AU10" s="312"/>
    </row>
    <row r="11" spans="1:47" s="311" customFormat="1" ht="18" customHeight="1" x14ac:dyDescent="0.25">
      <c r="A11" s="236" t="s">
        <v>124</v>
      </c>
      <c r="B11" s="902" t="s">
        <v>125</v>
      </c>
      <c r="C11" s="329">
        <f>'PLLA MUNICIPAL LEY SAL'!AI18</f>
        <v>46550</v>
      </c>
      <c r="D11" s="330">
        <f>'PLLA MUNICIPAL LEY SAL'!AI27</f>
        <v>46800</v>
      </c>
      <c r="E11" s="330">
        <f>'PLLA MUNICIPAL LEY SAL'!AI60</f>
        <v>22850.04</v>
      </c>
      <c r="F11" s="331">
        <f>'PLLA MUNICIPAL LEY SAL'!AI79</f>
        <v>47494.479999999996</v>
      </c>
      <c r="G11" s="332">
        <f t="shared" ref="G11:G16" si="6">SUM(C11:F11)</f>
        <v>163694.52000000002</v>
      </c>
      <c r="H11" s="333">
        <f>'PLLA MUNICIPAL LEY SAL'!X18</f>
        <v>33250</v>
      </c>
      <c r="I11" s="334">
        <f>'PLLA MUNICIPAL LEY SAL'!X27</f>
        <v>23400</v>
      </c>
      <c r="J11" s="335">
        <f>'PLLA MUNICIPAL LEY SAL'!X60</f>
        <v>22850.04</v>
      </c>
      <c r="K11" s="334">
        <f>'PLLA MUNICIPAL LEY SAL'!X79</f>
        <v>37567.520000000004</v>
      </c>
      <c r="L11" s="336">
        <f>SUM(H11:K11)</f>
        <v>117067.56000000001</v>
      </c>
      <c r="M11" s="337">
        <v>0</v>
      </c>
      <c r="N11" s="338">
        <v>0</v>
      </c>
      <c r="O11" s="338">
        <v>0</v>
      </c>
      <c r="P11" s="338">
        <v>0</v>
      </c>
      <c r="Q11" s="338">
        <v>0</v>
      </c>
      <c r="R11" s="338">
        <v>0</v>
      </c>
      <c r="S11" s="323">
        <f t="shared" si="2"/>
        <v>0</v>
      </c>
      <c r="T11" s="338"/>
      <c r="U11" s="338"/>
      <c r="V11" s="367">
        <f t="shared" si="3"/>
        <v>0</v>
      </c>
      <c r="W11" s="338"/>
      <c r="X11" s="338"/>
      <c r="Y11" s="339"/>
      <c r="Z11" s="328">
        <f t="shared" si="4"/>
        <v>0</v>
      </c>
      <c r="AA11" s="338"/>
      <c r="AB11" s="338"/>
      <c r="AC11" s="338"/>
      <c r="AD11" s="338"/>
      <c r="AE11" s="338">
        <v>0</v>
      </c>
      <c r="AF11" s="337"/>
      <c r="AG11" s="337">
        <v>0</v>
      </c>
      <c r="AH11" s="337">
        <v>0</v>
      </c>
      <c r="AI11" s="340">
        <f t="shared" si="5"/>
        <v>0</v>
      </c>
      <c r="AJ11" s="337"/>
      <c r="AK11" s="341"/>
      <c r="AL11" s="338"/>
      <c r="AM11" s="327"/>
      <c r="AN11" s="337"/>
      <c r="AO11" s="338"/>
      <c r="AP11" s="328"/>
      <c r="AQ11" s="341"/>
      <c r="AR11" s="338"/>
      <c r="AS11" s="328"/>
      <c r="AT11" s="391">
        <f>+L11+S11+G11+AM11+AP11+AS11+V11+AF11+AI11+AJ11</f>
        <v>280762.08</v>
      </c>
      <c r="AU11" s="310"/>
    </row>
    <row r="12" spans="1:47" s="313" customFormat="1" ht="18" hidden="1" customHeight="1" x14ac:dyDescent="0.25">
      <c r="A12" s="237">
        <v>51102</v>
      </c>
      <c r="B12" s="903" t="s">
        <v>126</v>
      </c>
      <c r="C12" s="342"/>
      <c r="D12" s="330"/>
      <c r="E12" s="330"/>
      <c r="F12" s="330"/>
      <c r="G12" s="332">
        <f t="shared" si="6"/>
        <v>0</v>
      </c>
      <c r="H12" s="343">
        <v>0</v>
      </c>
      <c r="I12" s="334">
        <v>0</v>
      </c>
      <c r="J12" s="334">
        <v>0</v>
      </c>
      <c r="K12" s="334">
        <v>0</v>
      </c>
      <c r="L12" s="336">
        <f t="shared" ref="L12:L23" si="7">SUM(H12:K12)</f>
        <v>0</v>
      </c>
      <c r="M12" s="337">
        <v>0</v>
      </c>
      <c r="N12" s="338">
        <v>0</v>
      </c>
      <c r="O12" s="338">
        <v>0</v>
      </c>
      <c r="P12" s="338">
        <v>0</v>
      </c>
      <c r="Q12" s="338">
        <v>0</v>
      </c>
      <c r="R12" s="338">
        <v>0</v>
      </c>
      <c r="S12" s="323">
        <f t="shared" si="2"/>
        <v>0</v>
      </c>
      <c r="T12" s="338"/>
      <c r="U12" s="338"/>
      <c r="V12" s="367">
        <f t="shared" si="3"/>
        <v>0</v>
      </c>
      <c r="W12" s="338"/>
      <c r="X12" s="338"/>
      <c r="Y12" s="339"/>
      <c r="Z12" s="328">
        <f t="shared" si="4"/>
        <v>0</v>
      </c>
      <c r="AA12" s="338"/>
      <c r="AB12" s="338"/>
      <c r="AC12" s="338"/>
      <c r="AD12" s="338"/>
      <c r="AE12" s="338">
        <v>0</v>
      </c>
      <c r="AF12" s="337"/>
      <c r="AG12" s="337">
        <v>0</v>
      </c>
      <c r="AH12" s="337">
        <v>0</v>
      </c>
      <c r="AI12" s="340">
        <f t="shared" si="5"/>
        <v>0</v>
      </c>
      <c r="AJ12" s="337"/>
      <c r="AK12" s="341"/>
      <c r="AL12" s="338"/>
      <c r="AM12" s="327"/>
      <c r="AN12" s="337"/>
      <c r="AO12" s="338"/>
      <c r="AP12" s="328"/>
      <c r="AQ12" s="341"/>
      <c r="AR12" s="338"/>
      <c r="AS12" s="328"/>
      <c r="AT12" s="391">
        <f t="shared" si="0"/>
        <v>0</v>
      </c>
      <c r="AU12" s="312"/>
    </row>
    <row r="13" spans="1:47" s="311" customFormat="1" ht="18" customHeight="1" x14ac:dyDescent="0.25">
      <c r="A13" s="237">
        <v>51103</v>
      </c>
      <c r="B13" s="902" t="s">
        <v>127</v>
      </c>
      <c r="C13" s="329">
        <v>0</v>
      </c>
      <c r="D13" s="330">
        <v>0</v>
      </c>
      <c r="E13" s="330">
        <v>0</v>
      </c>
      <c r="F13" s="330">
        <v>0</v>
      </c>
      <c r="G13" s="332">
        <f t="shared" si="6"/>
        <v>0</v>
      </c>
      <c r="H13" s="344">
        <f>'PLLA MUNICIPAL LEY SAL'!M18</f>
        <v>6650</v>
      </c>
      <c r="I13" s="334">
        <f>'PLLA MUNICIPAL LEY SAL'!M27</f>
        <v>5850</v>
      </c>
      <c r="J13" s="334">
        <f>'PLLA MUNICIPAL LEY SAL'!M60</f>
        <v>3808.34</v>
      </c>
      <c r="K13" s="334">
        <f>'PLLA MUNICIPAL LEY SAL'!M79</f>
        <v>7088.5000000000009</v>
      </c>
      <c r="L13" s="336">
        <f t="shared" si="7"/>
        <v>23396.84</v>
      </c>
      <c r="M13" s="337">
        <v>0</v>
      </c>
      <c r="N13" s="338">
        <v>0</v>
      </c>
      <c r="O13" s="338">
        <v>0</v>
      </c>
      <c r="P13" s="338">
        <v>0</v>
      </c>
      <c r="Q13" s="338">
        <v>0</v>
      </c>
      <c r="R13" s="338">
        <v>0</v>
      </c>
      <c r="S13" s="323">
        <f t="shared" si="2"/>
        <v>0</v>
      </c>
      <c r="T13" s="338"/>
      <c r="U13" s="338"/>
      <c r="V13" s="367">
        <f t="shared" si="3"/>
        <v>0</v>
      </c>
      <c r="W13" s="338"/>
      <c r="X13" s="338"/>
      <c r="Y13" s="339"/>
      <c r="Z13" s="328">
        <f t="shared" si="4"/>
        <v>0</v>
      </c>
      <c r="AA13" s="338"/>
      <c r="AB13" s="338"/>
      <c r="AC13" s="338"/>
      <c r="AD13" s="338"/>
      <c r="AE13" s="338">
        <v>0</v>
      </c>
      <c r="AF13" s="337"/>
      <c r="AG13" s="337">
        <v>0</v>
      </c>
      <c r="AH13" s="337">
        <v>0</v>
      </c>
      <c r="AI13" s="340">
        <f t="shared" si="5"/>
        <v>0</v>
      </c>
      <c r="AJ13" s="337"/>
      <c r="AK13" s="341"/>
      <c r="AL13" s="338"/>
      <c r="AM13" s="327"/>
      <c r="AN13" s="337"/>
      <c r="AO13" s="338"/>
      <c r="AP13" s="328"/>
      <c r="AQ13" s="341"/>
      <c r="AR13" s="338"/>
      <c r="AS13" s="328"/>
      <c r="AT13" s="391">
        <f t="shared" si="0"/>
        <v>23396.84</v>
      </c>
      <c r="AU13" s="310"/>
    </row>
    <row r="14" spans="1:47" s="313" customFormat="1" ht="18" hidden="1" customHeight="1" x14ac:dyDescent="0.25">
      <c r="A14" s="237">
        <v>51104</v>
      </c>
      <c r="B14" s="902" t="s">
        <v>128</v>
      </c>
      <c r="C14" s="345"/>
      <c r="D14" s="330"/>
      <c r="E14" s="330"/>
      <c r="F14" s="330"/>
      <c r="G14" s="346">
        <f t="shared" si="6"/>
        <v>0</v>
      </c>
      <c r="H14" s="344"/>
      <c r="I14" s="334"/>
      <c r="J14" s="334"/>
      <c r="K14" s="334"/>
      <c r="L14" s="336">
        <f t="shared" si="7"/>
        <v>0</v>
      </c>
      <c r="M14" s="337">
        <v>0</v>
      </c>
      <c r="N14" s="322">
        <v>0</v>
      </c>
      <c r="O14" s="322">
        <v>0</v>
      </c>
      <c r="P14" s="322">
        <v>0</v>
      </c>
      <c r="Q14" s="322">
        <v>0</v>
      </c>
      <c r="R14" s="322">
        <v>0</v>
      </c>
      <c r="S14" s="323">
        <f t="shared" si="2"/>
        <v>0</v>
      </c>
      <c r="T14" s="322"/>
      <c r="U14" s="322"/>
      <c r="V14" s="897">
        <f t="shared" si="3"/>
        <v>0</v>
      </c>
      <c r="W14" s="322"/>
      <c r="X14" s="322"/>
      <c r="Y14" s="324"/>
      <c r="Z14" s="360">
        <f t="shared" si="4"/>
        <v>0</v>
      </c>
      <c r="AA14" s="322"/>
      <c r="AB14" s="322"/>
      <c r="AC14" s="322"/>
      <c r="AD14" s="322"/>
      <c r="AE14" s="322">
        <v>0</v>
      </c>
      <c r="AF14" s="321"/>
      <c r="AG14" s="321">
        <v>0</v>
      </c>
      <c r="AH14" s="321">
        <v>0</v>
      </c>
      <c r="AI14" s="340">
        <f t="shared" si="5"/>
        <v>0</v>
      </c>
      <c r="AJ14" s="321"/>
      <c r="AK14" s="341"/>
      <c r="AL14" s="338"/>
      <c r="AM14" s="327"/>
      <c r="AN14" s="337"/>
      <c r="AO14" s="338"/>
      <c r="AP14" s="328"/>
      <c r="AQ14" s="341"/>
      <c r="AR14" s="338"/>
      <c r="AS14" s="328"/>
      <c r="AT14" s="391">
        <f t="shared" si="0"/>
        <v>0</v>
      </c>
      <c r="AU14" s="312"/>
    </row>
    <row r="15" spans="1:47" s="311" customFormat="1" ht="18" customHeight="1" x14ac:dyDescent="0.25">
      <c r="A15" s="236" t="s">
        <v>129</v>
      </c>
      <c r="B15" s="902" t="s">
        <v>130</v>
      </c>
      <c r="C15" s="345">
        <f>+'PLLA DIETAS'!E19/2</f>
        <v>37800</v>
      </c>
      <c r="D15" s="330">
        <v>0</v>
      </c>
      <c r="E15" s="330">
        <v>0</v>
      </c>
      <c r="F15" s="330">
        <v>0</v>
      </c>
      <c r="G15" s="346">
        <f t="shared" si="6"/>
        <v>37800</v>
      </c>
      <c r="H15" s="344">
        <f>'AG1'!C18</f>
        <v>37800</v>
      </c>
      <c r="I15" s="334">
        <v>0</v>
      </c>
      <c r="J15" s="334">
        <v>0</v>
      </c>
      <c r="K15" s="334">
        <v>0</v>
      </c>
      <c r="L15" s="336">
        <f t="shared" si="7"/>
        <v>37800</v>
      </c>
      <c r="M15" s="337">
        <v>0</v>
      </c>
      <c r="N15" s="338">
        <v>0</v>
      </c>
      <c r="O15" s="338">
        <v>0</v>
      </c>
      <c r="P15" s="338">
        <v>0</v>
      </c>
      <c r="Q15" s="338">
        <v>0</v>
      </c>
      <c r="R15" s="338">
        <v>0</v>
      </c>
      <c r="S15" s="323">
        <f t="shared" si="2"/>
        <v>0</v>
      </c>
      <c r="T15" s="338"/>
      <c r="U15" s="338"/>
      <c r="V15" s="367">
        <f t="shared" si="3"/>
        <v>0</v>
      </c>
      <c r="W15" s="338"/>
      <c r="X15" s="338"/>
      <c r="Y15" s="339"/>
      <c r="Z15" s="328">
        <f t="shared" si="4"/>
        <v>0</v>
      </c>
      <c r="AA15" s="338"/>
      <c r="AB15" s="338"/>
      <c r="AC15" s="338"/>
      <c r="AD15" s="338"/>
      <c r="AE15" s="338">
        <v>0</v>
      </c>
      <c r="AF15" s="337"/>
      <c r="AG15" s="337">
        <v>0</v>
      </c>
      <c r="AH15" s="337">
        <v>0</v>
      </c>
      <c r="AI15" s="340">
        <f t="shared" si="5"/>
        <v>0</v>
      </c>
      <c r="AJ15" s="337"/>
      <c r="AK15" s="341"/>
      <c r="AL15" s="338"/>
      <c r="AM15" s="327"/>
      <c r="AN15" s="337"/>
      <c r="AO15" s="338"/>
      <c r="AP15" s="328"/>
      <c r="AQ15" s="341"/>
      <c r="AR15" s="338"/>
      <c r="AS15" s="328"/>
      <c r="AT15" s="391">
        <f t="shared" si="0"/>
        <v>75600</v>
      </c>
      <c r="AU15" s="310"/>
    </row>
    <row r="16" spans="1:47" s="313" customFormat="1" ht="18" customHeight="1" x14ac:dyDescent="0.25">
      <c r="A16" s="236" t="s">
        <v>131</v>
      </c>
      <c r="B16" s="902" t="s">
        <v>132</v>
      </c>
      <c r="C16" s="345">
        <f>'PLLA MUNICIPAL LEY SAL'!K18+'PLLA DIETAS'!D18</f>
        <v>7000</v>
      </c>
      <c r="D16" s="330">
        <f>'PLLA MUNICIPAL LEY SAL'!K27</f>
        <v>800</v>
      </c>
      <c r="E16" s="330">
        <f>'PLLA MUNICIPAL LEY SAL'!K60</f>
        <v>800</v>
      </c>
      <c r="F16" s="330">
        <f>'PLLA MUNICIPAL LEY SAL'!AJ79+'PLLA MUNICIPAL LEY SAL'!AK79</f>
        <v>7338.5</v>
      </c>
      <c r="G16" s="346">
        <f t="shared" si="6"/>
        <v>15938.5</v>
      </c>
      <c r="H16" s="344">
        <f>'PLLA MUNICIPAL LEY SAL'!Y18+'PLLA MUNICIPAL LEY SAL'!Z18</f>
        <v>0</v>
      </c>
      <c r="I16" s="334">
        <f>'PLLA MUNICIPAL LEY SAL'!Y27+'PLLA MUNICIPAL LEY SAL'!Z27</f>
        <v>0</v>
      </c>
      <c r="J16" s="334">
        <f>'PLLA MUNICIPAL LEY SAL'!Y60+'PLLA MUNICIPAL LEY SAL'!Z60</f>
        <v>0</v>
      </c>
      <c r="K16" s="330">
        <f>'PLLA MUNICIPAL LEY SAL'!Y82+'PLLA MUNICIPAL LEY SAL'!Z82</f>
        <v>0</v>
      </c>
      <c r="L16" s="336">
        <f>SUM(H16:K16)</f>
        <v>0</v>
      </c>
      <c r="M16" s="337">
        <v>0</v>
      </c>
      <c r="N16" s="322">
        <v>0</v>
      </c>
      <c r="O16" s="338">
        <v>0</v>
      </c>
      <c r="P16" s="338">
        <v>0</v>
      </c>
      <c r="Q16" s="338">
        <v>0</v>
      </c>
      <c r="R16" s="338">
        <v>0</v>
      </c>
      <c r="S16" s="323">
        <f t="shared" si="2"/>
        <v>0</v>
      </c>
      <c r="T16" s="338"/>
      <c r="U16" s="338"/>
      <c r="V16" s="367">
        <f t="shared" si="3"/>
        <v>0</v>
      </c>
      <c r="W16" s="338"/>
      <c r="X16" s="338"/>
      <c r="Y16" s="339"/>
      <c r="Z16" s="328">
        <f t="shared" si="4"/>
        <v>0</v>
      </c>
      <c r="AA16" s="338"/>
      <c r="AB16" s="338"/>
      <c r="AC16" s="338"/>
      <c r="AD16" s="338"/>
      <c r="AE16" s="338">
        <v>0</v>
      </c>
      <c r="AF16" s="337"/>
      <c r="AG16" s="337">
        <v>0</v>
      </c>
      <c r="AH16" s="337">
        <v>0</v>
      </c>
      <c r="AI16" s="340">
        <f t="shared" si="5"/>
        <v>0</v>
      </c>
      <c r="AJ16" s="321"/>
      <c r="AK16" s="341"/>
      <c r="AL16" s="338"/>
      <c r="AM16" s="327"/>
      <c r="AN16" s="337"/>
      <c r="AO16" s="338"/>
      <c r="AP16" s="328"/>
      <c r="AQ16" s="341"/>
      <c r="AR16" s="338"/>
      <c r="AS16" s="328"/>
      <c r="AT16" s="391">
        <f t="shared" si="0"/>
        <v>15938.5</v>
      </c>
      <c r="AU16" s="312"/>
    </row>
    <row r="17" spans="1:47" s="311" customFormat="1" ht="18" customHeight="1" x14ac:dyDescent="0.25">
      <c r="A17" s="238" t="s">
        <v>133</v>
      </c>
      <c r="B17" s="904" t="s">
        <v>134</v>
      </c>
      <c r="C17" s="314">
        <f t="shared" ref="C17:K17" si="8">SUM(C18:C21)</f>
        <v>0</v>
      </c>
      <c r="D17" s="347">
        <f t="shared" si="8"/>
        <v>0</v>
      </c>
      <c r="E17" s="347">
        <f t="shared" si="8"/>
        <v>0</v>
      </c>
      <c r="F17" s="347">
        <f t="shared" si="8"/>
        <v>0</v>
      </c>
      <c r="G17" s="348">
        <f t="shared" si="8"/>
        <v>0</v>
      </c>
      <c r="H17" s="343">
        <f t="shared" si="8"/>
        <v>0</v>
      </c>
      <c r="I17" s="318">
        <f t="shared" si="8"/>
        <v>0</v>
      </c>
      <c r="J17" s="318">
        <f t="shared" si="8"/>
        <v>0</v>
      </c>
      <c r="K17" s="318">
        <f t="shared" si="8"/>
        <v>0</v>
      </c>
      <c r="L17" s="336">
        <f t="shared" si="7"/>
        <v>0</v>
      </c>
      <c r="M17" s="321">
        <f>M18</f>
        <v>1238.21</v>
      </c>
      <c r="N17" s="321">
        <f>N18</f>
        <v>87671.1</v>
      </c>
      <c r="O17" s="321">
        <f>SUM(O19)</f>
        <v>16245</v>
      </c>
      <c r="P17" s="321">
        <f>P19</f>
        <v>0</v>
      </c>
      <c r="Q17" s="321">
        <f>Q19</f>
        <v>0</v>
      </c>
      <c r="R17" s="321">
        <f>R19</f>
        <v>0</v>
      </c>
      <c r="S17" s="349">
        <f>M17+N17+O17+P17+R17</f>
        <v>105154.31000000001</v>
      </c>
      <c r="T17" s="321"/>
      <c r="U17" s="321"/>
      <c r="V17" s="897">
        <f t="shared" si="3"/>
        <v>0</v>
      </c>
      <c r="W17" s="321"/>
      <c r="X17" s="321"/>
      <c r="Y17" s="324"/>
      <c r="Z17" s="360">
        <f t="shared" si="4"/>
        <v>0</v>
      </c>
      <c r="AA17" s="322"/>
      <c r="AB17" s="322"/>
      <c r="AC17" s="322"/>
      <c r="AD17" s="322"/>
      <c r="AE17" s="338">
        <v>0</v>
      </c>
      <c r="AF17" s="337"/>
      <c r="AG17" s="337">
        <v>0</v>
      </c>
      <c r="AH17" s="337">
        <v>0</v>
      </c>
      <c r="AI17" s="325">
        <f t="shared" si="5"/>
        <v>0</v>
      </c>
      <c r="AJ17" s="337"/>
      <c r="AK17" s="341"/>
      <c r="AL17" s="338"/>
      <c r="AM17" s="327"/>
      <c r="AN17" s="337"/>
      <c r="AO17" s="338"/>
      <c r="AP17" s="328"/>
      <c r="AQ17" s="341"/>
      <c r="AR17" s="338"/>
      <c r="AS17" s="328"/>
      <c r="AT17" s="368">
        <f t="shared" si="0"/>
        <v>105154.31000000001</v>
      </c>
      <c r="AU17" s="310"/>
    </row>
    <row r="18" spans="1:47" s="311" customFormat="1" ht="18" customHeight="1" x14ac:dyDescent="0.25">
      <c r="A18" s="236" t="s">
        <v>135</v>
      </c>
      <c r="B18" s="902" t="s">
        <v>125</v>
      </c>
      <c r="C18" s="345"/>
      <c r="D18" s="330"/>
      <c r="E18" s="330"/>
      <c r="F18" s="330"/>
      <c r="G18" s="346">
        <f>SUM(C18:F18)</f>
        <v>0</v>
      </c>
      <c r="H18" s="344"/>
      <c r="I18" s="334"/>
      <c r="J18" s="334"/>
      <c r="K18" s="334"/>
      <c r="L18" s="336">
        <f t="shared" si="7"/>
        <v>0</v>
      </c>
      <c r="M18" s="337">
        <f>'AG3'!E27</f>
        <v>1238.21</v>
      </c>
      <c r="N18" s="338">
        <f>'AG3'!E52+'AG3'!E92+'AG3'!E98+'AG3'!E106+'AG3'!E121+'AG3'!E144</f>
        <v>87671.1</v>
      </c>
      <c r="P18" s="338">
        <v>0</v>
      </c>
      <c r="Q18" s="338">
        <v>0</v>
      </c>
      <c r="R18" s="338">
        <v>0</v>
      </c>
      <c r="S18" s="323">
        <f>SUM(M18:R18)</f>
        <v>88909.310000000012</v>
      </c>
      <c r="T18" s="338"/>
      <c r="U18" s="338"/>
      <c r="V18" s="367">
        <f t="shared" si="3"/>
        <v>0</v>
      </c>
      <c r="W18" s="338"/>
      <c r="X18" s="338"/>
      <c r="Y18" s="339"/>
      <c r="Z18" s="328">
        <f t="shared" si="4"/>
        <v>0</v>
      </c>
      <c r="AA18" s="338"/>
      <c r="AB18" s="338"/>
      <c r="AC18" s="338"/>
      <c r="AD18" s="338"/>
      <c r="AE18" s="338">
        <v>0</v>
      </c>
      <c r="AF18" s="337"/>
      <c r="AG18" s="337">
        <v>0</v>
      </c>
      <c r="AH18" s="337">
        <v>0</v>
      </c>
      <c r="AI18" s="325">
        <f t="shared" si="5"/>
        <v>0</v>
      </c>
      <c r="AJ18" s="337"/>
      <c r="AK18" s="341"/>
      <c r="AL18" s="338"/>
      <c r="AM18" s="327"/>
      <c r="AN18" s="337"/>
      <c r="AO18" s="338"/>
      <c r="AP18" s="328"/>
      <c r="AQ18" s="341"/>
      <c r="AR18" s="338"/>
      <c r="AS18" s="328"/>
      <c r="AT18" s="391">
        <f t="shared" si="0"/>
        <v>88909.310000000012</v>
      </c>
      <c r="AU18" s="310"/>
    </row>
    <row r="19" spans="1:47" s="311" customFormat="1" ht="18" customHeight="1" x14ac:dyDescent="0.25">
      <c r="A19" s="237">
        <v>51202</v>
      </c>
      <c r="B19" s="903" t="s">
        <v>126</v>
      </c>
      <c r="C19" s="345">
        <v>0</v>
      </c>
      <c r="D19" s="330">
        <v>0</v>
      </c>
      <c r="E19" s="330">
        <v>0</v>
      </c>
      <c r="F19" s="330">
        <v>0</v>
      </c>
      <c r="G19" s="346">
        <v>0</v>
      </c>
      <c r="H19" s="344">
        <v>0</v>
      </c>
      <c r="I19" s="334">
        <v>0</v>
      </c>
      <c r="J19" s="334">
        <v>0</v>
      </c>
      <c r="K19" s="334">
        <v>0</v>
      </c>
      <c r="L19" s="336">
        <f t="shared" si="7"/>
        <v>0</v>
      </c>
      <c r="M19" s="337">
        <v>0</v>
      </c>
      <c r="N19" s="338"/>
      <c r="O19" s="338">
        <f>'AG4'!E35</f>
        <v>16245</v>
      </c>
      <c r="P19" s="338">
        <v>0</v>
      </c>
      <c r="Q19" s="338">
        <v>0</v>
      </c>
      <c r="R19" s="338">
        <v>0</v>
      </c>
      <c r="S19" s="323">
        <f>SUM(M19:R19)</f>
        <v>16245</v>
      </c>
      <c r="T19" s="338"/>
      <c r="U19" s="338"/>
      <c r="V19" s="367">
        <f t="shared" si="3"/>
        <v>0</v>
      </c>
      <c r="W19" s="338"/>
      <c r="X19" s="338"/>
      <c r="Y19" s="339"/>
      <c r="Z19" s="328">
        <f t="shared" si="4"/>
        <v>0</v>
      </c>
      <c r="AA19" s="338"/>
      <c r="AB19" s="338"/>
      <c r="AC19" s="338"/>
      <c r="AD19" s="338"/>
      <c r="AE19" s="338">
        <v>0</v>
      </c>
      <c r="AF19" s="337"/>
      <c r="AG19" s="337">
        <v>0</v>
      </c>
      <c r="AH19" s="337">
        <v>0</v>
      </c>
      <c r="AI19" s="340">
        <f t="shared" si="5"/>
        <v>0</v>
      </c>
      <c r="AJ19" s="337"/>
      <c r="AK19" s="341"/>
      <c r="AL19" s="338"/>
      <c r="AM19" s="327"/>
      <c r="AN19" s="337"/>
      <c r="AO19" s="338"/>
      <c r="AP19" s="328"/>
      <c r="AQ19" s="341"/>
      <c r="AR19" s="338"/>
      <c r="AS19" s="328"/>
      <c r="AT19" s="391">
        <f t="shared" si="0"/>
        <v>16245</v>
      </c>
      <c r="AU19" s="310"/>
    </row>
    <row r="20" spans="1:47" s="313" customFormat="1" ht="18" hidden="1" customHeight="1" x14ac:dyDescent="0.25">
      <c r="A20" s="236" t="s">
        <v>137</v>
      </c>
      <c r="B20" s="902" t="s">
        <v>127</v>
      </c>
      <c r="C20" s="345"/>
      <c r="D20" s="330"/>
      <c r="E20" s="330"/>
      <c r="F20" s="330"/>
      <c r="G20" s="346"/>
      <c r="H20" s="344"/>
      <c r="I20" s="334"/>
      <c r="J20" s="334"/>
      <c r="K20" s="334"/>
      <c r="L20" s="336">
        <f t="shared" si="7"/>
        <v>0</v>
      </c>
      <c r="M20" s="321">
        <v>0</v>
      </c>
      <c r="N20" s="322">
        <v>0</v>
      </c>
      <c r="O20" s="322">
        <v>0</v>
      </c>
      <c r="P20" s="338">
        <v>0</v>
      </c>
      <c r="Q20" s="322">
        <v>0</v>
      </c>
      <c r="R20" s="322">
        <v>0</v>
      </c>
      <c r="S20" s="323">
        <f t="shared" ref="S20:S23" si="9">SUM(M20:R20)</f>
        <v>0</v>
      </c>
      <c r="T20" s="322"/>
      <c r="U20" s="322"/>
      <c r="V20" s="897">
        <f t="shared" si="3"/>
        <v>0</v>
      </c>
      <c r="W20" s="322"/>
      <c r="X20" s="322"/>
      <c r="Y20" s="324"/>
      <c r="Z20" s="360">
        <f t="shared" si="4"/>
        <v>0</v>
      </c>
      <c r="AA20" s="322"/>
      <c r="AB20" s="322"/>
      <c r="AC20" s="322"/>
      <c r="AD20" s="322"/>
      <c r="AE20" s="322">
        <v>0</v>
      </c>
      <c r="AF20" s="321"/>
      <c r="AG20" s="321">
        <v>0</v>
      </c>
      <c r="AH20" s="321">
        <v>0</v>
      </c>
      <c r="AI20" s="325">
        <f t="shared" si="5"/>
        <v>0</v>
      </c>
      <c r="AJ20" s="321"/>
      <c r="AK20" s="341"/>
      <c r="AL20" s="338"/>
      <c r="AM20" s="327"/>
      <c r="AN20" s="337"/>
      <c r="AO20" s="338"/>
      <c r="AP20" s="328"/>
      <c r="AQ20" s="341"/>
      <c r="AR20" s="338"/>
      <c r="AS20" s="328"/>
      <c r="AT20" s="368">
        <f t="shared" si="0"/>
        <v>0</v>
      </c>
      <c r="AU20" s="312"/>
    </row>
    <row r="21" spans="1:47" s="313" customFormat="1" ht="18" hidden="1" customHeight="1" x14ac:dyDescent="0.25">
      <c r="A21" s="236" t="s">
        <v>138</v>
      </c>
      <c r="B21" s="902" t="s">
        <v>132</v>
      </c>
      <c r="C21" s="345"/>
      <c r="D21" s="330"/>
      <c r="E21" s="330"/>
      <c r="F21" s="330"/>
      <c r="G21" s="346"/>
      <c r="H21" s="344"/>
      <c r="I21" s="334"/>
      <c r="J21" s="334"/>
      <c r="K21" s="334"/>
      <c r="L21" s="336">
        <f t="shared" si="7"/>
        <v>0</v>
      </c>
      <c r="M21" s="321">
        <v>0</v>
      </c>
      <c r="N21" s="322">
        <v>0</v>
      </c>
      <c r="O21" s="322">
        <v>0</v>
      </c>
      <c r="P21" s="338">
        <v>0</v>
      </c>
      <c r="Q21" s="322">
        <v>0</v>
      </c>
      <c r="R21" s="322">
        <v>0</v>
      </c>
      <c r="S21" s="323">
        <f t="shared" si="9"/>
        <v>0</v>
      </c>
      <c r="T21" s="322"/>
      <c r="U21" s="322"/>
      <c r="V21" s="897">
        <f t="shared" si="3"/>
        <v>0</v>
      </c>
      <c r="W21" s="322"/>
      <c r="X21" s="322"/>
      <c r="Y21" s="324"/>
      <c r="Z21" s="360">
        <f t="shared" si="4"/>
        <v>0</v>
      </c>
      <c r="AA21" s="322"/>
      <c r="AB21" s="322"/>
      <c r="AC21" s="322"/>
      <c r="AD21" s="322"/>
      <c r="AE21" s="322">
        <v>0</v>
      </c>
      <c r="AF21" s="321"/>
      <c r="AG21" s="321">
        <v>0</v>
      </c>
      <c r="AH21" s="321">
        <v>0</v>
      </c>
      <c r="AI21" s="325">
        <f t="shared" si="5"/>
        <v>0</v>
      </c>
      <c r="AJ21" s="321"/>
      <c r="AK21" s="341"/>
      <c r="AL21" s="338"/>
      <c r="AM21" s="327"/>
      <c r="AN21" s="337"/>
      <c r="AO21" s="338"/>
      <c r="AP21" s="328"/>
      <c r="AQ21" s="341"/>
      <c r="AR21" s="338"/>
      <c r="AS21" s="328"/>
      <c r="AT21" s="368">
        <f t="shared" si="0"/>
        <v>0</v>
      </c>
      <c r="AU21" s="312"/>
    </row>
    <row r="22" spans="1:47" s="311" customFormat="1" ht="18" customHeight="1" x14ac:dyDescent="0.25">
      <c r="A22" s="238" t="s">
        <v>139</v>
      </c>
      <c r="B22" s="904" t="s">
        <v>140</v>
      </c>
      <c r="C22" s="314">
        <f t="shared" ref="C22:K22" si="10">SUM(C23:C24)</f>
        <v>0</v>
      </c>
      <c r="D22" s="347">
        <f t="shared" si="10"/>
        <v>0</v>
      </c>
      <c r="E22" s="347">
        <f t="shared" si="10"/>
        <v>0</v>
      </c>
      <c r="F22" s="347">
        <f t="shared" si="10"/>
        <v>0</v>
      </c>
      <c r="G22" s="348">
        <f>SUM(G23:G24)</f>
        <v>0</v>
      </c>
      <c r="H22" s="343">
        <f t="shared" si="10"/>
        <v>0</v>
      </c>
      <c r="I22" s="318">
        <f t="shared" si="10"/>
        <v>0</v>
      </c>
      <c r="J22" s="318">
        <f t="shared" si="10"/>
        <v>0</v>
      </c>
      <c r="K22" s="318">
        <f t="shared" si="10"/>
        <v>0</v>
      </c>
      <c r="L22" s="320">
        <f t="shared" si="7"/>
        <v>0</v>
      </c>
      <c r="M22" s="337">
        <v>0</v>
      </c>
      <c r="N22" s="338"/>
      <c r="O22" s="338">
        <v>0</v>
      </c>
      <c r="P22" s="338">
        <v>0</v>
      </c>
      <c r="Q22" s="338">
        <v>0</v>
      </c>
      <c r="R22" s="338">
        <v>0</v>
      </c>
      <c r="S22" s="323">
        <f t="shared" si="9"/>
        <v>0</v>
      </c>
      <c r="T22" s="338"/>
      <c r="U22" s="338"/>
      <c r="V22" s="367">
        <f t="shared" si="3"/>
        <v>0</v>
      </c>
      <c r="W22" s="338"/>
      <c r="X22" s="338"/>
      <c r="Y22" s="339"/>
      <c r="Z22" s="328">
        <f t="shared" si="4"/>
        <v>0</v>
      </c>
      <c r="AA22" s="338"/>
      <c r="AB22" s="338"/>
      <c r="AC22" s="338"/>
      <c r="AD22" s="338"/>
      <c r="AE22" s="338">
        <v>0</v>
      </c>
      <c r="AF22" s="337"/>
      <c r="AG22" s="337">
        <v>0</v>
      </c>
      <c r="AH22" s="337">
        <v>0</v>
      </c>
      <c r="AI22" s="325">
        <f t="shared" si="5"/>
        <v>0</v>
      </c>
      <c r="AJ22" s="337"/>
      <c r="AK22" s="341"/>
      <c r="AL22" s="338"/>
      <c r="AM22" s="327"/>
      <c r="AN22" s="337"/>
      <c r="AO22" s="338"/>
      <c r="AP22" s="328"/>
      <c r="AQ22" s="341"/>
      <c r="AR22" s="338"/>
      <c r="AS22" s="328"/>
      <c r="AT22" s="368">
        <f>+L22+S22+G22+AM22+AP22+AS22+V22+AE22+AI22+AJ22</f>
        <v>0</v>
      </c>
      <c r="AU22" s="310"/>
    </row>
    <row r="23" spans="1:47" s="311" customFormat="1" ht="18" customHeight="1" x14ac:dyDescent="0.25">
      <c r="A23" s="237">
        <v>51301</v>
      </c>
      <c r="B23" s="903" t="s">
        <v>141</v>
      </c>
      <c r="C23" s="345">
        <v>0</v>
      </c>
      <c r="D23" s="330">
        <v>0</v>
      </c>
      <c r="E23" s="330">
        <v>0</v>
      </c>
      <c r="F23" s="330">
        <f>'AG1'!D26</f>
        <v>0</v>
      </c>
      <c r="G23" s="346">
        <f>C23+D23+E23+F23</f>
        <v>0</v>
      </c>
      <c r="H23" s="344">
        <v>0</v>
      </c>
      <c r="I23" s="334">
        <v>0</v>
      </c>
      <c r="J23" s="334">
        <v>0</v>
      </c>
      <c r="K23" s="334">
        <f>'AG1'!C26</f>
        <v>0</v>
      </c>
      <c r="L23" s="336">
        <f t="shared" si="7"/>
        <v>0</v>
      </c>
      <c r="M23" s="337">
        <v>0</v>
      </c>
      <c r="N23" s="338">
        <v>0</v>
      </c>
      <c r="O23" s="338">
        <v>0</v>
      </c>
      <c r="P23" s="338">
        <v>0</v>
      </c>
      <c r="Q23" s="338">
        <v>0</v>
      </c>
      <c r="R23" s="338">
        <v>0</v>
      </c>
      <c r="S23" s="323">
        <f t="shared" si="9"/>
        <v>0</v>
      </c>
      <c r="T23" s="338"/>
      <c r="U23" s="338"/>
      <c r="V23" s="367">
        <f t="shared" si="3"/>
        <v>0</v>
      </c>
      <c r="W23" s="338"/>
      <c r="X23" s="338"/>
      <c r="Y23" s="339"/>
      <c r="Z23" s="328">
        <f t="shared" si="4"/>
        <v>0</v>
      </c>
      <c r="AA23" s="338"/>
      <c r="AB23" s="338"/>
      <c r="AC23" s="338"/>
      <c r="AD23" s="338"/>
      <c r="AE23" s="338">
        <v>0</v>
      </c>
      <c r="AF23" s="337"/>
      <c r="AG23" s="337">
        <v>0</v>
      </c>
      <c r="AH23" s="337">
        <v>0</v>
      </c>
      <c r="AI23" s="340">
        <f t="shared" si="5"/>
        <v>0</v>
      </c>
      <c r="AJ23" s="337"/>
      <c r="AK23" s="341"/>
      <c r="AL23" s="338"/>
      <c r="AM23" s="327"/>
      <c r="AN23" s="337"/>
      <c r="AO23" s="338"/>
      <c r="AP23" s="328"/>
      <c r="AQ23" s="341"/>
      <c r="AR23" s="338"/>
      <c r="AS23" s="328"/>
      <c r="AT23" s="391">
        <f t="shared" si="0"/>
        <v>0</v>
      </c>
      <c r="AU23" s="310"/>
    </row>
    <row r="24" spans="1:47" s="313" customFormat="1" ht="18" hidden="1" customHeight="1" x14ac:dyDescent="0.25">
      <c r="A24" s="237">
        <v>51302</v>
      </c>
      <c r="B24" s="903" t="s">
        <v>142</v>
      </c>
      <c r="C24" s="345"/>
      <c r="D24" s="330"/>
      <c r="E24" s="330"/>
      <c r="F24" s="330"/>
      <c r="G24" s="346"/>
      <c r="H24" s="344"/>
      <c r="I24" s="334"/>
      <c r="J24" s="334"/>
      <c r="K24" s="334"/>
      <c r="L24" s="336"/>
      <c r="M24" s="337">
        <v>0</v>
      </c>
      <c r="N24" s="338">
        <v>0</v>
      </c>
      <c r="O24" s="338">
        <v>0</v>
      </c>
      <c r="P24" s="338">
        <v>0</v>
      </c>
      <c r="Q24" s="338">
        <v>0</v>
      </c>
      <c r="R24" s="338">
        <v>0</v>
      </c>
      <c r="S24" s="323">
        <f>M24+N24+O24+P24</f>
        <v>0</v>
      </c>
      <c r="T24" s="338"/>
      <c r="U24" s="338"/>
      <c r="V24" s="367">
        <f t="shared" si="3"/>
        <v>0</v>
      </c>
      <c r="W24" s="338"/>
      <c r="X24" s="338"/>
      <c r="Y24" s="339"/>
      <c r="Z24" s="328">
        <f t="shared" si="4"/>
        <v>0</v>
      </c>
      <c r="AA24" s="338"/>
      <c r="AB24" s="338"/>
      <c r="AC24" s="338"/>
      <c r="AD24" s="338"/>
      <c r="AE24" s="338">
        <v>0</v>
      </c>
      <c r="AF24" s="337"/>
      <c r="AG24" s="337">
        <v>0</v>
      </c>
      <c r="AH24" s="337">
        <v>0</v>
      </c>
      <c r="AI24" s="340">
        <f t="shared" si="5"/>
        <v>0</v>
      </c>
      <c r="AJ24" s="337"/>
      <c r="AK24" s="341"/>
      <c r="AL24" s="338"/>
      <c r="AM24" s="327"/>
      <c r="AN24" s="337"/>
      <c r="AO24" s="338"/>
      <c r="AP24" s="328"/>
      <c r="AQ24" s="341"/>
      <c r="AR24" s="338"/>
      <c r="AS24" s="328"/>
      <c r="AT24" s="368">
        <f t="shared" si="0"/>
        <v>0</v>
      </c>
      <c r="AU24" s="312"/>
    </row>
    <row r="25" spans="1:47" s="311" customFormat="1" ht="18" customHeight="1" x14ac:dyDescent="0.25">
      <c r="A25" s="235">
        <v>514</v>
      </c>
      <c r="B25" s="905" t="s">
        <v>143</v>
      </c>
      <c r="C25" s="314">
        <f t="shared" ref="C25:L25" si="11">SUM(C26:C27)</f>
        <v>14504.48</v>
      </c>
      <c r="D25" s="347">
        <f t="shared" si="11"/>
        <v>0</v>
      </c>
      <c r="E25" s="347">
        <f t="shared" si="11"/>
        <v>0</v>
      </c>
      <c r="F25" s="347">
        <f t="shared" si="11"/>
        <v>0</v>
      </c>
      <c r="G25" s="348">
        <f>SUM(G26:G27)</f>
        <v>14504.48</v>
      </c>
      <c r="H25" s="343">
        <f t="shared" si="11"/>
        <v>11096.35</v>
      </c>
      <c r="I25" s="318">
        <f t="shared" si="11"/>
        <v>0</v>
      </c>
      <c r="J25" s="318">
        <f t="shared" si="11"/>
        <v>0</v>
      </c>
      <c r="K25" s="318">
        <f t="shared" si="11"/>
        <v>0</v>
      </c>
      <c r="L25" s="320">
        <f t="shared" si="11"/>
        <v>11096.35</v>
      </c>
      <c r="M25" s="337">
        <v>0</v>
      </c>
      <c r="N25" s="338">
        <v>0</v>
      </c>
      <c r="O25" s="338">
        <v>0</v>
      </c>
      <c r="P25" s="338">
        <v>0</v>
      </c>
      <c r="Q25" s="338">
        <v>0</v>
      </c>
      <c r="R25" s="338">
        <v>0</v>
      </c>
      <c r="S25" s="323">
        <f>M25+N25+O25+P25+R25</f>
        <v>0</v>
      </c>
      <c r="T25" s="338"/>
      <c r="U25" s="338"/>
      <c r="V25" s="367">
        <f t="shared" si="3"/>
        <v>0</v>
      </c>
      <c r="W25" s="338"/>
      <c r="X25" s="338"/>
      <c r="Y25" s="339"/>
      <c r="Z25" s="328">
        <f t="shared" si="4"/>
        <v>0</v>
      </c>
      <c r="AA25" s="338"/>
      <c r="AB25" s="338"/>
      <c r="AC25" s="338"/>
      <c r="AD25" s="338"/>
      <c r="AE25" s="338">
        <v>0</v>
      </c>
      <c r="AF25" s="337"/>
      <c r="AG25" s="337">
        <v>0</v>
      </c>
      <c r="AH25" s="337">
        <v>0</v>
      </c>
      <c r="AI25" s="325">
        <f t="shared" si="5"/>
        <v>0</v>
      </c>
      <c r="AJ25" s="337"/>
      <c r="AK25" s="341"/>
      <c r="AL25" s="338"/>
      <c r="AM25" s="327"/>
      <c r="AN25" s="337"/>
      <c r="AO25" s="338"/>
      <c r="AP25" s="328"/>
      <c r="AQ25" s="341"/>
      <c r="AR25" s="338"/>
      <c r="AS25" s="328"/>
      <c r="AT25" s="368">
        <f t="shared" si="0"/>
        <v>25600.83</v>
      </c>
      <c r="AU25" s="310"/>
    </row>
    <row r="26" spans="1:47" s="311" customFormat="1" ht="18" customHeight="1" x14ac:dyDescent="0.25">
      <c r="A26" s="236" t="s">
        <v>144</v>
      </c>
      <c r="B26" s="902" t="s">
        <v>145</v>
      </c>
      <c r="C26" s="345">
        <f>'AG1'!D29</f>
        <v>14504.48</v>
      </c>
      <c r="D26" s="330">
        <v>0</v>
      </c>
      <c r="E26" s="330">
        <v>0</v>
      </c>
      <c r="F26" s="330">
        <v>0</v>
      </c>
      <c r="G26" s="346">
        <f>C26+D26+E26+F26</f>
        <v>14504.48</v>
      </c>
      <c r="H26" s="344">
        <f>'AG1'!C29</f>
        <v>11096.35</v>
      </c>
      <c r="I26" s="334">
        <v>0</v>
      </c>
      <c r="J26" s="334">
        <v>0</v>
      </c>
      <c r="K26" s="334">
        <v>0</v>
      </c>
      <c r="L26" s="336">
        <f>SUM(H26:K26)</f>
        <v>11096.35</v>
      </c>
      <c r="M26" s="337">
        <v>0</v>
      </c>
      <c r="N26" s="338">
        <v>0</v>
      </c>
      <c r="O26" s="338">
        <v>0</v>
      </c>
      <c r="P26" s="338">
        <v>0</v>
      </c>
      <c r="Q26" s="338">
        <v>0</v>
      </c>
      <c r="R26" s="338">
        <v>0</v>
      </c>
      <c r="S26" s="323">
        <f>M26+N26+O26+P26+R26</f>
        <v>0</v>
      </c>
      <c r="T26" s="338"/>
      <c r="U26" s="338"/>
      <c r="V26" s="367">
        <f t="shared" si="3"/>
        <v>0</v>
      </c>
      <c r="W26" s="338"/>
      <c r="X26" s="338"/>
      <c r="Y26" s="339"/>
      <c r="Z26" s="328">
        <f t="shared" si="4"/>
        <v>0</v>
      </c>
      <c r="AA26" s="338"/>
      <c r="AB26" s="338"/>
      <c r="AC26" s="338"/>
      <c r="AD26" s="338"/>
      <c r="AE26" s="338">
        <v>0</v>
      </c>
      <c r="AF26" s="337"/>
      <c r="AG26" s="337">
        <v>0</v>
      </c>
      <c r="AH26" s="337">
        <v>0</v>
      </c>
      <c r="AI26" s="340">
        <f t="shared" si="5"/>
        <v>0</v>
      </c>
      <c r="AJ26" s="337"/>
      <c r="AK26" s="341"/>
      <c r="AL26" s="338"/>
      <c r="AM26" s="327"/>
      <c r="AN26" s="337"/>
      <c r="AO26" s="338"/>
      <c r="AP26" s="328"/>
      <c r="AQ26" s="341"/>
      <c r="AR26" s="338"/>
      <c r="AS26" s="328"/>
      <c r="AT26" s="391">
        <f t="shared" si="0"/>
        <v>25600.83</v>
      </c>
      <c r="AU26" s="310"/>
    </row>
    <row r="27" spans="1:47" s="311" customFormat="1" ht="18" hidden="1" customHeight="1" x14ac:dyDescent="0.25">
      <c r="A27" s="236" t="s">
        <v>146</v>
      </c>
      <c r="B27" s="902" t="s">
        <v>147</v>
      </c>
      <c r="C27" s="345"/>
      <c r="D27" s="330"/>
      <c r="E27" s="330"/>
      <c r="F27" s="330"/>
      <c r="G27" s="346"/>
      <c r="H27" s="344"/>
      <c r="I27" s="334"/>
      <c r="J27" s="334"/>
      <c r="K27" s="334"/>
      <c r="L27" s="336"/>
      <c r="M27" s="337">
        <v>0</v>
      </c>
      <c r="N27" s="338">
        <v>0</v>
      </c>
      <c r="O27" s="338">
        <v>0</v>
      </c>
      <c r="P27" s="338">
        <v>0</v>
      </c>
      <c r="Q27" s="338">
        <v>0</v>
      </c>
      <c r="R27" s="338">
        <v>0</v>
      </c>
      <c r="S27" s="323">
        <f>M27+N27+O27+P27</f>
        <v>0</v>
      </c>
      <c r="T27" s="338"/>
      <c r="U27" s="338"/>
      <c r="V27" s="367">
        <f t="shared" si="3"/>
        <v>0</v>
      </c>
      <c r="W27" s="338"/>
      <c r="X27" s="338"/>
      <c r="Y27" s="339"/>
      <c r="Z27" s="328">
        <f t="shared" si="4"/>
        <v>0</v>
      </c>
      <c r="AA27" s="338"/>
      <c r="AB27" s="338"/>
      <c r="AC27" s="338"/>
      <c r="AD27" s="338"/>
      <c r="AE27" s="338">
        <v>0</v>
      </c>
      <c r="AF27" s="337"/>
      <c r="AG27" s="337">
        <v>0</v>
      </c>
      <c r="AH27" s="337">
        <v>0</v>
      </c>
      <c r="AI27" s="340">
        <f t="shared" si="5"/>
        <v>0</v>
      </c>
      <c r="AJ27" s="337"/>
      <c r="AK27" s="341"/>
      <c r="AL27" s="338"/>
      <c r="AM27" s="327"/>
      <c r="AN27" s="337"/>
      <c r="AO27" s="338"/>
      <c r="AP27" s="328"/>
      <c r="AQ27" s="341"/>
      <c r="AR27" s="338"/>
      <c r="AS27" s="328"/>
      <c r="AT27" s="368">
        <f t="shared" si="0"/>
        <v>0</v>
      </c>
      <c r="AU27" s="310"/>
    </row>
    <row r="28" spans="1:47" s="313" customFormat="1" ht="18" customHeight="1" x14ac:dyDescent="0.25">
      <c r="A28" s="235">
        <v>515</v>
      </c>
      <c r="B28" s="905" t="s">
        <v>148</v>
      </c>
      <c r="C28" s="314">
        <f t="shared" ref="C28:L28" si="12">SUM(C29:C30)</f>
        <v>12940.46</v>
      </c>
      <c r="D28" s="347">
        <f t="shared" si="12"/>
        <v>0</v>
      </c>
      <c r="E28" s="347">
        <f t="shared" si="12"/>
        <v>0</v>
      </c>
      <c r="F28" s="347">
        <f t="shared" si="12"/>
        <v>0</v>
      </c>
      <c r="G28" s="348">
        <f t="shared" si="12"/>
        <v>12940.46</v>
      </c>
      <c r="H28" s="343">
        <f t="shared" si="12"/>
        <v>9282.7400000000016</v>
      </c>
      <c r="I28" s="318">
        <f t="shared" si="12"/>
        <v>0</v>
      </c>
      <c r="J28" s="318">
        <f t="shared" si="12"/>
        <v>0</v>
      </c>
      <c r="K28" s="318">
        <f t="shared" si="12"/>
        <v>0</v>
      </c>
      <c r="L28" s="320">
        <f t="shared" si="12"/>
        <v>9282.7400000000016</v>
      </c>
      <c r="M28" s="321">
        <v>0</v>
      </c>
      <c r="N28" s="322">
        <v>0</v>
      </c>
      <c r="O28" s="322">
        <v>0</v>
      </c>
      <c r="P28" s="322">
        <v>0</v>
      </c>
      <c r="Q28" s="322">
        <v>0</v>
      </c>
      <c r="R28" s="322">
        <v>0</v>
      </c>
      <c r="S28" s="323">
        <f>M28+N28+O28+P28+R28</f>
        <v>0</v>
      </c>
      <c r="T28" s="322"/>
      <c r="U28" s="322"/>
      <c r="V28" s="897">
        <f t="shared" si="3"/>
        <v>0</v>
      </c>
      <c r="W28" s="322"/>
      <c r="X28" s="322"/>
      <c r="Y28" s="324"/>
      <c r="Z28" s="360">
        <f t="shared" si="4"/>
        <v>0</v>
      </c>
      <c r="AA28" s="322"/>
      <c r="AB28" s="322"/>
      <c r="AC28" s="322"/>
      <c r="AD28" s="322"/>
      <c r="AE28" s="322">
        <v>0</v>
      </c>
      <c r="AF28" s="321"/>
      <c r="AG28" s="321">
        <v>0</v>
      </c>
      <c r="AH28" s="321">
        <v>0</v>
      </c>
      <c r="AI28" s="325">
        <f t="shared" si="5"/>
        <v>0</v>
      </c>
      <c r="AJ28" s="321"/>
      <c r="AK28" s="341"/>
      <c r="AL28" s="338"/>
      <c r="AM28" s="327"/>
      <c r="AN28" s="337"/>
      <c r="AO28" s="338"/>
      <c r="AP28" s="328"/>
      <c r="AQ28" s="341"/>
      <c r="AR28" s="338"/>
      <c r="AS28" s="328"/>
      <c r="AT28" s="368">
        <f t="shared" si="0"/>
        <v>22223.200000000001</v>
      </c>
      <c r="AU28" s="312"/>
    </row>
    <row r="29" spans="1:47" s="313" customFormat="1" ht="18" customHeight="1" x14ac:dyDescent="0.25">
      <c r="A29" s="236" t="s">
        <v>149</v>
      </c>
      <c r="B29" s="902" t="s">
        <v>145</v>
      </c>
      <c r="C29" s="345">
        <f>'AG1'!D32</f>
        <v>12940.46</v>
      </c>
      <c r="D29" s="330">
        <v>0</v>
      </c>
      <c r="E29" s="330">
        <v>0</v>
      </c>
      <c r="F29" s="330">
        <v>0</v>
      </c>
      <c r="G29" s="346">
        <f>C29+D29+E29+F29</f>
        <v>12940.46</v>
      </c>
      <c r="H29" s="344">
        <f>'AG1'!C32</f>
        <v>9282.7400000000016</v>
      </c>
      <c r="I29" s="334">
        <v>0</v>
      </c>
      <c r="J29" s="334">
        <v>0</v>
      </c>
      <c r="K29" s="334">
        <v>0</v>
      </c>
      <c r="L29" s="336">
        <f>SUM(H29:K29)</f>
        <v>9282.7400000000016</v>
      </c>
      <c r="M29" s="337">
        <v>0</v>
      </c>
      <c r="N29" s="338">
        <v>0</v>
      </c>
      <c r="O29" s="338">
        <v>0</v>
      </c>
      <c r="P29" s="338">
        <v>0</v>
      </c>
      <c r="Q29" s="338">
        <v>0</v>
      </c>
      <c r="R29" s="338">
        <v>0</v>
      </c>
      <c r="S29" s="323">
        <f>M29+N29+O29+P29+R29</f>
        <v>0</v>
      </c>
      <c r="T29" s="338"/>
      <c r="U29" s="338"/>
      <c r="V29" s="367">
        <f t="shared" si="3"/>
        <v>0</v>
      </c>
      <c r="W29" s="338"/>
      <c r="X29" s="338"/>
      <c r="Y29" s="339"/>
      <c r="Z29" s="328">
        <f t="shared" si="4"/>
        <v>0</v>
      </c>
      <c r="AA29" s="338"/>
      <c r="AB29" s="338"/>
      <c r="AC29" s="338"/>
      <c r="AD29" s="338"/>
      <c r="AE29" s="338">
        <v>0</v>
      </c>
      <c r="AF29" s="337"/>
      <c r="AG29" s="337">
        <v>0</v>
      </c>
      <c r="AH29" s="337">
        <v>0</v>
      </c>
      <c r="AI29" s="340">
        <f t="shared" si="5"/>
        <v>0</v>
      </c>
      <c r="AJ29" s="337"/>
      <c r="AK29" s="341"/>
      <c r="AL29" s="338"/>
      <c r="AM29" s="327"/>
      <c r="AN29" s="337"/>
      <c r="AO29" s="338"/>
      <c r="AP29" s="328"/>
      <c r="AQ29" s="341"/>
      <c r="AR29" s="338"/>
      <c r="AS29" s="328"/>
      <c r="AT29" s="391">
        <f t="shared" si="0"/>
        <v>22223.200000000001</v>
      </c>
      <c r="AU29" s="312"/>
    </row>
    <row r="30" spans="1:47" s="311" customFormat="1" ht="18" hidden="1" customHeight="1" x14ac:dyDescent="0.25">
      <c r="A30" s="236" t="s">
        <v>150</v>
      </c>
      <c r="B30" s="902" t="s">
        <v>147</v>
      </c>
      <c r="C30" s="345"/>
      <c r="D30" s="330"/>
      <c r="E30" s="330"/>
      <c r="F30" s="330"/>
      <c r="G30" s="346"/>
      <c r="H30" s="344"/>
      <c r="I30" s="334"/>
      <c r="J30" s="334"/>
      <c r="K30" s="334"/>
      <c r="L30" s="336"/>
      <c r="M30" s="337">
        <v>0</v>
      </c>
      <c r="N30" s="338">
        <v>0</v>
      </c>
      <c r="O30" s="338">
        <v>0</v>
      </c>
      <c r="P30" s="338">
        <v>0</v>
      </c>
      <c r="Q30" s="338">
        <v>0</v>
      </c>
      <c r="R30" s="338">
        <v>0</v>
      </c>
      <c r="S30" s="323">
        <f>M30+N30+O30+P30</f>
        <v>0</v>
      </c>
      <c r="T30" s="338"/>
      <c r="U30" s="338"/>
      <c r="V30" s="367">
        <f t="shared" si="3"/>
        <v>0</v>
      </c>
      <c r="W30" s="338"/>
      <c r="X30" s="338"/>
      <c r="Y30" s="339"/>
      <c r="Z30" s="328">
        <f t="shared" si="4"/>
        <v>0</v>
      </c>
      <c r="AA30" s="338"/>
      <c r="AB30" s="338"/>
      <c r="AC30" s="338"/>
      <c r="AD30" s="338"/>
      <c r="AE30" s="338">
        <v>0</v>
      </c>
      <c r="AF30" s="337"/>
      <c r="AG30" s="337">
        <v>0</v>
      </c>
      <c r="AH30" s="337">
        <v>0</v>
      </c>
      <c r="AI30" s="340">
        <f t="shared" si="5"/>
        <v>0</v>
      </c>
      <c r="AJ30" s="337"/>
      <c r="AK30" s="341"/>
      <c r="AL30" s="338"/>
      <c r="AM30" s="327"/>
      <c r="AN30" s="337"/>
      <c r="AO30" s="338"/>
      <c r="AP30" s="328"/>
      <c r="AQ30" s="341"/>
      <c r="AR30" s="338"/>
      <c r="AS30" s="328"/>
      <c r="AT30" s="368">
        <f t="shared" si="0"/>
        <v>0</v>
      </c>
      <c r="AU30" s="310"/>
    </row>
    <row r="31" spans="1:47" s="313" customFormat="1" ht="18" customHeight="1" x14ac:dyDescent="0.25">
      <c r="A31" s="238" t="s">
        <v>151</v>
      </c>
      <c r="B31" s="904" t="s">
        <v>152</v>
      </c>
      <c r="C31" s="314">
        <f t="shared" ref="C31:L31" si="13">SUM(C32:C33)</f>
        <v>3600</v>
      </c>
      <c r="D31" s="347">
        <f t="shared" si="13"/>
        <v>0</v>
      </c>
      <c r="E31" s="347">
        <f t="shared" si="13"/>
        <v>0</v>
      </c>
      <c r="F31" s="347">
        <f t="shared" si="13"/>
        <v>0</v>
      </c>
      <c r="G31" s="348">
        <f t="shared" si="13"/>
        <v>3600</v>
      </c>
      <c r="H31" s="343">
        <f t="shared" si="13"/>
        <v>3600</v>
      </c>
      <c r="I31" s="318">
        <f t="shared" si="13"/>
        <v>0</v>
      </c>
      <c r="J31" s="318">
        <f t="shared" si="13"/>
        <v>0</v>
      </c>
      <c r="K31" s="318">
        <f t="shared" si="13"/>
        <v>0</v>
      </c>
      <c r="L31" s="320">
        <f t="shared" si="13"/>
        <v>3600</v>
      </c>
      <c r="M31" s="337">
        <v>0</v>
      </c>
      <c r="N31" s="338">
        <v>0</v>
      </c>
      <c r="O31" s="338">
        <v>0</v>
      </c>
      <c r="P31" s="338">
        <v>0</v>
      </c>
      <c r="Q31" s="338">
        <v>0</v>
      </c>
      <c r="R31" s="338">
        <v>0</v>
      </c>
      <c r="S31" s="323">
        <f>M31+N31+O31+P31+R31</f>
        <v>0</v>
      </c>
      <c r="T31" s="338"/>
      <c r="U31" s="338"/>
      <c r="V31" s="367">
        <f t="shared" si="3"/>
        <v>0</v>
      </c>
      <c r="W31" s="338"/>
      <c r="X31" s="338"/>
      <c r="Y31" s="339"/>
      <c r="Z31" s="328">
        <f t="shared" si="4"/>
        <v>0</v>
      </c>
      <c r="AA31" s="338"/>
      <c r="AB31" s="338"/>
      <c r="AC31" s="338"/>
      <c r="AD31" s="338"/>
      <c r="AE31" s="338">
        <v>0</v>
      </c>
      <c r="AF31" s="337"/>
      <c r="AG31" s="337">
        <v>0</v>
      </c>
      <c r="AH31" s="337">
        <v>0</v>
      </c>
      <c r="AI31" s="325">
        <f t="shared" si="5"/>
        <v>0</v>
      </c>
      <c r="AJ31" s="337"/>
      <c r="AK31" s="341"/>
      <c r="AL31" s="338"/>
      <c r="AM31" s="327"/>
      <c r="AN31" s="337"/>
      <c r="AO31" s="338"/>
      <c r="AP31" s="328"/>
      <c r="AQ31" s="341"/>
      <c r="AR31" s="338"/>
      <c r="AS31" s="328"/>
      <c r="AT31" s="368">
        <f t="shared" si="0"/>
        <v>7200</v>
      </c>
      <c r="AU31" s="312"/>
    </row>
    <row r="32" spans="1:47" s="313" customFormat="1" ht="18" customHeight="1" x14ac:dyDescent="0.25">
      <c r="A32" s="237">
        <v>51601</v>
      </c>
      <c r="B32" s="903" t="s">
        <v>153</v>
      </c>
      <c r="C32" s="345">
        <f>'AG1'!D35</f>
        <v>3600</v>
      </c>
      <c r="D32" s="330">
        <v>0</v>
      </c>
      <c r="E32" s="330">
        <v>0</v>
      </c>
      <c r="F32" s="330">
        <v>0</v>
      </c>
      <c r="G32" s="346">
        <f>C32+D32+E32+F32</f>
        <v>3600</v>
      </c>
      <c r="H32" s="344">
        <f>'AG1'!C35</f>
        <v>3600</v>
      </c>
      <c r="I32" s="334">
        <v>0</v>
      </c>
      <c r="J32" s="334">
        <v>0</v>
      </c>
      <c r="K32" s="334">
        <v>0</v>
      </c>
      <c r="L32" s="336">
        <f t="shared" ref="L32" si="14">SUM(H32:K32)</f>
        <v>3600</v>
      </c>
      <c r="M32" s="337">
        <v>0</v>
      </c>
      <c r="N32" s="338">
        <v>0</v>
      </c>
      <c r="O32" s="338">
        <v>0</v>
      </c>
      <c r="P32" s="338">
        <v>0</v>
      </c>
      <c r="Q32" s="338">
        <v>0</v>
      </c>
      <c r="R32" s="338">
        <v>0</v>
      </c>
      <c r="S32" s="323">
        <f t="shared" ref="S32:S38" si="15">M32+N32+O32+P32</f>
        <v>0</v>
      </c>
      <c r="T32" s="338"/>
      <c r="U32" s="338"/>
      <c r="V32" s="367">
        <f t="shared" si="3"/>
        <v>0</v>
      </c>
      <c r="W32" s="338"/>
      <c r="X32" s="338"/>
      <c r="Y32" s="339"/>
      <c r="Z32" s="328">
        <f t="shared" si="4"/>
        <v>0</v>
      </c>
      <c r="AA32" s="338"/>
      <c r="AB32" s="338"/>
      <c r="AC32" s="338"/>
      <c r="AD32" s="338"/>
      <c r="AE32" s="338">
        <v>0</v>
      </c>
      <c r="AF32" s="337"/>
      <c r="AG32" s="337">
        <v>0</v>
      </c>
      <c r="AH32" s="337">
        <v>0</v>
      </c>
      <c r="AI32" s="340">
        <f t="shared" si="5"/>
        <v>0</v>
      </c>
      <c r="AJ32" s="321"/>
      <c r="AK32" s="341"/>
      <c r="AL32" s="338"/>
      <c r="AM32" s="327"/>
      <c r="AN32" s="337"/>
      <c r="AO32" s="338"/>
      <c r="AP32" s="328"/>
      <c r="AQ32" s="341"/>
      <c r="AR32" s="338"/>
      <c r="AS32" s="328"/>
      <c r="AT32" s="391">
        <f t="shared" si="0"/>
        <v>7200</v>
      </c>
      <c r="AU32" s="312"/>
    </row>
    <row r="33" spans="1:47" s="311" customFormat="1" ht="18" hidden="1" customHeight="1" x14ac:dyDescent="0.25">
      <c r="A33" s="237">
        <v>51602</v>
      </c>
      <c r="B33" s="903" t="s">
        <v>154</v>
      </c>
      <c r="C33" s="345"/>
      <c r="D33" s="330"/>
      <c r="E33" s="330"/>
      <c r="F33" s="330"/>
      <c r="G33" s="346"/>
      <c r="H33" s="344"/>
      <c r="I33" s="334"/>
      <c r="J33" s="334"/>
      <c r="K33" s="334"/>
      <c r="L33" s="336"/>
      <c r="M33" s="337">
        <v>0</v>
      </c>
      <c r="N33" s="338">
        <v>0</v>
      </c>
      <c r="O33" s="338">
        <v>0</v>
      </c>
      <c r="P33" s="338">
        <v>0</v>
      </c>
      <c r="Q33" s="338">
        <v>0</v>
      </c>
      <c r="R33" s="338">
        <v>0</v>
      </c>
      <c r="S33" s="323">
        <f t="shared" si="15"/>
        <v>0</v>
      </c>
      <c r="T33" s="338"/>
      <c r="U33" s="338"/>
      <c r="V33" s="367">
        <f t="shared" si="3"/>
        <v>0</v>
      </c>
      <c r="W33" s="338"/>
      <c r="X33" s="338"/>
      <c r="Y33" s="339"/>
      <c r="Z33" s="328">
        <f t="shared" si="4"/>
        <v>0</v>
      </c>
      <c r="AA33" s="338"/>
      <c r="AB33" s="338"/>
      <c r="AC33" s="338"/>
      <c r="AD33" s="338"/>
      <c r="AE33" s="338">
        <v>0</v>
      </c>
      <c r="AF33" s="337"/>
      <c r="AG33" s="337">
        <v>0</v>
      </c>
      <c r="AH33" s="337">
        <v>0</v>
      </c>
      <c r="AI33" s="340">
        <f t="shared" si="5"/>
        <v>0</v>
      </c>
      <c r="AJ33" s="337"/>
      <c r="AK33" s="341"/>
      <c r="AL33" s="338"/>
      <c r="AM33" s="327"/>
      <c r="AN33" s="337"/>
      <c r="AO33" s="338"/>
      <c r="AP33" s="328"/>
      <c r="AQ33" s="341"/>
      <c r="AR33" s="338"/>
      <c r="AS33" s="328"/>
      <c r="AT33" s="368">
        <f t="shared" si="0"/>
        <v>0</v>
      </c>
      <c r="AU33" s="310"/>
    </row>
    <row r="34" spans="1:47" s="311" customFormat="1" ht="18" customHeight="1" x14ac:dyDescent="0.25">
      <c r="A34" s="235">
        <v>517</v>
      </c>
      <c r="B34" s="905" t="s">
        <v>155</v>
      </c>
      <c r="C34" s="314">
        <f t="shared" ref="C34:K34" si="16">SUM(C35:C36)</f>
        <v>0</v>
      </c>
      <c r="D34" s="347">
        <f t="shared" si="16"/>
        <v>0</v>
      </c>
      <c r="E34" s="347">
        <f t="shared" si="16"/>
        <v>0</v>
      </c>
      <c r="F34" s="347">
        <f t="shared" si="16"/>
        <v>0</v>
      </c>
      <c r="G34" s="348">
        <f t="shared" si="16"/>
        <v>0</v>
      </c>
      <c r="H34" s="343">
        <f t="shared" si="16"/>
        <v>0</v>
      </c>
      <c r="I34" s="318">
        <f t="shared" si="16"/>
        <v>0</v>
      </c>
      <c r="J34" s="318">
        <f t="shared" si="16"/>
        <v>0</v>
      </c>
      <c r="K34" s="318">
        <f t="shared" si="16"/>
        <v>0</v>
      </c>
      <c r="L34" s="320">
        <f>SUM(L35:L36)</f>
        <v>0</v>
      </c>
      <c r="M34" s="337">
        <v>0</v>
      </c>
      <c r="N34" s="338">
        <v>0</v>
      </c>
      <c r="O34" s="338">
        <v>0</v>
      </c>
      <c r="P34" s="338">
        <v>0</v>
      </c>
      <c r="Q34" s="338">
        <v>0</v>
      </c>
      <c r="R34" s="338">
        <v>0</v>
      </c>
      <c r="S34" s="323">
        <f t="shared" si="15"/>
        <v>0</v>
      </c>
      <c r="T34" s="338"/>
      <c r="U34" s="338"/>
      <c r="V34" s="367">
        <f t="shared" si="3"/>
        <v>0</v>
      </c>
      <c r="W34" s="338"/>
      <c r="X34" s="338"/>
      <c r="Y34" s="339"/>
      <c r="Z34" s="328">
        <f t="shared" si="4"/>
        <v>0</v>
      </c>
      <c r="AA34" s="338"/>
      <c r="AB34" s="338"/>
      <c r="AC34" s="338"/>
      <c r="AD34" s="338"/>
      <c r="AE34" s="338">
        <v>0</v>
      </c>
      <c r="AF34" s="337"/>
      <c r="AG34" s="337">
        <v>0</v>
      </c>
      <c r="AH34" s="337">
        <v>0</v>
      </c>
      <c r="AI34" s="340">
        <f t="shared" si="5"/>
        <v>0</v>
      </c>
      <c r="AJ34" s="337"/>
      <c r="AK34" s="341"/>
      <c r="AL34" s="338"/>
      <c r="AM34" s="327"/>
      <c r="AN34" s="337"/>
      <c r="AO34" s="338"/>
      <c r="AP34" s="328"/>
      <c r="AQ34" s="341"/>
      <c r="AR34" s="338"/>
      <c r="AS34" s="328"/>
      <c r="AT34" s="368">
        <f t="shared" si="0"/>
        <v>0</v>
      </c>
      <c r="AU34" s="310"/>
    </row>
    <row r="35" spans="1:47" s="313" customFormat="1" ht="18" customHeight="1" x14ac:dyDescent="0.25">
      <c r="A35" s="237">
        <v>51701</v>
      </c>
      <c r="B35" s="903" t="s">
        <v>156</v>
      </c>
      <c r="C35" s="345">
        <v>0</v>
      </c>
      <c r="D35" s="330">
        <v>0</v>
      </c>
      <c r="E35" s="330">
        <f>'AG1'!D38</f>
        <v>0</v>
      </c>
      <c r="F35" s="330">
        <v>0</v>
      </c>
      <c r="G35" s="346">
        <f>C35+D35+E35+F35</f>
        <v>0</v>
      </c>
      <c r="H35" s="344">
        <v>0</v>
      </c>
      <c r="I35" s="334">
        <v>0</v>
      </c>
      <c r="J35" s="334">
        <v>0</v>
      </c>
      <c r="K35" s="334">
        <f>'AG1'!C38</f>
        <v>0</v>
      </c>
      <c r="L35" s="336">
        <f t="shared" ref="L35" si="17">SUM(H35:K35)</f>
        <v>0</v>
      </c>
      <c r="M35" s="337">
        <v>0</v>
      </c>
      <c r="N35" s="338">
        <v>0</v>
      </c>
      <c r="O35" s="338">
        <v>0</v>
      </c>
      <c r="P35" s="338">
        <v>0</v>
      </c>
      <c r="Q35" s="338">
        <v>0</v>
      </c>
      <c r="R35" s="338">
        <v>0</v>
      </c>
      <c r="S35" s="323">
        <f t="shared" si="15"/>
        <v>0</v>
      </c>
      <c r="T35" s="338"/>
      <c r="U35" s="338"/>
      <c r="V35" s="367">
        <f t="shared" si="3"/>
        <v>0</v>
      </c>
      <c r="W35" s="338"/>
      <c r="X35" s="338"/>
      <c r="Y35" s="339"/>
      <c r="Z35" s="328">
        <f t="shared" si="4"/>
        <v>0</v>
      </c>
      <c r="AA35" s="338"/>
      <c r="AB35" s="338"/>
      <c r="AC35" s="338"/>
      <c r="AD35" s="338"/>
      <c r="AE35" s="338">
        <v>0</v>
      </c>
      <c r="AF35" s="337"/>
      <c r="AG35" s="337">
        <v>0</v>
      </c>
      <c r="AH35" s="337">
        <v>0</v>
      </c>
      <c r="AI35" s="340">
        <f t="shared" si="5"/>
        <v>0</v>
      </c>
      <c r="AJ35" s="337"/>
      <c r="AK35" s="341"/>
      <c r="AL35" s="338"/>
      <c r="AM35" s="327"/>
      <c r="AN35" s="337"/>
      <c r="AO35" s="338"/>
      <c r="AP35" s="328"/>
      <c r="AQ35" s="341"/>
      <c r="AR35" s="338"/>
      <c r="AS35" s="328"/>
      <c r="AT35" s="391">
        <f t="shared" si="0"/>
        <v>0</v>
      </c>
      <c r="AU35" s="312"/>
    </row>
    <row r="36" spans="1:47" s="313" customFormat="1" ht="18" hidden="1" customHeight="1" x14ac:dyDescent="0.25">
      <c r="A36" s="237">
        <v>51702</v>
      </c>
      <c r="B36" s="903" t="s">
        <v>157</v>
      </c>
      <c r="C36" s="345"/>
      <c r="D36" s="330"/>
      <c r="E36" s="330"/>
      <c r="F36" s="330"/>
      <c r="G36" s="346"/>
      <c r="H36" s="344"/>
      <c r="I36" s="334"/>
      <c r="J36" s="334"/>
      <c r="K36" s="334"/>
      <c r="L36" s="336"/>
      <c r="M36" s="321">
        <v>0</v>
      </c>
      <c r="N36" s="322">
        <v>0</v>
      </c>
      <c r="O36" s="322">
        <v>0</v>
      </c>
      <c r="P36" s="322">
        <v>0</v>
      </c>
      <c r="Q36" s="322">
        <v>0</v>
      </c>
      <c r="R36" s="322">
        <v>0</v>
      </c>
      <c r="S36" s="323">
        <f t="shared" si="15"/>
        <v>0</v>
      </c>
      <c r="T36" s="322"/>
      <c r="U36" s="322"/>
      <c r="V36" s="897">
        <f t="shared" si="3"/>
        <v>0</v>
      </c>
      <c r="W36" s="322"/>
      <c r="X36" s="322"/>
      <c r="Y36" s="324"/>
      <c r="Z36" s="360">
        <f t="shared" si="4"/>
        <v>0</v>
      </c>
      <c r="AA36" s="322"/>
      <c r="AB36" s="322"/>
      <c r="AC36" s="322"/>
      <c r="AD36" s="322"/>
      <c r="AE36" s="322">
        <v>0</v>
      </c>
      <c r="AF36" s="321"/>
      <c r="AG36" s="321">
        <v>0</v>
      </c>
      <c r="AH36" s="321">
        <v>0</v>
      </c>
      <c r="AI36" s="340">
        <f t="shared" si="5"/>
        <v>0</v>
      </c>
      <c r="AJ36" s="321"/>
      <c r="AK36" s="341"/>
      <c r="AL36" s="338"/>
      <c r="AM36" s="327"/>
      <c r="AN36" s="337"/>
      <c r="AO36" s="338"/>
      <c r="AP36" s="328"/>
      <c r="AQ36" s="341"/>
      <c r="AR36" s="338"/>
      <c r="AS36" s="328"/>
      <c r="AT36" s="368">
        <f t="shared" si="0"/>
        <v>0</v>
      </c>
      <c r="AU36" s="312"/>
    </row>
    <row r="37" spans="1:47" s="311" customFormat="1" ht="18" hidden="1" customHeight="1" x14ac:dyDescent="0.25">
      <c r="A37" s="235">
        <v>518</v>
      </c>
      <c r="B37" s="905" t="s">
        <v>158</v>
      </c>
      <c r="C37" s="314">
        <f>SUM(C38)</f>
        <v>0</v>
      </c>
      <c r="D37" s="347">
        <f>SUM(D38)</f>
        <v>0</v>
      </c>
      <c r="E37" s="347">
        <f>SUM(E38)</f>
        <v>0</v>
      </c>
      <c r="F37" s="347">
        <f>SUM(F38)</f>
        <v>0</v>
      </c>
      <c r="G37" s="348">
        <f>SUM(G38)</f>
        <v>0</v>
      </c>
      <c r="H37" s="343">
        <f>SUM(H38:H38)</f>
        <v>0</v>
      </c>
      <c r="I37" s="318">
        <f>SUM(I38:I39)</f>
        <v>0</v>
      </c>
      <c r="J37" s="318">
        <f>SUM(J38:J39)</f>
        <v>0</v>
      </c>
      <c r="K37" s="318">
        <f>SUM(K38:K39)</f>
        <v>0</v>
      </c>
      <c r="L37" s="320">
        <f>SUM(L38:L38)</f>
        <v>0</v>
      </c>
      <c r="M37" s="337">
        <v>0</v>
      </c>
      <c r="N37" s="338">
        <v>0</v>
      </c>
      <c r="O37" s="338">
        <v>0</v>
      </c>
      <c r="P37" s="338">
        <v>0</v>
      </c>
      <c r="Q37" s="338">
        <v>0</v>
      </c>
      <c r="R37" s="338">
        <v>0</v>
      </c>
      <c r="S37" s="323">
        <f t="shared" si="15"/>
        <v>0</v>
      </c>
      <c r="T37" s="338"/>
      <c r="U37" s="338"/>
      <c r="V37" s="367">
        <f t="shared" si="3"/>
        <v>0</v>
      </c>
      <c r="W37" s="338"/>
      <c r="X37" s="338"/>
      <c r="Y37" s="339"/>
      <c r="Z37" s="328">
        <f t="shared" si="4"/>
        <v>0</v>
      </c>
      <c r="AA37" s="338"/>
      <c r="AB37" s="338"/>
      <c r="AC37" s="338"/>
      <c r="AD37" s="338"/>
      <c r="AE37" s="338">
        <v>0</v>
      </c>
      <c r="AF37" s="337"/>
      <c r="AG37" s="337">
        <v>0</v>
      </c>
      <c r="AH37" s="337">
        <v>0</v>
      </c>
      <c r="AI37" s="340">
        <f t="shared" si="5"/>
        <v>0</v>
      </c>
      <c r="AJ37" s="337"/>
      <c r="AK37" s="341"/>
      <c r="AL37" s="338"/>
      <c r="AM37" s="327"/>
      <c r="AN37" s="337"/>
      <c r="AO37" s="338"/>
      <c r="AP37" s="328"/>
      <c r="AQ37" s="341"/>
      <c r="AR37" s="338"/>
      <c r="AS37" s="328"/>
      <c r="AT37" s="368">
        <f t="shared" si="0"/>
        <v>0</v>
      </c>
      <c r="AU37" s="310"/>
    </row>
    <row r="38" spans="1:47" s="311" customFormat="1" ht="18" hidden="1" customHeight="1" x14ac:dyDescent="0.25">
      <c r="A38" s="237">
        <v>51803</v>
      </c>
      <c r="B38" s="903" t="s">
        <v>159</v>
      </c>
      <c r="C38" s="345"/>
      <c r="D38" s="330"/>
      <c r="E38" s="330"/>
      <c r="F38" s="330"/>
      <c r="G38" s="346"/>
      <c r="H38" s="344"/>
      <c r="I38" s="334"/>
      <c r="J38" s="334"/>
      <c r="K38" s="334"/>
      <c r="L38" s="336"/>
      <c r="M38" s="337">
        <v>0</v>
      </c>
      <c r="N38" s="338">
        <v>0</v>
      </c>
      <c r="O38" s="338">
        <v>0</v>
      </c>
      <c r="P38" s="338">
        <v>0</v>
      </c>
      <c r="Q38" s="338">
        <v>0</v>
      </c>
      <c r="R38" s="338">
        <v>0</v>
      </c>
      <c r="S38" s="323">
        <f t="shared" si="15"/>
        <v>0</v>
      </c>
      <c r="T38" s="338"/>
      <c r="U38" s="338"/>
      <c r="V38" s="367">
        <f t="shared" si="3"/>
        <v>0</v>
      </c>
      <c r="W38" s="338"/>
      <c r="X38" s="338"/>
      <c r="Y38" s="339"/>
      <c r="Z38" s="328">
        <f t="shared" si="4"/>
        <v>0</v>
      </c>
      <c r="AA38" s="338"/>
      <c r="AB38" s="338"/>
      <c r="AC38" s="338"/>
      <c r="AD38" s="338"/>
      <c r="AE38" s="338">
        <v>0</v>
      </c>
      <c r="AF38" s="337"/>
      <c r="AG38" s="337">
        <v>0</v>
      </c>
      <c r="AH38" s="337">
        <v>0</v>
      </c>
      <c r="AI38" s="340">
        <f t="shared" si="5"/>
        <v>0</v>
      </c>
      <c r="AJ38" s="337"/>
      <c r="AK38" s="341"/>
      <c r="AL38" s="338"/>
      <c r="AM38" s="327"/>
      <c r="AN38" s="337"/>
      <c r="AO38" s="338"/>
      <c r="AP38" s="328"/>
      <c r="AQ38" s="341"/>
      <c r="AR38" s="338"/>
      <c r="AS38" s="328"/>
      <c r="AT38" s="368">
        <f t="shared" si="0"/>
        <v>0</v>
      </c>
      <c r="AU38" s="310"/>
    </row>
    <row r="39" spans="1:47" s="313" customFormat="1" ht="18" customHeight="1" x14ac:dyDescent="0.25">
      <c r="A39" s="235">
        <v>519</v>
      </c>
      <c r="B39" s="905" t="s">
        <v>160</v>
      </c>
      <c r="C39" s="314">
        <f t="shared" ref="C39:K39" si="18">SUM(C40:C41)</f>
        <v>6066.66</v>
      </c>
      <c r="D39" s="347">
        <f t="shared" si="18"/>
        <v>0</v>
      </c>
      <c r="E39" s="347">
        <f t="shared" si="18"/>
        <v>0</v>
      </c>
      <c r="F39" s="347">
        <f t="shared" si="18"/>
        <v>0</v>
      </c>
      <c r="G39" s="348">
        <f>SUM(G40:G41)</f>
        <v>6066.66</v>
      </c>
      <c r="H39" s="343">
        <f t="shared" si="18"/>
        <v>6066.66</v>
      </c>
      <c r="I39" s="318">
        <f t="shared" si="18"/>
        <v>0</v>
      </c>
      <c r="J39" s="318">
        <f t="shared" si="18"/>
        <v>0</v>
      </c>
      <c r="K39" s="318">
        <f t="shared" si="18"/>
        <v>0</v>
      </c>
      <c r="L39" s="320">
        <f>SUM(L40:L41)</f>
        <v>6066.66</v>
      </c>
      <c r="M39" s="321">
        <f t="shared" ref="M39" si="19">SUM(M40:M41)</f>
        <v>0</v>
      </c>
      <c r="N39" s="322">
        <f>SUM(N40:N41)</f>
        <v>0</v>
      </c>
      <c r="O39" s="322">
        <v>0</v>
      </c>
      <c r="P39" s="322">
        <v>0</v>
      </c>
      <c r="Q39" s="322">
        <v>0</v>
      </c>
      <c r="R39" s="322">
        <v>0</v>
      </c>
      <c r="S39" s="349">
        <f>M39+N39+O39+P39+R39</f>
        <v>0</v>
      </c>
      <c r="T39" s="322"/>
      <c r="U39" s="322"/>
      <c r="V39" s="897">
        <f t="shared" si="3"/>
        <v>0</v>
      </c>
      <c r="W39" s="322"/>
      <c r="X39" s="322"/>
      <c r="Y39" s="324"/>
      <c r="Z39" s="360">
        <f t="shared" si="4"/>
        <v>0</v>
      </c>
      <c r="AA39" s="322"/>
      <c r="AB39" s="322"/>
      <c r="AC39" s="322"/>
      <c r="AD39" s="322"/>
      <c r="AE39" s="322">
        <v>0</v>
      </c>
      <c r="AF39" s="321"/>
      <c r="AG39" s="321">
        <v>0</v>
      </c>
      <c r="AH39" s="321">
        <v>0</v>
      </c>
      <c r="AI39" s="340">
        <f t="shared" si="5"/>
        <v>0</v>
      </c>
      <c r="AJ39" s="321"/>
      <c r="AK39" s="341"/>
      <c r="AL39" s="338"/>
      <c r="AM39" s="327"/>
      <c r="AN39" s="337"/>
      <c r="AO39" s="338"/>
      <c r="AP39" s="328"/>
      <c r="AQ39" s="341"/>
      <c r="AR39" s="338"/>
      <c r="AS39" s="328"/>
      <c r="AT39" s="368">
        <f t="shared" si="0"/>
        <v>12133.32</v>
      </c>
      <c r="AU39" s="312"/>
    </row>
    <row r="40" spans="1:47" s="313" customFormat="1" ht="18" customHeight="1" x14ac:dyDescent="0.25">
      <c r="A40" s="237">
        <v>51901</v>
      </c>
      <c r="B40" s="903" t="s">
        <v>161</v>
      </c>
      <c r="C40" s="345">
        <f>'AG1'!D43</f>
        <v>6066.66</v>
      </c>
      <c r="D40" s="330">
        <v>0</v>
      </c>
      <c r="E40" s="330">
        <v>0</v>
      </c>
      <c r="F40" s="330">
        <v>0</v>
      </c>
      <c r="G40" s="346">
        <f>C40+D40+E40+F40</f>
        <v>6066.66</v>
      </c>
      <c r="H40" s="344">
        <f>'AG1'!C43</f>
        <v>6066.66</v>
      </c>
      <c r="I40" s="334">
        <v>0</v>
      </c>
      <c r="J40" s="334">
        <v>0</v>
      </c>
      <c r="K40" s="334">
        <v>0</v>
      </c>
      <c r="L40" s="336">
        <f t="shared" ref="L40" si="20">SUM(H40:K40)</f>
        <v>6066.66</v>
      </c>
      <c r="M40" s="321">
        <v>0</v>
      </c>
      <c r="N40" s="322">
        <v>0</v>
      </c>
      <c r="O40" s="322">
        <v>0</v>
      </c>
      <c r="P40" s="322">
        <v>0</v>
      </c>
      <c r="Q40" s="322">
        <v>0</v>
      </c>
      <c r="R40" s="322">
        <v>0</v>
      </c>
      <c r="S40" s="323">
        <f>M40+N40+O40+P40+R40</f>
        <v>0</v>
      </c>
      <c r="T40" s="322"/>
      <c r="U40" s="322"/>
      <c r="V40" s="897">
        <f t="shared" si="3"/>
        <v>0</v>
      </c>
      <c r="W40" s="322"/>
      <c r="X40" s="322"/>
      <c r="Y40" s="324"/>
      <c r="Z40" s="360">
        <f t="shared" si="4"/>
        <v>0</v>
      </c>
      <c r="AA40" s="322"/>
      <c r="AB40" s="322"/>
      <c r="AC40" s="322"/>
      <c r="AD40" s="322"/>
      <c r="AE40" s="338">
        <v>0</v>
      </c>
      <c r="AF40" s="337"/>
      <c r="AG40" s="337">
        <v>0</v>
      </c>
      <c r="AH40" s="337">
        <v>0</v>
      </c>
      <c r="AI40" s="340">
        <f t="shared" si="5"/>
        <v>0</v>
      </c>
      <c r="AJ40" s="321"/>
      <c r="AK40" s="341"/>
      <c r="AL40" s="338"/>
      <c r="AM40" s="327"/>
      <c r="AN40" s="337"/>
      <c r="AO40" s="338"/>
      <c r="AP40" s="328"/>
      <c r="AQ40" s="341"/>
      <c r="AR40" s="338"/>
      <c r="AS40" s="328"/>
      <c r="AT40" s="391">
        <f t="shared" si="0"/>
        <v>12133.32</v>
      </c>
      <c r="AU40" s="312"/>
    </row>
    <row r="41" spans="1:47" s="311" customFormat="1" ht="18" hidden="1" customHeight="1" x14ac:dyDescent="0.25">
      <c r="A41" s="237">
        <v>51999</v>
      </c>
      <c r="B41" s="903" t="s">
        <v>160</v>
      </c>
      <c r="C41" s="345"/>
      <c r="D41" s="330"/>
      <c r="E41" s="330"/>
      <c r="F41" s="330"/>
      <c r="G41" s="346"/>
      <c r="H41" s="344"/>
      <c r="I41" s="334"/>
      <c r="J41" s="334"/>
      <c r="K41" s="334"/>
      <c r="L41" s="336"/>
      <c r="M41" s="337">
        <v>0</v>
      </c>
      <c r="N41" s="338">
        <v>0</v>
      </c>
      <c r="O41" s="338">
        <v>0</v>
      </c>
      <c r="P41" s="338">
        <v>0</v>
      </c>
      <c r="Q41" s="338">
        <v>0</v>
      </c>
      <c r="R41" s="338">
        <v>0</v>
      </c>
      <c r="S41" s="323">
        <f>M41+N41+O41+P41</f>
        <v>0</v>
      </c>
      <c r="T41" s="338"/>
      <c r="U41" s="338"/>
      <c r="V41" s="367">
        <f t="shared" si="3"/>
        <v>0</v>
      </c>
      <c r="W41" s="338"/>
      <c r="X41" s="338"/>
      <c r="Y41" s="339"/>
      <c r="Z41" s="328">
        <f t="shared" si="4"/>
        <v>0</v>
      </c>
      <c r="AA41" s="338"/>
      <c r="AB41" s="338"/>
      <c r="AC41" s="338"/>
      <c r="AD41" s="338"/>
      <c r="AE41" s="338"/>
      <c r="AF41" s="337"/>
      <c r="AG41" s="337"/>
      <c r="AH41" s="337"/>
      <c r="AI41" s="340">
        <f t="shared" si="5"/>
        <v>0</v>
      </c>
      <c r="AJ41" s="337"/>
      <c r="AK41" s="341"/>
      <c r="AL41" s="338"/>
      <c r="AM41" s="327"/>
      <c r="AN41" s="337"/>
      <c r="AO41" s="338"/>
      <c r="AP41" s="328"/>
      <c r="AQ41" s="341"/>
      <c r="AR41" s="338"/>
      <c r="AS41" s="328"/>
      <c r="AT41" s="391">
        <f t="shared" ref="AT41:AT72" si="21">+L41+S41+G41+AM41+AP41+AS41+V41+AE41+AI41+AJ41</f>
        <v>0</v>
      </c>
      <c r="AU41" s="310"/>
    </row>
    <row r="42" spans="1:47" s="313" customFormat="1" ht="18" hidden="1" customHeight="1" x14ac:dyDescent="0.25">
      <c r="A42" s="237"/>
      <c r="B42" s="903"/>
      <c r="C42" s="345"/>
      <c r="D42" s="330"/>
      <c r="E42" s="330"/>
      <c r="F42" s="330"/>
      <c r="G42" s="348"/>
      <c r="H42" s="344"/>
      <c r="I42" s="334"/>
      <c r="J42" s="334"/>
      <c r="K42" s="334"/>
      <c r="L42" s="320"/>
      <c r="M42" s="321">
        <v>0</v>
      </c>
      <c r="N42" s="322">
        <v>0</v>
      </c>
      <c r="O42" s="322">
        <v>0</v>
      </c>
      <c r="P42" s="322">
        <v>0</v>
      </c>
      <c r="Q42" s="322">
        <v>0</v>
      </c>
      <c r="R42" s="322">
        <v>0</v>
      </c>
      <c r="S42" s="323">
        <f>M42+N42+O42+P42</f>
        <v>0</v>
      </c>
      <c r="T42" s="322"/>
      <c r="U42" s="322"/>
      <c r="V42" s="897">
        <f t="shared" si="3"/>
        <v>0</v>
      </c>
      <c r="W42" s="322"/>
      <c r="X42" s="322"/>
      <c r="Y42" s="324"/>
      <c r="Z42" s="360">
        <f t="shared" si="4"/>
        <v>0</v>
      </c>
      <c r="AA42" s="322"/>
      <c r="AB42" s="322"/>
      <c r="AC42" s="322"/>
      <c r="AD42" s="322"/>
      <c r="AE42" s="322"/>
      <c r="AF42" s="321"/>
      <c r="AG42" s="321"/>
      <c r="AH42" s="321"/>
      <c r="AI42" s="340">
        <f t="shared" si="5"/>
        <v>0</v>
      </c>
      <c r="AJ42" s="321"/>
      <c r="AK42" s="341"/>
      <c r="AL42" s="338"/>
      <c r="AM42" s="327"/>
      <c r="AN42" s="337"/>
      <c r="AO42" s="338"/>
      <c r="AP42" s="328"/>
      <c r="AQ42" s="341"/>
      <c r="AR42" s="338"/>
      <c r="AS42" s="328"/>
      <c r="AT42" s="368">
        <f t="shared" si="21"/>
        <v>0</v>
      </c>
      <c r="AU42" s="312"/>
    </row>
    <row r="43" spans="1:47" s="311" customFormat="1" ht="18" customHeight="1" x14ac:dyDescent="0.25">
      <c r="A43" s="235">
        <v>54</v>
      </c>
      <c r="B43" s="905" t="s">
        <v>27</v>
      </c>
      <c r="C43" s="314">
        <f t="shared" ref="C43:J43" si="22">C44+C64+C70+C86+C91</f>
        <v>32204</v>
      </c>
      <c r="D43" s="347">
        <f t="shared" si="22"/>
        <v>3550</v>
      </c>
      <c r="E43" s="347">
        <f t="shared" si="22"/>
        <v>1150</v>
      </c>
      <c r="F43" s="347">
        <f t="shared" si="22"/>
        <v>88222.37999999999</v>
      </c>
      <c r="G43" s="348">
        <f>G44+G64+G70+G86+G91</f>
        <v>125126.37999999999</v>
      </c>
      <c r="H43" s="343">
        <f>H44+H64+H70+H86+H91</f>
        <v>17667.5</v>
      </c>
      <c r="I43" s="318">
        <f t="shared" si="22"/>
        <v>6600</v>
      </c>
      <c r="J43" s="318">
        <f t="shared" si="22"/>
        <v>1300</v>
      </c>
      <c r="K43" s="318">
        <f>K44+K64+K70+K86+K91</f>
        <v>165636.85</v>
      </c>
      <c r="L43" s="320">
        <f>SUM(H43:K43)</f>
        <v>191204.35</v>
      </c>
      <c r="M43" s="321">
        <f t="shared" ref="M43:O43" si="23">M44+M64+M70+M86+M91</f>
        <v>16481.980000000003</v>
      </c>
      <c r="N43" s="321">
        <f>N44+N64+N70+N86+N91</f>
        <v>134982.15000000002</v>
      </c>
      <c r="O43" s="321">
        <f t="shared" si="23"/>
        <v>28495</v>
      </c>
      <c r="P43" s="338">
        <v>0</v>
      </c>
      <c r="Q43" s="338">
        <v>0</v>
      </c>
      <c r="R43" s="338">
        <v>0</v>
      </c>
      <c r="S43" s="349">
        <f>M43+N43+O43+P43+R43</f>
        <v>179959.13000000003</v>
      </c>
      <c r="T43" s="322"/>
      <c r="U43" s="322"/>
      <c r="V43" s="897">
        <f t="shared" si="3"/>
        <v>0</v>
      </c>
      <c r="W43" s="322"/>
      <c r="X43" s="322"/>
      <c r="Y43" s="324"/>
      <c r="Z43" s="360">
        <f t="shared" si="4"/>
        <v>0</v>
      </c>
      <c r="AA43" s="322"/>
      <c r="AB43" s="322"/>
      <c r="AC43" s="322"/>
      <c r="AD43" s="322"/>
      <c r="AE43" s="322">
        <f>+AE91</f>
        <v>0</v>
      </c>
      <c r="AF43" s="321"/>
      <c r="AG43" s="337">
        <v>0</v>
      </c>
      <c r="AH43" s="337">
        <v>0</v>
      </c>
      <c r="AI43" s="325">
        <f t="shared" si="5"/>
        <v>0</v>
      </c>
      <c r="AJ43" s="337"/>
      <c r="AK43" s="341"/>
      <c r="AL43" s="338"/>
      <c r="AM43" s="327"/>
      <c r="AN43" s="337"/>
      <c r="AO43" s="338"/>
      <c r="AP43" s="328"/>
      <c r="AQ43" s="341"/>
      <c r="AR43" s="338"/>
      <c r="AS43" s="328"/>
      <c r="AT43" s="368">
        <f>AI43+AF43+AC43+Z43+V43+S43+L43+G43</f>
        <v>496289.86000000004</v>
      </c>
      <c r="AU43" s="310"/>
    </row>
    <row r="44" spans="1:47" s="313" customFormat="1" ht="18" customHeight="1" x14ac:dyDescent="0.25">
      <c r="A44" s="235">
        <v>541</v>
      </c>
      <c r="B44" s="905" t="s">
        <v>28</v>
      </c>
      <c r="C44" s="314">
        <f>SUM(C45:C63)</f>
        <v>11175</v>
      </c>
      <c r="D44" s="347">
        <f t="shared" ref="D44:J44" si="24">SUM(D45:D63)</f>
        <v>2300</v>
      </c>
      <c r="E44" s="347">
        <f t="shared" si="24"/>
        <v>950</v>
      </c>
      <c r="F44" s="347">
        <f t="shared" si="24"/>
        <v>7850.45</v>
      </c>
      <c r="G44" s="348">
        <f>SUM(G45:G63)</f>
        <v>22275.45</v>
      </c>
      <c r="H44" s="343">
        <f t="shared" si="24"/>
        <v>5050</v>
      </c>
      <c r="I44" s="318">
        <f t="shared" si="24"/>
        <v>6150</v>
      </c>
      <c r="J44" s="318">
        <f t="shared" si="24"/>
        <v>1200</v>
      </c>
      <c r="K44" s="318">
        <f>SUM(K45:K63)</f>
        <v>4800</v>
      </c>
      <c r="L44" s="320">
        <f>SUM(H44:K44)</f>
        <v>17200</v>
      </c>
      <c r="M44" s="321">
        <f>SUM(M45:M63)</f>
        <v>12999.820000000002</v>
      </c>
      <c r="N44" s="322">
        <f>SUM(N45:N63)</f>
        <v>65396.38</v>
      </c>
      <c r="O44" s="322">
        <f>SUM(O45:O63)</f>
        <v>28495</v>
      </c>
      <c r="P44" s="322">
        <v>0</v>
      </c>
      <c r="Q44" s="322">
        <v>0</v>
      </c>
      <c r="R44" s="322">
        <v>0</v>
      </c>
      <c r="S44" s="349">
        <f>M44+N44+O44+P44</f>
        <v>106891.2</v>
      </c>
      <c r="T44" s="322"/>
      <c r="U44" s="322"/>
      <c r="V44" s="897">
        <f t="shared" si="3"/>
        <v>0</v>
      </c>
      <c r="W44" s="322"/>
      <c r="X44" s="322"/>
      <c r="Y44" s="324"/>
      <c r="Z44" s="360">
        <f t="shared" si="4"/>
        <v>0</v>
      </c>
      <c r="AA44" s="322"/>
      <c r="AB44" s="322"/>
      <c r="AC44" s="322"/>
      <c r="AD44" s="322"/>
      <c r="AE44" s="322">
        <v>0</v>
      </c>
      <c r="AF44" s="321"/>
      <c r="AG44" s="321">
        <v>0</v>
      </c>
      <c r="AH44" s="321">
        <v>0</v>
      </c>
      <c r="AI44" s="325">
        <f t="shared" si="5"/>
        <v>0</v>
      </c>
      <c r="AJ44" s="321"/>
      <c r="AK44" s="341"/>
      <c r="AL44" s="338"/>
      <c r="AM44" s="327"/>
      <c r="AN44" s="337"/>
      <c r="AO44" s="338"/>
      <c r="AP44" s="328"/>
      <c r="AQ44" s="341"/>
      <c r="AR44" s="338"/>
      <c r="AS44" s="328"/>
      <c r="AT44" s="368">
        <f t="shared" ref="AT44:AT63" si="25">AI44+AF44+AC44+Z44+V44+S44+L44+G44</f>
        <v>146366.65</v>
      </c>
      <c r="AU44" s="312"/>
    </row>
    <row r="45" spans="1:47" s="311" customFormat="1" ht="18" customHeight="1" x14ac:dyDescent="0.25">
      <c r="A45" s="237">
        <v>54101</v>
      </c>
      <c r="B45" s="903" t="s">
        <v>29</v>
      </c>
      <c r="C45" s="345">
        <f>'egresos 25% y F.P'!C121</f>
        <v>1100</v>
      </c>
      <c r="D45" s="330">
        <v>0</v>
      </c>
      <c r="E45" s="330">
        <v>0</v>
      </c>
      <c r="F45" s="330">
        <v>0</v>
      </c>
      <c r="G45" s="346">
        <f>SUM(C45:F45)</f>
        <v>1100</v>
      </c>
      <c r="H45" s="344">
        <f>'egresos 25% y F.P'!C13</f>
        <v>50</v>
      </c>
      <c r="I45" s="334">
        <f>'egresos 25% y F.P'!D13</f>
        <v>0</v>
      </c>
      <c r="J45" s="334">
        <f>'egresos 25% y F.P'!E13</f>
        <v>0</v>
      </c>
      <c r="K45" s="334">
        <f>'egresos 25% y F.P'!F13</f>
        <v>0</v>
      </c>
      <c r="L45" s="336">
        <f>SUM(H45:K45)</f>
        <v>50</v>
      </c>
      <c r="M45" s="337">
        <v>0</v>
      </c>
      <c r="N45" s="338">
        <v>0</v>
      </c>
      <c r="O45" s="338">
        <v>0</v>
      </c>
      <c r="P45" s="338">
        <v>0</v>
      </c>
      <c r="Q45" s="338">
        <v>0</v>
      </c>
      <c r="R45" s="338">
        <v>0</v>
      </c>
      <c r="S45" s="323">
        <f t="shared" ref="S45:S92" si="26">M45+N45+O45+P45+R45</f>
        <v>0</v>
      </c>
      <c r="T45" s="338"/>
      <c r="U45" s="338"/>
      <c r="V45" s="367">
        <f t="shared" si="3"/>
        <v>0</v>
      </c>
      <c r="W45" s="338"/>
      <c r="X45" s="338"/>
      <c r="Y45" s="339"/>
      <c r="Z45" s="328">
        <f t="shared" si="4"/>
        <v>0</v>
      </c>
      <c r="AA45" s="338"/>
      <c r="AB45" s="338"/>
      <c r="AC45" s="338"/>
      <c r="AD45" s="338"/>
      <c r="AE45" s="338">
        <v>0</v>
      </c>
      <c r="AF45" s="337"/>
      <c r="AG45" s="337">
        <v>0</v>
      </c>
      <c r="AH45" s="337">
        <v>0</v>
      </c>
      <c r="AI45" s="340">
        <f t="shared" si="5"/>
        <v>0</v>
      </c>
      <c r="AJ45" s="337"/>
      <c r="AK45" s="341"/>
      <c r="AL45" s="338"/>
      <c r="AM45" s="327"/>
      <c r="AN45" s="337"/>
      <c r="AO45" s="338"/>
      <c r="AP45" s="328"/>
      <c r="AQ45" s="341"/>
      <c r="AR45" s="338"/>
      <c r="AS45" s="328"/>
      <c r="AT45" s="368">
        <f>AI45+AF45+AC45+Z45+V45+S45+L45+G45</f>
        <v>1150</v>
      </c>
      <c r="AU45" s="310"/>
    </row>
    <row r="46" spans="1:47" s="311" customFormat="1" ht="18" customHeight="1" x14ac:dyDescent="0.25">
      <c r="A46" s="237">
        <v>54103</v>
      </c>
      <c r="B46" s="903" t="s">
        <v>30</v>
      </c>
      <c r="C46" s="345"/>
      <c r="D46" s="330"/>
      <c r="E46" s="330"/>
      <c r="F46" s="330"/>
      <c r="G46" s="346">
        <f t="shared" ref="G46:G63" si="27">SUM(C46:F46)</f>
        <v>0</v>
      </c>
      <c r="H46" s="344"/>
      <c r="I46" s="334">
        <f>'egresos 25% y F.P'!D14</f>
        <v>0</v>
      </c>
      <c r="J46" s="334">
        <f>'egresos 25% y F.P'!E14</f>
        <v>0</v>
      </c>
      <c r="K46" s="334">
        <f>'egresos 25% y F.P'!F14</f>
        <v>0</v>
      </c>
      <c r="L46" s="336">
        <f>SUM(H46:J46)</f>
        <v>0</v>
      </c>
      <c r="M46" s="337">
        <v>0</v>
      </c>
      <c r="N46" s="338">
        <f>'AG3'!E145</f>
        <v>4800</v>
      </c>
      <c r="O46" s="338">
        <v>0</v>
      </c>
      <c r="P46" s="338">
        <v>0</v>
      </c>
      <c r="Q46" s="338">
        <v>0</v>
      </c>
      <c r="R46" s="338">
        <v>0</v>
      </c>
      <c r="S46" s="323">
        <f t="shared" si="26"/>
        <v>4800</v>
      </c>
      <c r="T46" s="338"/>
      <c r="U46" s="338"/>
      <c r="V46" s="367">
        <f t="shared" si="3"/>
        <v>0</v>
      </c>
      <c r="W46" s="338"/>
      <c r="X46" s="338"/>
      <c r="Y46" s="339"/>
      <c r="Z46" s="328">
        <f t="shared" si="4"/>
        <v>0</v>
      </c>
      <c r="AA46" s="338"/>
      <c r="AB46" s="338"/>
      <c r="AC46" s="338"/>
      <c r="AD46" s="338"/>
      <c r="AE46" s="338">
        <v>0</v>
      </c>
      <c r="AF46" s="337"/>
      <c r="AG46" s="337">
        <v>0</v>
      </c>
      <c r="AH46" s="337">
        <v>0</v>
      </c>
      <c r="AI46" s="340">
        <f t="shared" si="5"/>
        <v>0</v>
      </c>
      <c r="AJ46" s="337"/>
      <c r="AK46" s="341"/>
      <c r="AL46" s="338"/>
      <c r="AM46" s="327"/>
      <c r="AN46" s="337"/>
      <c r="AO46" s="338"/>
      <c r="AP46" s="328"/>
      <c r="AQ46" s="341"/>
      <c r="AR46" s="338"/>
      <c r="AS46" s="328"/>
      <c r="AT46" s="368">
        <f t="shared" si="25"/>
        <v>4800</v>
      </c>
      <c r="AU46" s="310"/>
    </row>
    <row r="47" spans="1:47" s="311" customFormat="1" ht="18" customHeight="1" x14ac:dyDescent="0.25">
      <c r="A47" s="237">
        <v>54104</v>
      </c>
      <c r="B47" s="903" t="s">
        <v>31</v>
      </c>
      <c r="C47" s="345">
        <f>'egresos 25% y F.P'!C123</f>
        <v>5000</v>
      </c>
      <c r="D47" s="331">
        <f>'egresos 25% y F.P'!D123</f>
        <v>0</v>
      </c>
      <c r="E47" s="331">
        <f>'egresos 25% y F.P'!E123</f>
        <v>0</v>
      </c>
      <c r="F47" s="331">
        <f>'egresos 25% y F.P'!F123</f>
        <v>0</v>
      </c>
      <c r="G47" s="346">
        <f t="shared" si="27"/>
        <v>5000</v>
      </c>
      <c r="H47" s="344">
        <f>'egresos 25% y F.P'!C15</f>
        <v>0</v>
      </c>
      <c r="I47" s="334">
        <f>'egresos 25% y F.P'!D15</f>
        <v>0</v>
      </c>
      <c r="J47" s="334">
        <f>'egresos 25% y F.P'!E15</f>
        <v>0</v>
      </c>
      <c r="K47" s="334">
        <f>'egresos 25% y F.P'!F15</f>
        <v>0</v>
      </c>
      <c r="L47" s="336">
        <f>SUM(H47:K47)</f>
        <v>0</v>
      </c>
      <c r="M47" s="337">
        <v>0</v>
      </c>
      <c r="N47" s="338">
        <f>'AG3'!E53+'AG3'!E99+'AG3'!E107+'AG3'!E122</f>
        <v>6207</v>
      </c>
      <c r="O47" s="338">
        <f>'AG4'!E36</f>
        <v>576</v>
      </c>
      <c r="P47" s="338"/>
      <c r="Q47" s="338">
        <v>0</v>
      </c>
      <c r="R47" s="338">
        <v>0</v>
      </c>
      <c r="S47" s="323">
        <f t="shared" si="26"/>
        <v>6783</v>
      </c>
      <c r="T47" s="338"/>
      <c r="U47" s="338"/>
      <c r="V47" s="367">
        <f t="shared" si="3"/>
        <v>0</v>
      </c>
      <c r="W47" s="338"/>
      <c r="X47" s="338"/>
      <c r="Y47" s="339"/>
      <c r="Z47" s="328">
        <f t="shared" si="4"/>
        <v>0</v>
      </c>
      <c r="AA47" s="338"/>
      <c r="AB47" s="338"/>
      <c r="AC47" s="338"/>
      <c r="AD47" s="338"/>
      <c r="AE47" s="338">
        <v>0</v>
      </c>
      <c r="AF47" s="337"/>
      <c r="AG47" s="337">
        <v>0</v>
      </c>
      <c r="AH47" s="337">
        <v>0</v>
      </c>
      <c r="AI47" s="340">
        <f t="shared" si="5"/>
        <v>0</v>
      </c>
      <c r="AJ47" s="337"/>
      <c r="AK47" s="341"/>
      <c r="AL47" s="338"/>
      <c r="AM47" s="327"/>
      <c r="AN47" s="337"/>
      <c r="AO47" s="338"/>
      <c r="AP47" s="328"/>
      <c r="AQ47" s="341"/>
      <c r="AR47" s="338"/>
      <c r="AS47" s="328"/>
      <c r="AT47" s="368">
        <f t="shared" si="25"/>
        <v>11783</v>
      </c>
      <c r="AU47" s="310"/>
    </row>
    <row r="48" spans="1:47" s="311" customFormat="1" ht="18" customHeight="1" x14ac:dyDescent="0.25">
      <c r="A48" s="237">
        <v>54105</v>
      </c>
      <c r="B48" s="903" t="s">
        <v>32</v>
      </c>
      <c r="C48" s="345">
        <f>+'egresos 25% y F.P'!C124</f>
        <v>350</v>
      </c>
      <c r="D48" s="330">
        <f>+'egresos 25% y F.P'!D124</f>
        <v>1000</v>
      </c>
      <c r="E48" s="330">
        <f>+'egresos 25% y F.P'!E124</f>
        <v>200</v>
      </c>
      <c r="F48" s="330">
        <f>+'egresos 25% y F.P'!F124</f>
        <v>75</v>
      </c>
      <c r="G48" s="346">
        <f t="shared" si="27"/>
        <v>1625</v>
      </c>
      <c r="H48" s="344">
        <f>'egresos 25% y F.P'!C16</f>
        <v>400</v>
      </c>
      <c r="I48" s="334">
        <f>'egresos 25% y F.P'!D16</f>
        <v>1500</v>
      </c>
      <c r="J48" s="334">
        <f>'egresos 25% y F.P'!E16</f>
        <v>450</v>
      </c>
      <c r="K48" s="334">
        <f>'egresos 25% y F.P'!F16</f>
        <v>150</v>
      </c>
      <c r="L48" s="336">
        <f>SUM(H48:K48)</f>
        <v>2500</v>
      </c>
      <c r="M48" s="337">
        <f>'AG3'!E28</f>
        <v>1245</v>
      </c>
      <c r="N48" s="338">
        <f>'AG3'!E54+'AG3'!E108</f>
        <v>241</v>
      </c>
      <c r="O48" s="338">
        <f>'AG4'!E37</f>
        <v>200</v>
      </c>
      <c r="P48" s="338">
        <v>0</v>
      </c>
      <c r="Q48" s="338">
        <v>0</v>
      </c>
      <c r="R48" s="338">
        <v>0</v>
      </c>
      <c r="S48" s="323">
        <f t="shared" si="26"/>
        <v>1686</v>
      </c>
      <c r="T48" s="338"/>
      <c r="U48" s="338"/>
      <c r="V48" s="367">
        <f t="shared" si="3"/>
        <v>0</v>
      </c>
      <c r="W48" s="338"/>
      <c r="X48" s="338"/>
      <c r="Y48" s="339"/>
      <c r="Z48" s="328">
        <f t="shared" si="4"/>
        <v>0</v>
      </c>
      <c r="AA48" s="338"/>
      <c r="AB48" s="338"/>
      <c r="AC48" s="338"/>
      <c r="AD48" s="338"/>
      <c r="AE48" s="338">
        <v>0</v>
      </c>
      <c r="AF48" s="337"/>
      <c r="AG48" s="337">
        <v>0</v>
      </c>
      <c r="AH48" s="337">
        <v>0</v>
      </c>
      <c r="AI48" s="340">
        <f t="shared" si="5"/>
        <v>0</v>
      </c>
      <c r="AJ48" s="337"/>
      <c r="AK48" s="341"/>
      <c r="AL48" s="338"/>
      <c r="AM48" s="327"/>
      <c r="AN48" s="337"/>
      <c r="AO48" s="338"/>
      <c r="AP48" s="328"/>
      <c r="AQ48" s="341"/>
      <c r="AR48" s="338"/>
      <c r="AS48" s="328"/>
      <c r="AT48" s="368">
        <f t="shared" si="25"/>
        <v>5811</v>
      </c>
      <c r="AU48" s="310"/>
    </row>
    <row r="49" spans="1:47" s="313" customFormat="1" ht="18" customHeight="1" x14ac:dyDescent="0.25">
      <c r="A49" s="237">
        <v>54106</v>
      </c>
      <c r="B49" s="903" t="s">
        <v>33</v>
      </c>
      <c r="C49" s="345">
        <v>0</v>
      </c>
      <c r="D49" s="330">
        <v>0</v>
      </c>
      <c r="E49" s="330">
        <v>0</v>
      </c>
      <c r="F49" s="330">
        <f>'egresos 25% y F.P'!F125</f>
        <v>50</v>
      </c>
      <c r="G49" s="346">
        <f t="shared" si="27"/>
        <v>50</v>
      </c>
      <c r="H49" s="344">
        <f>'egresos 25% y F.P'!C17</f>
        <v>0</v>
      </c>
      <c r="I49" s="334">
        <f>'egresos 25% y F.P'!D17</f>
        <v>0</v>
      </c>
      <c r="J49" s="334">
        <f>'egresos 25% y F.P'!E17</f>
        <v>0</v>
      </c>
      <c r="K49" s="334">
        <f>'egresos 25% y F.P'!F17</f>
        <v>0</v>
      </c>
      <c r="L49" s="336">
        <f>SUM(H49:J49)</f>
        <v>0</v>
      </c>
      <c r="M49" s="321">
        <v>0</v>
      </c>
      <c r="N49" s="322">
        <v>0</v>
      </c>
      <c r="O49" s="322">
        <v>0</v>
      </c>
      <c r="P49" s="338">
        <v>0</v>
      </c>
      <c r="Q49" s="322">
        <v>0</v>
      </c>
      <c r="R49" s="322">
        <v>0</v>
      </c>
      <c r="S49" s="323">
        <f t="shared" si="26"/>
        <v>0</v>
      </c>
      <c r="T49" s="322"/>
      <c r="U49" s="322"/>
      <c r="V49" s="897">
        <f t="shared" si="3"/>
        <v>0</v>
      </c>
      <c r="W49" s="322"/>
      <c r="X49" s="322"/>
      <c r="Y49" s="324"/>
      <c r="Z49" s="360">
        <f t="shared" si="4"/>
        <v>0</v>
      </c>
      <c r="AA49" s="322"/>
      <c r="AB49" s="322"/>
      <c r="AC49" s="322"/>
      <c r="AD49" s="322"/>
      <c r="AE49" s="322">
        <v>0</v>
      </c>
      <c r="AF49" s="321"/>
      <c r="AG49" s="321">
        <v>0</v>
      </c>
      <c r="AH49" s="321">
        <v>0</v>
      </c>
      <c r="AI49" s="340">
        <f t="shared" si="5"/>
        <v>0</v>
      </c>
      <c r="AJ49" s="321"/>
      <c r="AK49" s="341"/>
      <c r="AL49" s="338"/>
      <c r="AM49" s="327"/>
      <c r="AN49" s="337"/>
      <c r="AO49" s="338"/>
      <c r="AP49" s="328"/>
      <c r="AQ49" s="341"/>
      <c r="AR49" s="338"/>
      <c r="AS49" s="328"/>
      <c r="AT49" s="368">
        <f>AI49+AF49+AC49+Z49+V49+S49+L49+G49</f>
        <v>50</v>
      </c>
      <c r="AU49" s="312"/>
    </row>
    <row r="50" spans="1:47" s="313" customFormat="1" ht="18" customHeight="1" x14ac:dyDescent="0.25">
      <c r="A50" s="237">
        <v>54107</v>
      </c>
      <c r="B50" s="903" t="s">
        <v>34</v>
      </c>
      <c r="C50" s="345">
        <v>0</v>
      </c>
      <c r="D50" s="330">
        <v>0</v>
      </c>
      <c r="E50" s="330">
        <v>0</v>
      </c>
      <c r="F50" s="330">
        <f>'egresos 25% y F.P'!F126</f>
        <v>2000</v>
      </c>
      <c r="G50" s="346">
        <f t="shared" si="27"/>
        <v>2000</v>
      </c>
      <c r="H50" s="344">
        <f>'egresos 25% y F.P'!C18</f>
        <v>100</v>
      </c>
      <c r="I50" s="334">
        <f>'egresos 25% y F.P'!D18</f>
        <v>0</v>
      </c>
      <c r="J50" s="334">
        <f>'egresos 25% y F.P'!E18</f>
        <v>0</v>
      </c>
      <c r="K50" s="334">
        <f>'egresos 25% y F.P'!F18</f>
        <v>1000</v>
      </c>
      <c r="L50" s="336">
        <f>SUM(H50:K50)</f>
        <v>1100</v>
      </c>
      <c r="M50" s="337">
        <f>'AG3'!E29</f>
        <v>304.14999999999998</v>
      </c>
      <c r="N50" s="338">
        <f>'AG3'!E55+'AG3'!E109</f>
        <v>503.88</v>
      </c>
      <c r="O50" s="338">
        <f>'AG4'!E56+250</f>
        <v>26250</v>
      </c>
      <c r="P50" s="338"/>
      <c r="Q50" s="338">
        <v>0</v>
      </c>
      <c r="R50" s="338">
        <v>0</v>
      </c>
      <c r="S50" s="323">
        <f t="shared" si="26"/>
        <v>27058.03</v>
      </c>
      <c r="T50" s="338"/>
      <c r="U50" s="338"/>
      <c r="V50" s="367">
        <f t="shared" si="3"/>
        <v>0</v>
      </c>
      <c r="W50" s="338"/>
      <c r="X50" s="338"/>
      <c r="Y50" s="339"/>
      <c r="Z50" s="328">
        <f t="shared" si="4"/>
        <v>0</v>
      </c>
      <c r="AA50" s="338"/>
      <c r="AB50" s="338"/>
      <c r="AC50" s="338"/>
      <c r="AD50" s="338"/>
      <c r="AE50" s="338">
        <v>0</v>
      </c>
      <c r="AF50" s="337"/>
      <c r="AG50" s="337">
        <v>0</v>
      </c>
      <c r="AH50" s="337">
        <v>0</v>
      </c>
      <c r="AI50" s="340">
        <f t="shared" si="5"/>
        <v>0</v>
      </c>
      <c r="AJ50" s="321"/>
      <c r="AK50" s="341"/>
      <c r="AL50" s="338"/>
      <c r="AM50" s="327"/>
      <c r="AN50" s="337"/>
      <c r="AO50" s="338"/>
      <c r="AP50" s="328"/>
      <c r="AQ50" s="341"/>
      <c r="AR50" s="338"/>
      <c r="AS50" s="328"/>
      <c r="AT50" s="368">
        <f>AI50+AF50+AC50+Z50+V50+S50+L50+G50</f>
        <v>30158.03</v>
      </c>
      <c r="AU50" s="312"/>
    </row>
    <row r="51" spans="1:47" s="311" customFormat="1" ht="18" hidden="1" customHeight="1" x14ac:dyDescent="0.25">
      <c r="A51" s="237">
        <v>54108</v>
      </c>
      <c r="B51" s="903" t="s">
        <v>35</v>
      </c>
      <c r="C51" s="345">
        <v>0</v>
      </c>
      <c r="D51" s="330">
        <v>0</v>
      </c>
      <c r="E51" s="330">
        <v>0</v>
      </c>
      <c r="F51" s="330">
        <v>0</v>
      </c>
      <c r="G51" s="346">
        <f t="shared" si="27"/>
        <v>0</v>
      </c>
      <c r="H51" s="344">
        <f>'egresos 25% y F.P'!C19</f>
        <v>0</v>
      </c>
      <c r="I51" s="334">
        <f>'egresos 25% y F.P'!D19</f>
        <v>0</v>
      </c>
      <c r="J51" s="334">
        <f>'egresos 25% y F.P'!E19</f>
        <v>0</v>
      </c>
      <c r="K51" s="334">
        <f>'egresos 25% y F.P'!F19</f>
        <v>0</v>
      </c>
      <c r="L51" s="336">
        <f>SUM(H51:J51)</f>
        <v>0</v>
      </c>
      <c r="M51" s="337">
        <v>0</v>
      </c>
      <c r="N51" s="338">
        <v>0</v>
      </c>
      <c r="O51" s="338">
        <v>0</v>
      </c>
      <c r="P51" s="338">
        <v>0</v>
      </c>
      <c r="Q51" s="338">
        <v>0</v>
      </c>
      <c r="R51" s="338">
        <v>0</v>
      </c>
      <c r="S51" s="323">
        <f t="shared" si="26"/>
        <v>0</v>
      </c>
      <c r="T51" s="338"/>
      <c r="U51" s="338"/>
      <c r="V51" s="367">
        <f t="shared" si="3"/>
        <v>0</v>
      </c>
      <c r="W51" s="338"/>
      <c r="X51" s="338"/>
      <c r="Y51" s="339"/>
      <c r="Z51" s="328">
        <f t="shared" si="4"/>
        <v>0</v>
      </c>
      <c r="AA51" s="338"/>
      <c r="AB51" s="338"/>
      <c r="AC51" s="338"/>
      <c r="AD51" s="338"/>
      <c r="AE51" s="338">
        <v>0</v>
      </c>
      <c r="AF51" s="337"/>
      <c r="AG51" s="337">
        <v>0</v>
      </c>
      <c r="AH51" s="337">
        <v>0</v>
      </c>
      <c r="AI51" s="340">
        <f t="shared" si="5"/>
        <v>0</v>
      </c>
      <c r="AJ51" s="337"/>
      <c r="AK51" s="341"/>
      <c r="AL51" s="338"/>
      <c r="AM51" s="327"/>
      <c r="AN51" s="337"/>
      <c r="AO51" s="338"/>
      <c r="AP51" s="328"/>
      <c r="AQ51" s="341"/>
      <c r="AR51" s="338"/>
      <c r="AS51" s="328"/>
      <c r="AT51" s="368">
        <f t="shared" si="25"/>
        <v>0</v>
      </c>
      <c r="AU51" s="310"/>
    </row>
    <row r="52" spans="1:47" s="311" customFormat="1" ht="18" customHeight="1" x14ac:dyDescent="0.25">
      <c r="A52" s="237">
        <v>54109</v>
      </c>
      <c r="B52" s="903" t="s">
        <v>36</v>
      </c>
      <c r="C52" s="345">
        <f>'egresos 25% y F.P'!C128</f>
        <v>400</v>
      </c>
      <c r="D52" s="330">
        <f>'egresos 25% y F.P'!D128</f>
        <v>0</v>
      </c>
      <c r="E52" s="330">
        <f>'egresos 25% y F.P'!E128</f>
        <v>0</v>
      </c>
      <c r="F52" s="330">
        <f>'egresos 25% y F.P'!F128</f>
        <v>500</v>
      </c>
      <c r="G52" s="346">
        <f t="shared" si="27"/>
        <v>900</v>
      </c>
      <c r="H52" s="344">
        <f>'egresos 25% y F.P'!C20</f>
        <v>1000</v>
      </c>
      <c r="I52" s="334">
        <f>'egresos 25% y F.P'!D20</f>
        <v>0</v>
      </c>
      <c r="J52" s="334">
        <f>'egresos 25% y F.P'!E20</f>
        <v>0</v>
      </c>
      <c r="K52" s="334">
        <f>'egresos 25% y F.P'!F20</f>
        <v>1200</v>
      </c>
      <c r="L52" s="336">
        <f>SUM(H52:K52)</f>
        <v>2200</v>
      </c>
      <c r="M52" s="337">
        <v>0</v>
      </c>
      <c r="N52" s="338">
        <v>0</v>
      </c>
      <c r="O52" s="338">
        <v>0</v>
      </c>
      <c r="P52" s="338">
        <v>0</v>
      </c>
      <c r="Q52" s="338">
        <v>0</v>
      </c>
      <c r="R52" s="338">
        <v>0</v>
      </c>
      <c r="S52" s="323">
        <f t="shared" si="26"/>
        <v>0</v>
      </c>
      <c r="T52" s="338"/>
      <c r="U52" s="338"/>
      <c r="V52" s="367">
        <f t="shared" si="3"/>
        <v>0</v>
      </c>
      <c r="W52" s="338"/>
      <c r="X52" s="338"/>
      <c r="Y52" s="339"/>
      <c r="Z52" s="328">
        <f t="shared" si="4"/>
        <v>0</v>
      </c>
      <c r="AA52" s="338"/>
      <c r="AB52" s="338"/>
      <c r="AC52" s="338"/>
      <c r="AD52" s="338"/>
      <c r="AE52" s="338">
        <v>0</v>
      </c>
      <c r="AF52" s="337"/>
      <c r="AG52" s="337">
        <v>0</v>
      </c>
      <c r="AH52" s="337">
        <v>0</v>
      </c>
      <c r="AI52" s="340">
        <f t="shared" si="5"/>
        <v>0</v>
      </c>
      <c r="AJ52" s="337"/>
      <c r="AK52" s="341"/>
      <c r="AL52" s="338"/>
      <c r="AM52" s="327"/>
      <c r="AN52" s="337"/>
      <c r="AO52" s="338"/>
      <c r="AP52" s="328"/>
      <c r="AQ52" s="341"/>
      <c r="AR52" s="338"/>
      <c r="AS52" s="328"/>
      <c r="AT52" s="368">
        <f>AI52+AF52+AC52+Z52+V52+S52+L52+G52</f>
        <v>3100</v>
      </c>
      <c r="AU52" s="310"/>
    </row>
    <row r="53" spans="1:47" s="313" customFormat="1" ht="18" customHeight="1" x14ac:dyDescent="0.25">
      <c r="A53" s="237">
        <v>54110</v>
      </c>
      <c r="B53" s="903" t="s">
        <v>37</v>
      </c>
      <c r="C53" s="345">
        <f>'egresos 25% y F.P'!C129</f>
        <v>2500</v>
      </c>
      <c r="D53" s="330">
        <f>'egresos 25% y F.P'!D129</f>
        <v>0</v>
      </c>
      <c r="E53" s="330">
        <f>'egresos 25% y F.P'!E129</f>
        <v>0</v>
      </c>
      <c r="F53" s="330">
        <f>'egresos 25% y F.P'!F129</f>
        <v>1500</v>
      </c>
      <c r="G53" s="346">
        <f t="shared" si="27"/>
        <v>4000</v>
      </c>
      <c r="H53" s="344">
        <f>'egresos 25% y F.P'!C21</f>
        <v>2000</v>
      </c>
      <c r="I53" s="334">
        <f>'egresos 25% y F.P'!D21</f>
        <v>0</v>
      </c>
      <c r="J53" s="334">
        <f>'egresos 25% y F.P'!E21</f>
        <v>0</v>
      </c>
      <c r="K53" s="334">
        <f>'egresos 25% y F.P'!F21</f>
        <v>1000</v>
      </c>
      <c r="L53" s="336">
        <f t="shared" ref="L53:L69" si="28">SUM(H53:K53)</f>
        <v>3000</v>
      </c>
      <c r="M53" s="337">
        <v>0</v>
      </c>
      <c r="N53" s="338">
        <f>'AG3'!E56</f>
        <v>2400</v>
      </c>
      <c r="O53" s="338">
        <f>'AG4'!E39</f>
        <v>200</v>
      </c>
      <c r="P53" s="338">
        <v>0</v>
      </c>
      <c r="Q53" s="338">
        <v>0</v>
      </c>
      <c r="R53" s="338">
        <v>0</v>
      </c>
      <c r="S53" s="323">
        <f t="shared" si="26"/>
        <v>2600</v>
      </c>
      <c r="T53" s="338"/>
      <c r="U53" s="338"/>
      <c r="V53" s="367">
        <f t="shared" si="3"/>
        <v>0</v>
      </c>
      <c r="W53" s="338"/>
      <c r="X53" s="338"/>
      <c r="Y53" s="339"/>
      <c r="Z53" s="328">
        <f t="shared" si="4"/>
        <v>0</v>
      </c>
      <c r="AA53" s="338"/>
      <c r="AB53" s="338"/>
      <c r="AC53" s="338"/>
      <c r="AD53" s="338"/>
      <c r="AE53" s="338">
        <v>0</v>
      </c>
      <c r="AF53" s="337"/>
      <c r="AG53" s="337">
        <v>0</v>
      </c>
      <c r="AH53" s="337">
        <v>0</v>
      </c>
      <c r="AI53" s="340">
        <f t="shared" si="5"/>
        <v>0</v>
      </c>
      <c r="AJ53" s="321"/>
      <c r="AK53" s="341"/>
      <c r="AL53" s="338"/>
      <c r="AM53" s="327"/>
      <c r="AN53" s="337"/>
      <c r="AO53" s="338"/>
      <c r="AP53" s="328"/>
      <c r="AQ53" s="341"/>
      <c r="AR53" s="338"/>
      <c r="AS53" s="328"/>
      <c r="AT53" s="368">
        <f>AI53+AF53+AC53+Z53+V53+S53+L53+G53</f>
        <v>9600</v>
      </c>
      <c r="AU53" s="312"/>
    </row>
    <row r="54" spans="1:47" s="313" customFormat="1" ht="18" customHeight="1" x14ac:dyDescent="0.25">
      <c r="A54" s="237">
        <v>54111</v>
      </c>
      <c r="B54" s="903" t="s">
        <v>38</v>
      </c>
      <c r="C54" s="345">
        <v>0</v>
      </c>
      <c r="D54" s="330">
        <v>0</v>
      </c>
      <c r="E54" s="330">
        <v>0</v>
      </c>
      <c r="F54" s="330">
        <f>'egresos 25% y F.P'!F130</f>
        <v>100</v>
      </c>
      <c r="G54" s="346">
        <f t="shared" si="27"/>
        <v>100</v>
      </c>
      <c r="H54" s="344">
        <f>'egresos 25% y F.P'!C22</f>
        <v>0</v>
      </c>
      <c r="I54" s="334">
        <f>'egresos 25% y F.P'!D22</f>
        <v>0</v>
      </c>
      <c r="J54" s="334">
        <f>'egresos 25% y F.P'!E22</f>
        <v>0</v>
      </c>
      <c r="K54" s="334">
        <f>'egresos 25% y F.P'!F22</f>
        <v>0</v>
      </c>
      <c r="L54" s="336">
        <f t="shared" si="28"/>
        <v>0</v>
      </c>
      <c r="M54" s="337">
        <f>'AG3'!E30</f>
        <v>2870.55</v>
      </c>
      <c r="N54" s="338">
        <f>'AG3'!E146</f>
        <v>5605</v>
      </c>
      <c r="O54" s="338">
        <v>0</v>
      </c>
      <c r="P54" s="338">
        <v>0</v>
      </c>
      <c r="Q54" s="338">
        <v>0</v>
      </c>
      <c r="R54" s="338">
        <v>0</v>
      </c>
      <c r="S54" s="323">
        <f t="shared" si="26"/>
        <v>8475.5499999999993</v>
      </c>
      <c r="T54" s="338"/>
      <c r="U54" s="338"/>
      <c r="V54" s="367">
        <f t="shared" si="3"/>
        <v>0</v>
      </c>
      <c r="W54" s="338"/>
      <c r="X54" s="338"/>
      <c r="Y54" s="339"/>
      <c r="Z54" s="328">
        <f t="shared" si="4"/>
        <v>0</v>
      </c>
      <c r="AA54" s="338"/>
      <c r="AB54" s="338"/>
      <c r="AC54" s="338"/>
      <c r="AD54" s="338"/>
      <c r="AE54" s="338">
        <v>0</v>
      </c>
      <c r="AF54" s="337"/>
      <c r="AG54" s="337">
        <v>0</v>
      </c>
      <c r="AH54" s="337">
        <v>0</v>
      </c>
      <c r="AI54" s="340">
        <f t="shared" si="5"/>
        <v>0</v>
      </c>
      <c r="AJ54" s="321"/>
      <c r="AK54" s="341"/>
      <c r="AL54" s="338"/>
      <c r="AM54" s="327"/>
      <c r="AN54" s="337"/>
      <c r="AO54" s="338"/>
      <c r="AP54" s="328"/>
      <c r="AQ54" s="341"/>
      <c r="AR54" s="338"/>
      <c r="AS54" s="328"/>
      <c r="AT54" s="368">
        <f t="shared" si="25"/>
        <v>8575.5499999999993</v>
      </c>
      <c r="AU54" s="312"/>
    </row>
    <row r="55" spans="1:47" s="311" customFormat="1" ht="18" customHeight="1" x14ac:dyDescent="0.25">
      <c r="A55" s="237">
        <v>54112</v>
      </c>
      <c r="B55" s="903" t="s">
        <v>39</v>
      </c>
      <c r="C55" s="345">
        <v>0</v>
      </c>
      <c r="D55" s="330">
        <v>0</v>
      </c>
      <c r="E55" s="330">
        <v>0</v>
      </c>
      <c r="F55" s="330">
        <f>'egresos 25% y F.P'!F131</f>
        <v>100</v>
      </c>
      <c r="G55" s="346">
        <f t="shared" si="27"/>
        <v>100</v>
      </c>
      <c r="H55" s="344">
        <f>'egresos 25% y F.P'!C23</f>
        <v>0</v>
      </c>
      <c r="I55" s="334">
        <f>'egresos 25% y F.P'!D23</f>
        <v>0</v>
      </c>
      <c r="J55" s="334">
        <f>'egresos 25% y F.P'!E23</f>
        <v>0</v>
      </c>
      <c r="K55" s="334">
        <f>'egresos 25% y F.P'!F23</f>
        <v>0</v>
      </c>
      <c r="L55" s="336">
        <f t="shared" si="28"/>
        <v>0</v>
      </c>
      <c r="M55" s="337">
        <f>'AG3'!E31</f>
        <v>4000</v>
      </c>
      <c r="N55" s="338">
        <f>'AG3'!E147</f>
        <v>15377.25</v>
      </c>
      <c r="O55" s="338">
        <v>0</v>
      </c>
      <c r="P55" s="338">
        <v>0</v>
      </c>
      <c r="Q55" s="338">
        <v>0</v>
      </c>
      <c r="R55" s="338">
        <v>0</v>
      </c>
      <c r="S55" s="323">
        <f t="shared" si="26"/>
        <v>19377.25</v>
      </c>
      <c r="T55" s="338"/>
      <c r="U55" s="338"/>
      <c r="V55" s="367">
        <f t="shared" si="3"/>
        <v>0</v>
      </c>
      <c r="W55" s="338"/>
      <c r="X55" s="338"/>
      <c r="Y55" s="339"/>
      <c r="Z55" s="328">
        <f t="shared" si="4"/>
        <v>0</v>
      </c>
      <c r="AA55" s="338"/>
      <c r="AB55" s="338"/>
      <c r="AC55" s="338"/>
      <c r="AD55" s="338"/>
      <c r="AE55" s="338">
        <v>0</v>
      </c>
      <c r="AF55" s="337"/>
      <c r="AG55" s="337">
        <v>0</v>
      </c>
      <c r="AH55" s="337">
        <v>0</v>
      </c>
      <c r="AI55" s="340">
        <f t="shared" si="5"/>
        <v>0</v>
      </c>
      <c r="AJ55" s="337"/>
      <c r="AK55" s="341"/>
      <c r="AL55" s="338"/>
      <c r="AM55" s="327"/>
      <c r="AN55" s="337"/>
      <c r="AO55" s="338"/>
      <c r="AP55" s="328"/>
      <c r="AQ55" s="341"/>
      <c r="AR55" s="338"/>
      <c r="AS55" s="328"/>
      <c r="AT55" s="368">
        <f>AI55+AF55+AC55+Z55+V55+S55+L55+G55</f>
        <v>19477.25</v>
      </c>
      <c r="AU55" s="310"/>
    </row>
    <row r="56" spans="1:47" s="313" customFormat="1" ht="18" customHeight="1" x14ac:dyDescent="0.25">
      <c r="A56" s="237">
        <v>54114</v>
      </c>
      <c r="B56" s="903" t="s">
        <v>40</v>
      </c>
      <c r="C56" s="345">
        <f>'egresos 25% y F.P'!C132</f>
        <v>150</v>
      </c>
      <c r="D56" s="330">
        <f>'egresos 25% y F.P'!D132</f>
        <v>250</v>
      </c>
      <c r="E56" s="330">
        <f>'egresos 25% y F.P'!E132</f>
        <v>150</v>
      </c>
      <c r="F56" s="330">
        <f>'egresos 25% y F.P'!F132</f>
        <v>100</v>
      </c>
      <c r="G56" s="346">
        <f t="shared" si="27"/>
        <v>650</v>
      </c>
      <c r="H56" s="344">
        <f>'egresos 25% y F.P'!C24</f>
        <v>100</v>
      </c>
      <c r="I56" s="334">
        <f>'egresos 25% y F.P'!D24</f>
        <v>450</v>
      </c>
      <c r="J56" s="334">
        <f>'egresos 25% y F.P'!E24</f>
        <v>250</v>
      </c>
      <c r="K56" s="334">
        <f>'egresos 25% y F.P'!F24</f>
        <v>200</v>
      </c>
      <c r="L56" s="336">
        <f t="shared" si="28"/>
        <v>1000</v>
      </c>
      <c r="M56" s="350">
        <v>0</v>
      </c>
      <c r="N56" s="351">
        <v>0</v>
      </c>
      <c r="O56" s="351">
        <v>0</v>
      </c>
      <c r="P56" s="351">
        <v>0</v>
      </c>
      <c r="Q56" s="351">
        <v>0</v>
      </c>
      <c r="R56" s="351">
        <v>0</v>
      </c>
      <c r="S56" s="323">
        <f t="shared" si="26"/>
        <v>0</v>
      </c>
      <c r="T56" s="351"/>
      <c r="U56" s="351"/>
      <c r="V56" s="898">
        <f t="shared" si="3"/>
        <v>0</v>
      </c>
      <c r="W56" s="351"/>
      <c r="X56" s="351"/>
      <c r="Y56" s="352"/>
      <c r="Z56" s="977">
        <f t="shared" si="4"/>
        <v>0</v>
      </c>
      <c r="AA56" s="351"/>
      <c r="AB56" s="351"/>
      <c r="AC56" s="351"/>
      <c r="AD56" s="351"/>
      <c r="AE56" s="351">
        <v>0</v>
      </c>
      <c r="AF56" s="350"/>
      <c r="AG56" s="350">
        <v>0</v>
      </c>
      <c r="AH56" s="350">
        <v>0</v>
      </c>
      <c r="AI56" s="340">
        <f t="shared" si="5"/>
        <v>0</v>
      </c>
      <c r="AJ56" s="353"/>
      <c r="AK56" s="341"/>
      <c r="AL56" s="338"/>
      <c r="AM56" s="327"/>
      <c r="AN56" s="337"/>
      <c r="AO56" s="338"/>
      <c r="AP56" s="328"/>
      <c r="AQ56" s="341"/>
      <c r="AR56" s="338"/>
      <c r="AS56" s="328"/>
      <c r="AT56" s="368">
        <f t="shared" si="25"/>
        <v>1650</v>
      </c>
      <c r="AU56" s="312"/>
    </row>
    <row r="57" spans="1:47" s="313" customFormat="1" ht="18" customHeight="1" x14ac:dyDescent="0.25">
      <c r="A57" s="237">
        <v>54115</v>
      </c>
      <c r="B57" s="903" t="s">
        <v>41</v>
      </c>
      <c r="C57" s="345">
        <f>'egresos 25% y F.P'!C133</f>
        <v>300</v>
      </c>
      <c r="D57" s="330">
        <f>'egresos 25% y F.P'!D133</f>
        <v>1000</v>
      </c>
      <c r="E57" s="330">
        <f>'egresos 25% y F.P'!E133</f>
        <v>350</v>
      </c>
      <c r="F57" s="330">
        <f>'egresos 25% y F.P'!F133</f>
        <v>75</v>
      </c>
      <c r="G57" s="346">
        <f t="shared" si="27"/>
        <v>1725</v>
      </c>
      <c r="H57" s="344">
        <f>'egresos 25% y F.P'!C25</f>
        <v>100</v>
      </c>
      <c r="I57" s="334">
        <f>'egresos 25% y F.P'!D25</f>
        <v>500</v>
      </c>
      <c r="J57" s="334">
        <f>'egresos 25% y F.P'!E25</f>
        <v>400</v>
      </c>
      <c r="K57" s="334">
        <f>'egresos 25% y F.P'!F25</f>
        <v>50</v>
      </c>
      <c r="L57" s="336">
        <f t="shared" si="28"/>
        <v>1050</v>
      </c>
      <c r="M57" s="350">
        <v>0</v>
      </c>
      <c r="N57" s="351">
        <v>0</v>
      </c>
      <c r="O57" s="351">
        <v>0</v>
      </c>
      <c r="P57" s="351">
        <v>0</v>
      </c>
      <c r="Q57" s="351">
        <v>0</v>
      </c>
      <c r="R57" s="351">
        <v>0</v>
      </c>
      <c r="S57" s="323">
        <f t="shared" si="26"/>
        <v>0</v>
      </c>
      <c r="T57" s="351"/>
      <c r="U57" s="351"/>
      <c r="V57" s="898">
        <f t="shared" si="3"/>
        <v>0</v>
      </c>
      <c r="W57" s="351"/>
      <c r="X57" s="351"/>
      <c r="Y57" s="352"/>
      <c r="Z57" s="977">
        <f t="shared" si="4"/>
        <v>0</v>
      </c>
      <c r="AA57" s="351"/>
      <c r="AB57" s="351"/>
      <c r="AC57" s="351"/>
      <c r="AD57" s="351"/>
      <c r="AE57" s="351">
        <v>0</v>
      </c>
      <c r="AF57" s="350"/>
      <c r="AG57" s="350">
        <v>0</v>
      </c>
      <c r="AH57" s="350">
        <v>0</v>
      </c>
      <c r="AI57" s="340">
        <f t="shared" si="5"/>
        <v>0</v>
      </c>
      <c r="AJ57" s="353"/>
      <c r="AK57" s="341"/>
      <c r="AL57" s="338"/>
      <c r="AM57" s="327"/>
      <c r="AN57" s="337"/>
      <c r="AO57" s="338"/>
      <c r="AP57" s="328"/>
      <c r="AQ57" s="341"/>
      <c r="AR57" s="338"/>
      <c r="AS57" s="328"/>
      <c r="AT57" s="368">
        <f t="shared" si="25"/>
        <v>2775</v>
      </c>
      <c r="AU57" s="312"/>
    </row>
    <row r="58" spans="1:47" s="311" customFormat="1" ht="18" customHeight="1" x14ac:dyDescent="0.25">
      <c r="A58" s="237">
        <v>54116</v>
      </c>
      <c r="B58" s="903" t="s">
        <v>42</v>
      </c>
      <c r="C58" s="345">
        <f>'egresos 25% y F.P'!C134</f>
        <v>200</v>
      </c>
      <c r="D58" s="330">
        <v>0</v>
      </c>
      <c r="E58" s="330">
        <v>0</v>
      </c>
      <c r="F58" s="330">
        <v>0</v>
      </c>
      <c r="G58" s="346">
        <f t="shared" si="27"/>
        <v>200</v>
      </c>
      <c r="H58" s="344">
        <f>'egresos 25% y F.P'!C26</f>
        <v>100</v>
      </c>
      <c r="I58" s="334">
        <f>'egresos 25% y F.P'!D26</f>
        <v>0</v>
      </c>
      <c r="J58" s="334">
        <f>'egresos 25% y F.P'!E26</f>
        <v>0</v>
      </c>
      <c r="K58" s="334">
        <f>'egresos 25% y F.P'!F26</f>
        <v>0</v>
      </c>
      <c r="L58" s="336">
        <f t="shared" si="28"/>
        <v>100</v>
      </c>
      <c r="M58" s="350">
        <v>0</v>
      </c>
      <c r="N58" s="351">
        <f>'AG3'!E100+'AG3'!E110+'AG3'!E132</f>
        <v>6723.25</v>
      </c>
      <c r="O58" s="351">
        <v>0</v>
      </c>
      <c r="P58" s="351">
        <v>0</v>
      </c>
      <c r="Q58" s="351">
        <v>0</v>
      </c>
      <c r="R58" s="351">
        <v>0</v>
      </c>
      <c r="S58" s="323">
        <f t="shared" si="26"/>
        <v>6723.25</v>
      </c>
      <c r="T58" s="351"/>
      <c r="U58" s="351"/>
      <c r="V58" s="898">
        <f t="shared" si="3"/>
        <v>0</v>
      </c>
      <c r="W58" s="351"/>
      <c r="X58" s="351"/>
      <c r="Y58" s="352"/>
      <c r="Z58" s="977">
        <f t="shared" si="4"/>
        <v>0</v>
      </c>
      <c r="AA58" s="351"/>
      <c r="AB58" s="351"/>
      <c r="AC58" s="351"/>
      <c r="AD58" s="351"/>
      <c r="AE58" s="351">
        <v>0</v>
      </c>
      <c r="AF58" s="350"/>
      <c r="AG58" s="350">
        <v>0</v>
      </c>
      <c r="AH58" s="350">
        <v>0</v>
      </c>
      <c r="AI58" s="340">
        <f t="shared" si="5"/>
        <v>0</v>
      </c>
      <c r="AJ58" s="353"/>
      <c r="AK58" s="341"/>
      <c r="AL58" s="338"/>
      <c r="AM58" s="327"/>
      <c r="AN58" s="337"/>
      <c r="AO58" s="338"/>
      <c r="AP58" s="328"/>
      <c r="AQ58" s="341"/>
      <c r="AR58" s="338"/>
      <c r="AS58" s="328"/>
      <c r="AT58" s="368">
        <f t="shared" si="25"/>
        <v>7023.25</v>
      </c>
      <c r="AU58" s="310"/>
    </row>
    <row r="59" spans="1:47" s="311" customFormat="1" ht="18" hidden="1" customHeight="1" x14ac:dyDescent="0.25">
      <c r="A59" s="237">
        <v>54117</v>
      </c>
      <c r="B59" s="903" t="s">
        <v>43</v>
      </c>
      <c r="C59" s="345"/>
      <c r="D59" s="330"/>
      <c r="E59" s="330"/>
      <c r="F59" s="330"/>
      <c r="G59" s="346">
        <f t="shared" si="27"/>
        <v>0</v>
      </c>
      <c r="H59" s="344">
        <f>'egresos 25% y F.P'!C27</f>
        <v>0</v>
      </c>
      <c r="I59" s="334">
        <f>'egresos 25% y F.P'!D27</f>
        <v>0</v>
      </c>
      <c r="J59" s="334">
        <f>'egresos 25% y F.P'!E27</f>
        <v>0</v>
      </c>
      <c r="K59" s="334">
        <f>'egresos 25% y F.P'!F27</f>
        <v>0</v>
      </c>
      <c r="L59" s="336">
        <f t="shared" si="28"/>
        <v>0</v>
      </c>
      <c r="M59" s="337">
        <v>0</v>
      </c>
      <c r="N59" s="338">
        <v>0</v>
      </c>
      <c r="O59" s="338">
        <v>0</v>
      </c>
      <c r="P59" s="338">
        <v>0</v>
      </c>
      <c r="Q59" s="338">
        <v>0</v>
      </c>
      <c r="R59" s="338">
        <v>0</v>
      </c>
      <c r="S59" s="323">
        <f t="shared" si="26"/>
        <v>0</v>
      </c>
      <c r="T59" s="338"/>
      <c r="U59" s="338"/>
      <c r="V59" s="367">
        <f t="shared" si="3"/>
        <v>0</v>
      </c>
      <c r="W59" s="338"/>
      <c r="X59" s="338"/>
      <c r="Y59" s="339"/>
      <c r="Z59" s="328">
        <f t="shared" si="4"/>
        <v>0</v>
      </c>
      <c r="AA59" s="338"/>
      <c r="AB59" s="338"/>
      <c r="AC59" s="338"/>
      <c r="AD59" s="338"/>
      <c r="AE59" s="338">
        <v>0</v>
      </c>
      <c r="AF59" s="337"/>
      <c r="AG59" s="337">
        <v>0</v>
      </c>
      <c r="AH59" s="337">
        <v>0</v>
      </c>
      <c r="AI59" s="340">
        <f t="shared" si="5"/>
        <v>0</v>
      </c>
      <c r="AJ59" s="337"/>
      <c r="AK59" s="341"/>
      <c r="AL59" s="338"/>
      <c r="AM59" s="327"/>
      <c r="AN59" s="337"/>
      <c r="AO59" s="338"/>
      <c r="AP59" s="328"/>
      <c r="AQ59" s="341"/>
      <c r="AR59" s="338"/>
      <c r="AS59" s="328"/>
      <c r="AT59" s="368">
        <f t="shared" si="25"/>
        <v>0</v>
      </c>
      <c r="AU59" s="310"/>
    </row>
    <row r="60" spans="1:47" s="311" customFormat="1" ht="18" customHeight="1" x14ac:dyDescent="0.25">
      <c r="A60" s="237">
        <v>54118</v>
      </c>
      <c r="B60" s="903" t="s">
        <v>44</v>
      </c>
      <c r="C60" s="345">
        <f>'egresos 25% y F.P'!C136</f>
        <v>50</v>
      </c>
      <c r="D60" s="331">
        <f>'egresos 25% y F.P'!D136</f>
        <v>0</v>
      </c>
      <c r="E60" s="331">
        <f>'egresos 25% y F.P'!E136</f>
        <v>50</v>
      </c>
      <c r="F60" s="331">
        <f>'egresos 25% y F.P'!F136</f>
        <v>2500</v>
      </c>
      <c r="G60" s="346">
        <f t="shared" si="27"/>
        <v>2600</v>
      </c>
      <c r="H60" s="344">
        <f>'egresos 25% y F.P'!C28</f>
        <v>100</v>
      </c>
      <c r="I60" s="334">
        <f>'egresos 25% y F.P'!D28</f>
        <v>0</v>
      </c>
      <c r="J60" s="334">
        <f>'egresos 25% y F.P'!E28</f>
        <v>0</v>
      </c>
      <c r="K60" s="334">
        <f>'egresos 25% y F.P'!F28</f>
        <v>1000</v>
      </c>
      <c r="L60" s="336">
        <f t="shared" si="28"/>
        <v>1100</v>
      </c>
      <c r="M60" s="337">
        <v>0</v>
      </c>
      <c r="N60" s="338">
        <f>'AG3'!E57</f>
        <v>804</v>
      </c>
      <c r="O60" s="338">
        <f>'AG4'!E40</f>
        <v>429</v>
      </c>
      <c r="P60" s="338">
        <v>0</v>
      </c>
      <c r="Q60" s="338">
        <v>0</v>
      </c>
      <c r="R60" s="338">
        <v>0</v>
      </c>
      <c r="S60" s="323">
        <f t="shared" si="26"/>
        <v>1233</v>
      </c>
      <c r="T60" s="338"/>
      <c r="U60" s="338"/>
      <c r="V60" s="367">
        <f t="shared" si="3"/>
        <v>0</v>
      </c>
      <c r="W60" s="338"/>
      <c r="X60" s="338"/>
      <c r="Y60" s="339"/>
      <c r="Z60" s="328">
        <f t="shared" si="4"/>
        <v>0</v>
      </c>
      <c r="AA60" s="338"/>
      <c r="AB60" s="338"/>
      <c r="AC60" s="338"/>
      <c r="AD60" s="338"/>
      <c r="AE60" s="338">
        <v>0</v>
      </c>
      <c r="AF60" s="337"/>
      <c r="AG60" s="337">
        <v>0</v>
      </c>
      <c r="AH60" s="337">
        <v>0</v>
      </c>
      <c r="AI60" s="340">
        <f t="shared" si="5"/>
        <v>0</v>
      </c>
      <c r="AJ60" s="337"/>
      <c r="AK60" s="341"/>
      <c r="AL60" s="338"/>
      <c r="AM60" s="327"/>
      <c r="AN60" s="337"/>
      <c r="AO60" s="338"/>
      <c r="AP60" s="328"/>
      <c r="AQ60" s="341"/>
      <c r="AR60" s="338"/>
      <c r="AS60" s="328"/>
      <c r="AT60" s="368">
        <f t="shared" si="25"/>
        <v>4933</v>
      </c>
      <c r="AU60" s="310"/>
    </row>
    <row r="61" spans="1:47" s="311" customFormat="1" ht="18" customHeight="1" x14ac:dyDescent="0.25">
      <c r="A61" s="237">
        <v>54119</v>
      </c>
      <c r="B61" s="903" t="s">
        <v>45</v>
      </c>
      <c r="C61" s="345">
        <f>'egresos 25% y F.P'!C137</f>
        <v>125</v>
      </c>
      <c r="D61" s="330">
        <v>0</v>
      </c>
      <c r="E61" s="330">
        <v>0</v>
      </c>
      <c r="F61" s="330">
        <v>0</v>
      </c>
      <c r="G61" s="346">
        <f t="shared" si="27"/>
        <v>125</v>
      </c>
      <c r="H61" s="344">
        <f>'egresos 25% y F.P'!C29</f>
        <v>100</v>
      </c>
      <c r="I61" s="334">
        <f>'egresos 25% y F.P'!D29</f>
        <v>0</v>
      </c>
      <c r="J61" s="334">
        <f>'egresos 25% y F.P'!E29</f>
        <v>0</v>
      </c>
      <c r="K61" s="334">
        <f>'egresos 25% y F.P'!F29</f>
        <v>100</v>
      </c>
      <c r="L61" s="336">
        <f t="shared" si="28"/>
        <v>200</v>
      </c>
      <c r="M61" s="337">
        <f>'AG3'!E32</f>
        <v>1408.76</v>
      </c>
      <c r="N61" s="338">
        <f>'AG3'!E123</f>
        <v>2000</v>
      </c>
      <c r="O61" s="338">
        <v>0</v>
      </c>
      <c r="P61" s="338">
        <v>0</v>
      </c>
      <c r="Q61" s="338">
        <v>0</v>
      </c>
      <c r="R61" s="338">
        <v>0</v>
      </c>
      <c r="S61" s="323">
        <f t="shared" si="26"/>
        <v>3408.76</v>
      </c>
      <c r="T61" s="338"/>
      <c r="U61" s="338"/>
      <c r="V61" s="367">
        <f t="shared" si="3"/>
        <v>0</v>
      </c>
      <c r="W61" s="338"/>
      <c r="X61" s="338"/>
      <c r="Y61" s="339"/>
      <c r="Z61" s="328">
        <f t="shared" si="4"/>
        <v>0</v>
      </c>
      <c r="AA61" s="338"/>
      <c r="AB61" s="338"/>
      <c r="AC61" s="338"/>
      <c r="AD61" s="338"/>
      <c r="AE61" s="338">
        <v>0</v>
      </c>
      <c r="AF61" s="337"/>
      <c r="AG61" s="337">
        <v>0</v>
      </c>
      <c r="AH61" s="337">
        <v>0</v>
      </c>
      <c r="AI61" s="340">
        <f t="shared" si="5"/>
        <v>0</v>
      </c>
      <c r="AJ61" s="337"/>
      <c r="AK61" s="341"/>
      <c r="AL61" s="338"/>
      <c r="AM61" s="327"/>
      <c r="AN61" s="337"/>
      <c r="AO61" s="338"/>
      <c r="AP61" s="328"/>
      <c r="AQ61" s="341"/>
      <c r="AR61" s="338"/>
      <c r="AS61" s="328"/>
      <c r="AT61" s="368">
        <f>AI61+AF61+AC61+Z61+V61+S61+L61+G61</f>
        <v>3733.76</v>
      </c>
      <c r="AU61" s="310"/>
    </row>
    <row r="62" spans="1:47" s="311" customFormat="1" ht="18" customHeight="1" x14ac:dyDescent="0.25">
      <c r="A62" s="237">
        <v>54121</v>
      </c>
      <c r="B62" s="903" t="s">
        <v>46</v>
      </c>
      <c r="C62" s="345">
        <v>0</v>
      </c>
      <c r="D62" s="330">
        <v>0</v>
      </c>
      <c r="E62" s="330">
        <v>0</v>
      </c>
      <c r="F62" s="330">
        <v>0</v>
      </c>
      <c r="G62" s="346">
        <f t="shared" si="27"/>
        <v>0</v>
      </c>
      <c r="H62" s="344"/>
      <c r="I62" s="334">
        <f>'egresos 25% y F.P'!D30</f>
        <v>3650</v>
      </c>
      <c r="J62" s="334"/>
      <c r="K62" s="334"/>
      <c r="L62" s="336">
        <f t="shared" si="28"/>
        <v>3650</v>
      </c>
      <c r="M62" s="337">
        <v>0</v>
      </c>
      <c r="N62" s="338">
        <v>0</v>
      </c>
      <c r="O62" s="338">
        <v>0</v>
      </c>
      <c r="P62" s="338">
        <v>0</v>
      </c>
      <c r="Q62" s="338">
        <v>0</v>
      </c>
      <c r="R62" s="338">
        <v>0</v>
      </c>
      <c r="S62" s="323">
        <f t="shared" si="26"/>
        <v>0</v>
      </c>
      <c r="T62" s="338"/>
      <c r="U62" s="338"/>
      <c r="V62" s="367">
        <f t="shared" si="3"/>
        <v>0</v>
      </c>
      <c r="W62" s="338"/>
      <c r="X62" s="338"/>
      <c r="Y62" s="339"/>
      <c r="Z62" s="328">
        <f t="shared" si="4"/>
        <v>0</v>
      </c>
      <c r="AA62" s="338"/>
      <c r="AB62" s="338"/>
      <c r="AC62" s="338"/>
      <c r="AD62" s="338"/>
      <c r="AE62" s="338">
        <v>0</v>
      </c>
      <c r="AF62" s="337"/>
      <c r="AG62" s="337">
        <v>0</v>
      </c>
      <c r="AH62" s="337">
        <v>0</v>
      </c>
      <c r="AI62" s="340">
        <f t="shared" si="5"/>
        <v>0</v>
      </c>
      <c r="AJ62" s="337"/>
      <c r="AK62" s="341"/>
      <c r="AL62" s="338"/>
      <c r="AM62" s="327"/>
      <c r="AN62" s="337"/>
      <c r="AO62" s="338"/>
      <c r="AP62" s="328"/>
      <c r="AQ62" s="341"/>
      <c r="AR62" s="338"/>
      <c r="AS62" s="328"/>
      <c r="AT62" s="368">
        <f t="shared" si="25"/>
        <v>3650</v>
      </c>
      <c r="AU62" s="310"/>
    </row>
    <row r="63" spans="1:47" s="311" customFormat="1" ht="18" customHeight="1" x14ac:dyDescent="0.25">
      <c r="A63" s="237">
        <v>54199</v>
      </c>
      <c r="B63" s="903" t="s">
        <v>47</v>
      </c>
      <c r="C63" s="345">
        <f>'egresos 25% y F.P'!C139</f>
        <v>1000</v>
      </c>
      <c r="D63" s="331">
        <f>'egresos 25% y F.P'!D139</f>
        <v>50</v>
      </c>
      <c r="E63" s="331">
        <f>'egresos 25% y F.P'!E139</f>
        <v>200</v>
      </c>
      <c r="F63" s="331">
        <f>'egresos 25% y F.P'!F139</f>
        <v>850.45</v>
      </c>
      <c r="G63" s="346">
        <f t="shared" si="27"/>
        <v>2100.4499999999998</v>
      </c>
      <c r="H63" s="344">
        <f>'egresos 25% y F.P'!C31</f>
        <v>1000</v>
      </c>
      <c r="I63" s="334">
        <f>'egresos 25% y F.P'!D31</f>
        <v>50</v>
      </c>
      <c r="J63" s="334">
        <f>'egresos 25% y F.P'!E31</f>
        <v>100</v>
      </c>
      <c r="K63" s="334">
        <f>'egresos 25% y F.P'!F31</f>
        <v>100</v>
      </c>
      <c r="L63" s="336">
        <f t="shared" si="28"/>
        <v>1250</v>
      </c>
      <c r="M63" s="337">
        <f>'AG3'!E18+'AG3'!E33</f>
        <v>3171.36</v>
      </c>
      <c r="N63" s="338">
        <f>'AG3'!E58+'AG3'!E101+'AG3'!E111+'AG3'!E124+'AG3'!E133+'AG3'!E148</f>
        <v>20735</v>
      </c>
      <c r="O63" s="338">
        <f>'AG4'!E41</f>
        <v>840</v>
      </c>
      <c r="P63" s="338">
        <v>0</v>
      </c>
      <c r="Q63" s="338">
        <v>0</v>
      </c>
      <c r="R63" s="338">
        <v>0</v>
      </c>
      <c r="S63" s="323">
        <f t="shared" si="26"/>
        <v>24746.36</v>
      </c>
      <c r="T63" s="338"/>
      <c r="U63" s="338"/>
      <c r="V63" s="367">
        <f t="shared" si="3"/>
        <v>0</v>
      </c>
      <c r="W63" s="338"/>
      <c r="X63" s="338"/>
      <c r="Y63" s="339"/>
      <c r="Z63" s="328">
        <f t="shared" si="4"/>
        <v>0</v>
      </c>
      <c r="AA63" s="338"/>
      <c r="AB63" s="338"/>
      <c r="AC63" s="338"/>
      <c r="AD63" s="338"/>
      <c r="AE63" s="338">
        <v>0</v>
      </c>
      <c r="AF63" s="337"/>
      <c r="AG63" s="337">
        <v>0</v>
      </c>
      <c r="AH63" s="337">
        <v>0</v>
      </c>
      <c r="AI63" s="340">
        <f t="shared" si="5"/>
        <v>0</v>
      </c>
      <c r="AJ63" s="337"/>
      <c r="AK63" s="341"/>
      <c r="AL63" s="338"/>
      <c r="AM63" s="327"/>
      <c r="AN63" s="337"/>
      <c r="AO63" s="338"/>
      <c r="AP63" s="328"/>
      <c r="AQ63" s="341"/>
      <c r="AR63" s="338"/>
      <c r="AS63" s="328"/>
      <c r="AT63" s="368">
        <f t="shared" si="25"/>
        <v>28096.81</v>
      </c>
      <c r="AU63" s="310"/>
    </row>
    <row r="64" spans="1:47" s="311" customFormat="1" ht="18" customHeight="1" x14ac:dyDescent="0.25">
      <c r="A64" s="235">
        <v>542</v>
      </c>
      <c r="B64" s="905" t="s">
        <v>48</v>
      </c>
      <c r="C64" s="314">
        <f t="shared" ref="C64:K64" si="29">SUM(C65:C69)</f>
        <v>6379</v>
      </c>
      <c r="D64" s="347">
        <f t="shared" si="29"/>
        <v>0</v>
      </c>
      <c r="E64" s="347">
        <f t="shared" si="29"/>
        <v>0</v>
      </c>
      <c r="F64" s="347">
        <f t="shared" si="29"/>
        <v>74571.929999999993</v>
      </c>
      <c r="G64" s="348">
        <f>SUM(G65:G69)</f>
        <v>80950.929999999993</v>
      </c>
      <c r="H64" s="343">
        <f t="shared" si="29"/>
        <v>9217.5</v>
      </c>
      <c r="I64" s="318">
        <f t="shared" si="29"/>
        <v>0</v>
      </c>
      <c r="J64" s="318">
        <f t="shared" si="29"/>
        <v>0</v>
      </c>
      <c r="K64" s="318">
        <f t="shared" si="29"/>
        <v>159236.85</v>
      </c>
      <c r="L64" s="320">
        <f>SUM(H64:K64)</f>
        <v>168454.35</v>
      </c>
      <c r="M64" s="321">
        <v>0</v>
      </c>
      <c r="N64" s="322">
        <f>SUM(N65:N69)</f>
        <v>192</v>
      </c>
      <c r="O64" s="322">
        <v>0</v>
      </c>
      <c r="P64" s="322">
        <v>0</v>
      </c>
      <c r="Q64" s="322">
        <v>0</v>
      </c>
      <c r="R64" s="322">
        <v>0</v>
      </c>
      <c r="S64" s="349">
        <f t="shared" si="26"/>
        <v>192</v>
      </c>
      <c r="T64" s="322"/>
      <c r="U64" s="322"/>
      <c r="V64" s="897">
        <f t="shared" si="3"/>
        <v>0</v>
      </c>
      <c r="W64" s="322"/>
      <c r="X64" s="322"/>
      <c r="Y64" s="324"/>
      <c r="Z64" s="360">
        <f t="shared" si="4"/>
        <v>0</v>
      </c>
      <c r="AA64" s="322"/>
      <c r="AB64" s="322"/>
      <c r="AC64" s="322"/>
      <c r="AD64" s="322"/>
      <c r="AE64" s="322">
        <v>0</v>
      </c>
      <c r="AF64" s="321"/>
      <c r="AG64" s="321">
        <v>0</v>
      </c>
      <c r="AH64" s="321">
        <v>0</v>
      </c>
      <c r="AI64" s="325">
        <f t="shared" si="5"/>
        <v>0</v>
      </c>
      <c r="AJ64" s="337"/>
      <c r="AK64" s="341"/>
      <c r="AL64" s="338"/>
      <c r="AM64" s="327"/>
      <c r="AN64" s="337"/>
      <c r="AO64" s="338"/>
      <c r="AP64" s="328"/>
      <c r="AQ64" s="341"/>
      <c r="AR64" s="338"/>
      <c r="AS64" s="328"/>
      <c r="AT64" s="368">
        <f t="shared" si="21"/>
        <v>249597.28</v>
      </c>
      <c r="AU64" s="310"/>
    </row>
    <row r="65" spans="1:47" s="311" customFormat="1" ht="18" customHeight="1" x14ac:dyDescent="0.25">
      <c r="A65" s="237">
        <v>54201</v>
      </c>
      <c r="B65" s="903" t="s">
        <v>49</v>
      </c>
      <c r="C65" s="345">
        <f>'egresos 25% y F.P'!C141</f>
        <v>1000</v>
      </c>
      <c r="D65" s="330">
        <v>0</v>
      </c>
      <c r="E65" s="330">
        <v>0</v>
      </c>
      <c r="F65" s="330">
        <f>'egresos 25% y F.P'!F141</f>
        <v>61471.93</v>
      </c>
      <c r="G65" s="346">
        <f t="shared" ref="G65:G90" si="30">SUM(C65:F65)</f>
        <v>62471.93</v>
      </c>
      <c r="H65" s="344">
        <f>'egresos 25% y F.P'!C33</f>
        <v>3000</v>
      </c>
      <c r="I65" s="334">
        <v>0</v>
      </c>
      <c r="J65" s="334">
        <v>0</v>
      </c>
      <c r="K65" s="334">
        <f>'egresos 25% y F.P'!F33</f>
        <v>138354.08000000002</v>
      </c>
      <c r="L65" s="336">
        <f t="shared" si="28"/>
        <v>141354.08000000002</v>
      </c>
      <c r="M65" s="337">
        <v>0</v>
      </c>
      <c r="N65" s="338">
        <f>'AG3'!E112</f>
        <v>192</v>
      </c>
      <c r="O65" s="338">
        <v>0</v>
      </c>
      <c r="P65" s="338">
        <v>0</v>
      </c>
      <c r="Q65" s="338">
        <v>0</v>
      </c>
      <c r="R65" s="338">
        <v>0</v>
      </c>
      <c r="S65" s="323">
        <f t="shared" si="26"/>
        <v>192</v>
      </c>
      <c r="T65" s="338"/>
      <c r="U65" s="338"/>
      <c r="V65" s="367">
        <f t="shared" si="3"/>
        <v>0</v>
      </c>
      <c r="W65" s="338"/>
      <c r="X65" s="338"/>
      <c r="Y65" s="339"/>
      <c r="Z65" s="328">
        <f t="shared" si="4"/>
        <v>0</v>
      </c>
      <c r="AA65" s="338"/>
      <c r="AB65" s="338"/>
      <c r="AC65" s="338"/>
      <c r="AD65" s="338"/>
      <c r="AE65" s="338">
        <v>0</v>
      </c>
      <c r="AF65" s="337"/>
      <c r="AG65" s="337">
        <v>0</v>
      </c>
      <c r="AH65" s="337">
        <v>0</v>
      </c>
      <c r="AI65" s="340">
        <f t="shared" si="5"/>
        <v>0</v>
      </c>
      <c r="AJ65" s="337"/>
      <c r="AK65" s="341"/>
      <c r="AL65" s="338"/>
      <c r="AM65" s="327"/>
      <c r="AN65" s="337"/>
      <c r="AO65" s="338"/>
      <c r="AP65" s="328"/>
      <c r="AQ65" s="341"/>
      <c r="AR65" s="338"/>
      <c r="AS65" s="328"/>
      <c r="AT65" s="391">
        <f t="shared" si="21"/>
        <v>204018.01</v>
      </c>
      <c r="AU65" s="310"/>
    </row>
    <row r="66" spans="1:47" s="311" customFormat="1" ht="18" customHeight="1" x14ac:dyDescent="0.25">
      <c r="A66" s="237">
        <v>54202</v>
      </c>
      <c r="B66" s="903" t="s">
        <v>50</v>
      </c>
      <c r="C66" s="345">
        <f>'egresos 25% y F.P'!C142</f>
        <v>879</v>
      </c>
      <c r="D66" s="330">
        <v>0</v>
      </c>
      <c r="E66" s="330">
        <v>0</v>
      </c>
      <c r="F66" s="330">
        <f>'egresos 25% y F.P'!F142</f>
        <v>500</v>
      </c>
      <c r="G66" s="346">
        <f t="shared" si="30"/>
        <v>1379</v>
      </c>
      <c r="H66" s="344">
        <f>'egresos 25% y F.P'!C34</f>
        <v>717.5</v>
      </c>
      <c r="I66" s="334">
        <v>0</v>
      </c>
      <c r="J66" s="334">
        <v>0</v>
      </c>
      <c r="K66" s="334">
        <f>'egresos 25% y F.P'!F34</f>
        <v>1000</v>
      </c>
      <c r="L66" s="336">
        <f t="shared" si="28"/>
        <v>1717.5</v>
      </c>
      <c r="M66" s="337">
        <v>0</v>
      </c>
      <c r="N66" s="338">
        <v>0</v>
      </c>
      <c r="O66" s="338">
        <v>0</v>
      </c>
      <c r="P66" s="338">
        <v>0</v>
      </c>
      <c r="Q66" s="338">
        <v>0</v>
      </c>
      <c r="R66" s="338">
        <v>0</v>
      </c>
      <c r="S66" s="323">
        <f t="shared" si="26"/>
        <v>0</v>
      </c>
      <c r="T66" s="338"/>
      <c r="U66" s="338"/>
      <c r="V66" s="367">
        <f t="shared" si="3"/>
        <v>0</v>
      </c>
      <c r="W66" s="338"/>
      <c r="X66" s="338"/>
      <c r="Y66" s="339"/>
      <c r="Z66" s="328">
        <f t="shared" si="4"/>
        <v>0</v>
      </c>
      <c r="AA66" s="338"/>
      <c r="AB66" s="338"/>
      <c r="AC66" s="338"/>
      <c r="AD66" s="338"/>
      <c r="AE66" s="338">
        <v>0</v>
      </c>
      <c r="AF66" s="337"/>
      <c r="AG66" s="337">
        <v>0</v>
      </c>
      <c r="AH66" s="337">
        <v>0</v>
      </c>
      <c r="AI66" s="340">
        <f t="shared" si="5"/>
        <v>0</v>
      </c>
      <c r="AJ66" s="337"/>
      <c r="AK66" s="341"/>
      <c r="AL66" s="338"/>
      <c r="AM66" s="327"/>
      <c r="AN66" s="337"/>
      <c r="AO66" s="338"/>
      <c r="AP66" s="328"/>
      <c r="AQ66" s="341"/>
      <c r="AR66" s="338"/>
      <c r="AS66" s="328"/>
      <c r="AT66" s="391">
        <f t="shared" si="21"/>
        <v>3096.5</v>
      </c>
      <c r="AU66" s="310"/>
    </row>
    <row r="67" spans="1:47" s="311" customFormat="1" ht="18" customHeight="1" x14ac:dyDescent="0.25">
      <c r="A67" s="237">
        <v>54203</v>
      </c>
      <c r="B67" s="903" t="s">
        <v>51</v>
      </c>
      <c r="C67" s="345">
        <f>'egresos 25% y F.P'!C143</f>
        <v>4500</v>
      </c>
      <c r="D67" s="330">
        <f>'egresos 25% y F.P'!D143</f>
        <v>0</v>
      </c>
      <c r="E67" s="330">
        <f>'egresos 25% y F.P'!E143</f>
        <v>0</v>
      </c>
      <c r="F67" s="330">
        <f>'egresos 25% y F.P'!F143</f>
        <v>600</v>
      </c>
      <c r="G67" s="346">
        <f t="shared" si="30"/>
        <v>5100</v>
      </c>
      <c r="H67" s="344">
        <f>'egresos 25% y F.P'!C35</f>
        <v>5500</v>
      </c>
      <c r="I67" s="334">
        <v>0</v>
      </c>
      <c r="J67" s="334">
        <v>0</v>
      </c>
      <c r="K67" s="334">
        <f>'egresos 25% y F.P'!F35</f>
        <v>500</v>
      </c>
      <c r="L67" s="336">
        <f t="shared" si="28"/>
        <v>6000</v>
      </c>
      <c r="M67" s="337">
        <v>0</v>
      </c>
      <c r="N67" s="338">
        <v>0</v>
      </c>
      <c r="O67" s="338">
        <v>0</v>
      </c>
      <c r="P67" s="338">
        <v>0</v>
      </c>
      <c r="Q67" s="338">
        <v>0</v>
      </c>
      <c r="R67" s="338">
        <v>0</v>
      </c>
      <c r="S67" s="323">
        <f t="shared" si="26"/>
        <v>0</v>
      </c>
      <c r="T67" s="338"/>
      <c r="U67" s="338"/>
      <c r="V67" s="340">
        <f t="shared" si="3"/>
        <v>0</v>
      </c>
      <c r="W67" s="338"/>
      <c r="X67" s="338"/>
      <c r="Y67" s="354"/>
      <c r="Z67" s="328">
        <f t="shared" si="4"/>
        <v>0</v>
      </c>
      <c r="AA67" s="338"/>
      <c r="AB67" s="338"/>
      <c r="AC67" s="338"/>
      <c r="AD67" s="338"/>
      <c r="AE67" s="338">
        <v>0</v>
      </c>
      <c r="AF67" s="337"/>
      <c r="AG67" s="337">
        <v>0</v>
      </c>
      <c r="AH67" s="435">
        <v>0</v>
      </c>
      <c r="AI67" s="340">
        <f t="shared" si="5"/>
        <v>0</v>
      </c>
      <c r="AJ67" s="354"/>
      <c r="AK67" s="341"/>
      <c r="AL67" s="338"/>
      <c r="AM67" s="327"/>
      <c r="AN67" s="337"/>
      <c r="AO67" s="338"/>
      <c r="AP67" s="328"/>
      <c r="AQ67" s="341"/>
      <c r="AR67" s="338"/>
      <c r="AS67" s="328"/>
      <c r="AT67" s="391">
        <f t="shared" si="21"/>
        <v>11100</v>
      </c>
      <c r="AU67" s="310"/>
    </row>
    <row r="68" spans="1:47" s="311" customFormat="1" ht="18" hidden="1" customHeight="1" x14ac:dyDescent="0.25">
      <c r="A68" s="237">
        <v>54204</v>
      </c>
      <c r="B68" s="903" t="s">
        <v>52</v>
      </c>
      <c r="C68" s="345"/>
      <c r="D68" s="330"/>
      <c r="E68" s="330"/>
      <c r="F68" s="330"/>
      <c r="G68" s="346">
        <f t="shared" si="30"/>
        <v>0</v>
      </c>
      <c r="H68" s="344"/>
      <c r="I68" s="334">
        <v>0</v>
      </c>
      <c r="J68" s="334">
        <v>0</v>
      </c>
      <c r="K68" s="334"/>
      <c r="L68" s="336">
        <f t="shared" si="28"/>
        <v>0</v>
      </c>
      <c r="M68" s="337">
        <v>0</v>
      </c>
      <c r="N68" s="338">
        <v>0</v>
      </c>
      <c r="O68" s="338">
        <v>0</v>
      </c>
      <c r="P68" s="338">
        <v>0</v>
      </c>
      <c r="Q68" s="338">
        <v>0</v>
      </c>
      <c r="R68" s="338">
        <v>0</v>
      </c>
      <c r="S68" s="323">
        <f t="shared" si="26"/>
        <v>0</v>
      </c>
      <c r="T68" s="338"/>
      <c r="U68" s="338"/>
      <c r="V68" s="367">
        <f t="shared" si="3"/>
        <v>0</v>
      </c>
      <c r="W68" s="338"/>
      <c r="X68" s="338"/>
      <c r="Y68" s="339"/>
      <c r="Z68" s="328">
        <f t="shared" si="4"/>
        <v>0</v>
      </c>
      <c r="AA68" s="338"/>
      <c r="AB68" s="338"/>
      <c r="AC68" s="338"/>
      <c r="AD68" s="338"/>
      <c r="AE68" s="338">
        <v>0</v>
      </c>
      <c r="AF68" s="337"/>
      <c r="AG68" s="337">
        <v>0</v>
      </c>
      <c r="AH68" s="337">
        <v>0</v>
      </c>
      <c r="AI68" s="340">
        <f t="shared" si="5"/>
        <v>0</v>
      </c>
      <c r="AJ68" s="337"/>
      <c r="AK68" s="341"/>
      <c r="AL68" s="338"/>
      <c r="AM68" s="327"/>
      <c r="AN68" s="337"/>
      <c r="AO68" s="338"/>
      <c r="AP68" s="328"/>
      <c r="AQ68" s="341"/>
      <c r="AR68" s="338"/>
      <c r="AS68" s="328"/>
      <c r="AT68" s="391">
        <f t="shared" si="21"/>
        <v>0</v>
      </c>
      <c r="AU68" s="310"/>
    </row>
    <row r="69" spans="1:47" s="311" customFormat="1" ht="18" customHeight="1" x14ac:dyDescent="0.25">
      <c r="A69" s="237">
        <v>54205</v>
      </c>
      <c r="B69" s="903" t="s">
        <v>53</v>
      </c>
      <c r="C69" s="345">
        <v>0</v>
      </c>
      <c r="D69" s="330">
        <v>0</v>
      </c>
      <c r="E69" s="330">
        <v>0</v>
      </c>
      <c r="F69" s="330">
        <f>'egresos 25% y F.P'!F145</f>
        <v>12000</v>
      </c>
      <c r="G69" s="346">
        <f t="shared" si="30"/>
        <v>12000</v>
      </c>
      <c r="H69" s="344">
        <v>0</v>
      </c>
      <c r="I69" s="334">
        <v>0</v>
      </c>
      <c r="J69" s="334">
        <v>0</v>
      </c>
      <c r="K69" s="334">
        <f>'egresos 25% y F.P'!F37</f>
        <v>19382.77</v>
      </c>
      <c r="L69" s="336">
        <f t="shared" si="28"/>
        <v>19382.77</v>
      </c>
      <c r="M69" s="337">
        <v>0</v>
      </c>
      <c r="N69" s="338">
        <v>0</v>
      </c>
      <c r="O69" s="338">
        <v>0</v>
      </c>
      <c r="P69" s="338">
        <v>0</v>
      </c>
      <c r="Q69" s="338">
        <v>0</v>
      </c>
      <c r="R69" s="338">
        <v>0</v>
      </c>
      <c r="S69" s="323">
        <f t="shared" si="26"/>
        <v>0</v>
      </c>
      <c r="T69" s="338"/>
      <c r="U69" s="338"/>
      <c r="V69" s="367">
        <f t="shared" si="3"/>
        <v>0</v>
      </c>
      <c r="W69" s="338"/>
      <c r="X69" s="338"/>
      <c r="Y69" s="339"/>
      <c r="Z69" s="328">
        <f t="shared" si="4"/>
        <v>0</v>
      </c>
      <c r="AA69" s="338"/>
      <c r="AB69" s="338"/>
      <c r="AC69" s="338"/>
      <c r="AD69" s="338"/>
      <c r="AE69" s="338">
        <v>0</v>
      </c>
      <c r="AF69" s="337"/>
      <c r="AG69" s="337">
        <v>0</v>
      </c>
      <c r="AH69" s="337">
        <v>0</v>
      </c>
      <c r="AI69" s="340">
        <f t="shared" si="5"/>
        <v>0</v>
      </c>
      <c r="AJ69" s="337"/>
      <c r="AK69" s="341"/>
      <c r="AL69" s="338"/>
      <c r="AM69" s="327"/>
      <c r="AN69" s="337"/>
      <c r="AO69" s="338"/>
      <c r="AP69" s="328"/>
      <c r="AQ69" s="341"/>
      <c r="AR69" s="338"/>
      <c r="AS69" s="328"/>
      <c r="AT69" s="391">
        <f t="shared" si="21"/>
        <v>31382.77</v>
      </c>
      <c r="AU69" s="310"/>
    </row>
    <row r="70" spans="1:47" s="311" customFormat="1" ht="18" customHeight="1" x14ac:dyDescent="0.25">
      <c r="A70" s="235">
        <v>543</v>
      </c>
      <c r="B70" s="905" t="s">
        <v>54</v>
      </c>
      <c r="C70" s="314">
        <f>SUM(C71:C85)</f>
        <v>12450</v>
      </c>
      <c r="D70" s="347">
        <f t="shared" ref="D70:J70" si="31">SUM(D71:D85)</f>
        <v>1050</v>
      </c>
      <c r="E70" s="347">
        <f t="shared" si="31"/>
        <v>100</v>
      </c>
      <c r="F70" s="347">
        <f>SUM(F71:F85)</f>
        <v>5600</v>
      </c>
      <c r="G70" s="348">
        <f>SUM(G71:G85)</f>
        <v>19200</v>
      </c>
      <c r="H70" s="343">
        <f t="shared" si="31"/>
        <v>3400</v>
      </c>
      <c r="I70" s="318">
        <f t="shared" si="31"/>
        <v>450</v>
      </c>
      <c r="J70" s="318">
        <f t="shared" si="31"/>
        <v>100</v>
      </c>
      <c r="K70" s="318">
        <f>SUM(K71:K85)</f>
        <v>1600</v>
      </c>
      <c r="L70" s="320">
        <f>SUM(H70:K70)</f>
        <v>5550</v>
      </c>
      <c r="M70" s="321">
        <f>SUM(M71:M85)</f>
        <v>3482.16</v>
      </c>
      <c r="N70" s="322">
        <f>SUM(N71:N85)</f>
        <v>69393.77</v>
      </c>
      <c r="O70" s="322">
        <v>0</v>
      </c>
      <c r="P70" s="322">
        <v>0</v>
      </c>
      <c r="Q70" s="322">
        <v>0</v>
      </c>
      <c r="R70" s="322">
        <v>0</v>
      </c>
      <c r="S70" s="349">
        <f t="shared" si="26"/>
        <v>72875.930000000008</v>
      </c>
      <c r="T70" s="322"/>
      <c r="U70" s="322"/>
      <c r="V70" s="897">
        <f t="shared" si="3"/>
        <v>0</v>
      </c>
      <c r="W70" s="322"/>
      <c r="X70" s="322"/>
      <c r="Y70" s="324"/>
      <c r="Z70" s="360">
        <f t="shared" si="4"/>
        <v>0</v>
      </c>
      <c r="AA70" s="322"/>
      <c r="AB70" s="322"/>
      <c r="AC70" s="322"/>
      <c r="AD70" s="322"/>
      <c r="AE70" s="322">
        <v>0</v>
      </c>
      <c r="AF70" s="321"/>
      <c r="AG70" s="321">
        <v>0</v>
      </c>
      <c r="AH70" s="321">
        <v>0</v>
      </c>
      <c r="AI70" s="325">
        <f t="shared" si="5"/>
        <v>0</v>
      </c>
      <c r="AJ70" s="337"/>
      <c r="AK70" s="341"/>
      <c r="AL70" s="338"/>
      <c r="AM70" s="327"/>
      <c r="AN70" s="337"/>
      <c r="AO70" s="338"/>
      <c r="AP70" s="328"/>
      <c r="AQ70" s="341"/>
      <c r="AR70" s="338"/>
      <c r="AS70" s="328"/>
      <c r="AT70" s="368">
        <f t="shared" si="21"/>
        <v>97625.930000000008</v>
      </c>
      <c r="AU70" s="310"/>
    </row>
    <row r="71" spans="1:47" s="311" customFormat="1" ht="18" customHeight="1" x14ac:dyDescent="0.25">
      <c r="A71" s="237">
        <v>54301</v>
      </c>
      <c r="B71" s="903" t="s">
        <v>55</v>
      </c>
      <c r="C71" s="345">
        <f>'egresos 25% y F.P'!C147</f>
        <v>850</v>
      </c>
      <c r="D71" s="330">
        <f>'egresos 25% y F.P'!D147</f>
        <v>250</v>
      </c>
      <c r="E71" s="330">
        <f>'egresos 25% y F.P'!E147</f>
        <v>100</v>
      </c>
      <c r="F71" s="330">
        <f>+'egresos 25% y F.P'!F147</f>
        <v>300</v>
      </c>
      <c r="G71" s="346">
        <f t="shared" si="30"/>
        <v>1500</v>
      </c>
      <c r="H71" s="344">
        <f>'egresos 25% y F.P'!C39</f>
        <v>500</v>
      </c>
      <c r="I71" s="334">
        <f>'egresos 25% y F.P'!D39</f>
        <v>350</v>
      </c>
      <c r="J71" s="334">
        <f>'egresos 25% y F.P'!E39</f>
        <v>100</v>
      </c>
      <c r="K71" s="334">
        <f>'egresos 25% y F.P'!F39</f>
        <v>100</v>
      </c>
      <c r="L71" s="336">
        <f t="shared" ref="L71:L85" si="32">SUM(H71:K71)</f>
        <v>1050</v>
      </c>
      <c r="M71" s="337">
        <v>0</v>
      </c>
      <c r="N71" s="338">
        <f>'AG3'!E113</f>
        <v>955</v>
      </c>
      <c r="O71" s="338">
        <v>0</v>
      </c>
      <c r="P71" s="338">
        <v>0</v>
      </c>
      <c r="Q71" s="338">
        <v>0</v>
      </c>
      <c r="R71" s="338">
        <v>0</v>
      </c>
      <c r="S71" s="323">
        <f t="shared" si="26"/>
        <v>955</v>
      </c>
      <c r="T71" s="338"/>
      <c r="U71" s="338"/>
      <c r="V71" s="367">
        <f t="shared" si="3"/>
        <v>0</v>
      </c>
      <c r="W71" s="338"/>
      <c r="X71" s="338"/>
      <c r="Y71" s="339"/>
      <c r="Z71" s="328">
        <f t="shared" si="4"/>
        <v>0</v>
      </c>
      <c r="AA71" s="338"/>
      <c r="AB71" s="338"/>
      <c r="AC71" s="338"/>
      <c r="AD71" s="338"/>
      <c r="AE71" s="338">
        <v>0</v>
      </c>
      <c r="AF71" s="337"/>
      <c r="AG71" s="337">
        <v>0</v>
      </c>
      <c r="AH71" s="337">
        <v>0</v>
      </c>
      <c r="AI71" s="340">
        <f t="shared" si="5"/>
        <v>0</v>
      </c>
      <c r="AJ71" s="337"/>
      <c r="AK71" s="341"/>
      <c r="AL71" s="338"/>
      <c r="AM71" s="327"/>
      <c r="AN71" s="337"/>
      <c r="AO71" s="338"/>
      <c r="AP71" s="328"/>
      <c r="AQ71" s="341"/>
      <c r="AR71" s="338"/>
      <c r="AS71" s="328"/>
      <c r="AT71" s="391">
        <f t="shared" si="21"/>
        <v>3505</v>
      </c>
      <c r="AU71" s="310"/>
    </row>
    <row r="72" spans="1:47" s="311" customFormat="1" ht="18" customHeight="1" x14ac:dyDescent="0.25">
      <c r="A72" s="237">
        <v>54302</v>
      </c>
      <c r="B72" s="903" t="s">
        <v>56</v>
      </c>
      <c r="C72" s="345">
        <f>'egresos 25% y F.P'!C148</f>
        <v>500</v>
      </c>
      <c r="D72" s="330">
        <v>0</v>
      </c>
      <c r="E72" s="355">
        <v>0</v>
      </c>
      <c r="F72" s="330">
        <f>'egresos 25% y F.P'!F148</f>
        <v>500</v>
      </c>
      <c r="G72" s="356">
        <f t="shared" si="30"/>
        <v>1000</v>
      </c>
      <c r="H72" s="344">
        <f>'egresos 25% y F.P'!C40</f>
        <v>1500</v>
      </c>
      <c r="I72" s="334">
        <f>'egresos 25% y F.P'!D40</f>
        <v>0</v>
      </c>
      <c r="J72" s="334">
        <f>'egresos 25% y F.P'!E40</f>
        <v>0</v>
      </c>
      <c r="K72" s="334">
        <f>'egresos 25% y F.P'!F40</f>
        <v>1500</v>
      </c>
      <c r="L72" s="336">
        <f t="shared" si="32"/>
        <v>3000</v>
      </c>
      <c r="M72" s="337">
        <v>0</v>
      </c>
      <c r="N72" s="338">
        <v>0</v>
      </c>
      <c r="O72" s="338">
        <v>0</v>
      </c>
      <c r="P72" s="338">
        <v>0</v>
      </c>
      <c r="Q72" s="338">
        <v>0</v>
      </c>
      <c r="R72" s="338">
        <v>0</v>
      </c>
      <c r="S72" s="323">
        <f t="shared" si="26"/>
        <v>0</v>
      </c>
      <c r="T72" s="338"/>
      <c r="U72" s="338"/>
      <c r="V72" s="367">
        <f t="shared" si="3"/>
        <v>0</v>
      </c>
      <c r="W72" s="338"/>
      <c r="X72" s="338"/>
      <c r="Y72" s="339"/>
      <c r="Z72" s="328">
        <f t="shared" si="4"/>
        <v>0</v>
      </c>
      <c r="AA72" s="338"/>
      <c r="AB72" s="338"/>
      <c r="AC72" s="338"/>
      <c r="AD72" s="338"/>
      <c r="AE72" s="338">
        <v>0</v>
      </c>
      <c r="AF72" s="337"/>
      <c r="AG72" s="337">
        <v>0</v>
      </c>
      <c r="AH72" s="337">
        <v>0</v>
      </c>
      <c r="AI72" s="340">
        <f t="shared" si="5"/>
        <v>0</v>
      </c>
      <c r="AJ72" s="337"/>
      <c r="AK72" s="341"/>
      <c r="AL72" s="338"/>
      <c r="AM72" s="327"/>
      <c r="AN72" s="337"/>
      <c r="AO72" s="338"/>
      <c r="AP72" s="328"/>
      <c r="AQ72" s="341"/>
      <c r="AR72" s="338"/>
      <c r="AS72" s="328"/>
      <c r="AT72" s="391">
        <f t="shared" si="21"/>
        <v>4000</v>
      </c>
      <c r="AU72" s="310"/>
    </row>
    <row r="73" spans="1:47" s="311" customFormat="1" ht="18" hidden="1" customHeight="1" x14ac:dyDescent="0.25">
      <c r="A73" s="237">
        <v>54303</v>
      </c>
      <c r="B73" s="903" t="s">
        <v>57</v>
      </c>
      <c r="C73" s="345"/>
      <c r="D73" s="330">
        <v>0</v>
      </c>
      <c r="E73" s="330">
        <v>0</v>
      </c>
      <c r="F73" s="330"/>
      <c r="G73" s="346">
        <f t="shared" si="30"/>
        <v>0</v>
      </c>
      <c r="H73" s="344"/>
      <c r="I73" s="334"/>
      <c r="J73" s="334"/>
      <c r="K73" s="334"/>
      <c r="L73" s="336">
        <f t="shared" si="32"/>
        <v>0</v>
      </c>
      <c r="M73" s="337">
        <v>0</v>
      </c>
      <c r="N73" s="338">
        <v>0</v>
      </c>
      <c r="O73" s="338">
        <v>0</v>
      </c>
      <c r="P73" s="338">
        <v>0</v>
      </c>
      <c r="Q73" s="338">
        <v>0</v>
      </c>
      <c r="R73" s="338">
        <v>0</v>
      </c>
      <c r="S73" s="323">
        <f t="shared" si="26"/>
        <v>0</v>
      </c>
      <c r="T73" s="338"/>
      <c r="U73" s="338"/>
      <c r="V73" s="367">
        <f t="shared" si="3"/>
        <v>0</v>
      </c>
      <c r="W73" s="338"/>
      <c r="X73" s="338"/>
      <c r="Y73" s="339"/>
      <c r="Z73" s="328">
        <f t="shared" si="4"/>
        <v>0</v>
      </c>
      <c r="AA73" s="338"/>
      <c r="AB73" s="338"/>
      <c r="AC73" s="338"/>
      <c r="AD73" s="338"/>
      <c r="AE73" s="338">
        <v>0</v>
      </c>
      <c r="AF73" s="337"/>
      <c r="AG73" s="337">
        <v>0</v>
      </c>
      <c r="AH73" s="337">
        <v>0</v>
      </c>
      <c r="AI73" s="340">
        <f t="shared" si="5"/>
        <v>0</v>
      </c>
      <c r="AJ73" s="337"/>
      <c r="AK73" s="341"/>
      <c r="AL73" s="338"/>
      <c r="AM73" s="327"/>
      <c r="AN73" s="337"/>
      <c r="AO73" s="338"/>
      <c r="AP73" s="328"/>
      <c r="AQ73" s="341"/>
      <c r="AR73" s="338"/>
      <c r="AS73" s="328"/>
      <c r="AT73" s="391">
        <f t="shared" ref="AT73:AT104" si="33">+L73+S73+G73+AM73+AP73+AS73+V73+AE73+AI73+AJ73</f>
        <v>0</v>
      </c>
      <c r="AU73" s="310"/>
    </row>
    <row r="74" spans="1:47" s="311" customFormat="1" ht="18" customHeight="1" x14ac:dyDescent="0.25">
      <c r="A74" s="237">
        <v>54304</v>
      </c>
      <c r="B74" s="903" t="s">
        <v>58</v>
      </c>
      <c r="C74" s="345">
        <f>'egresos 25% y F.P'!C150</f>
        <v>1000</v>
      </c>
      <c r="D74" s="330">
        <v>0</v>
      </c>
      <c r="E74" s="330">
        <v>0</v>
      </c>
      <c r="F74" s="330">
        <v>0</v>
      </c>
      <c r="G74" s="346">
        <f t="shared" si="30"/>
        <v>1000</v>
      </c>
      <c r="H74" s="344">
        <f>'egresos 25% y F.P'!C42</f>
        <v>0</v>
      </c>
      <c r="I74" s="334">
        <f>'egresos 25% y F.P'!D42</f>
        <v>0</v>
      </c>
      <c r="J74" s="334">
        <f>'egresos 25% y F.P'!E42</f>
        <v>0</v>
      </c>
      <c r="K74" s="334">
        <f>'egresos 25% y F.P'!F42</f>
        <v>0</v>
      </c>
      <c r="L74" s="336">
        <f t="shared" si="32"/>
        <v>0</v>
      </c>
      <c r="M74" s="337">
        <v>0</v>
      </c>
      <c r="N74" s="338">
        <f>'AG3'!E114+'AG3'!E125+'AG3'!E134</f>
        <v>3650</v>
      </c>
      <c r="O74" s="338"/>
      <c r="P74" s="338">
        <v>0</v>
      </c>
      <c r="Q74" s="338">
        <v>0</v>
      </c>
      <c r="R74" s="338">
        <v>0</v>
      </c>
      <c r="S74" s="323">
        <f t="shared" si="26"/>
        <v>3650</v>
      </c>
      <c r="T74" s="338"/>
      <c r="U74" s="338"/>
      <c r="V74" s="367">
        <f t="shared" ref="V74:V137" si="34">+T74+U74</f>
        <v>0</v>
      </c>
      <c r="W74" s="338"/>
      <c r="X74" s="338"/>
      <c r="Y74" s="339"/>
      <c r="Z74" s="328">
        <f t="shared" ref="Z74:Z137" si="35">+W74+X74</f>
        <v>0</v>
      </c>
      <c r="AA74" s="338"/>
      <c r="AB74" s="338"/>
      <c r="AC74" s="338"/>
      <c r="AD74" s="338"/>
      <c r="AE74" s="338">
        <v>0</v>
      </c>
      <c r="AF74" s="337"/>
      <c r="AG74" s="337">
        <v>0</v>
      </c>
      <c r="AH74" s="337">
        <v>0</v>
      </c>
      <c r="AI74" s="340">
        <f t="shared" ref="AI74:AI143" si="36">+AG74+AH74</f>
        <v>0</v>
      </c>
      <c r="AJ74" s="337"/>
      <c r="AK74" s="341"/>
      <c r="AL74" s="338"/>
      <c r="AM74" s="327"/>
      <c r="AN74" s="337"/>
      <c r="AO74" s="338"/>
      <c r="AP74" s="328"/>
      <c r="AQ74" s="341"/>
      <c r="AR74" s="338"/>
      <c r="AS74" s="328"/>
      <c r="AT74" s="391">
        <f t="shared" si="33"/>
        <v>4650</v>
      </c>
      <c r="AU74" s="310"/>
    </row>
    <row r="75" spans="1:47" s="311" customFormat="1" ht="18" customHeight="1" x14ac:dyDescent="0.25">
      <c r="A75" s="237">
        <v>54305</v>
      </c>
      <c r="B75" s="903" t="s">
        <v>59</v>
      </c>
      <c r="C75" s="345">
        <f>'egresos 25% y F.P'!C151</f>
        <v>0</v>
      </c>
      <c r="D75" s="331">
        <f>'egresos 25% y F.P'!D151</f>
        <v>0</v>
      </c>
      <c r="E75" s="330">
        <v>0</v>
      </c>
      <c r="F75" s="330">
        <v>0</v>
      </c>
      <c r="G75" s="346">
        <f t="shared" si="30"/>
        <v>0</v>
      </c>
      <c r="H75" s="344">
        <f>'egresos 25% y F.P'!C43</f>
        <v>0</v>
      </c>
      <c r="I75" s="334">
        <f>'egresos 25% y F.P'!D43</f>
        <v>0</v>
      </c>
      <c r="J75" s="334">
        <f>'egresos 25% y F.P'!E43</f>
        <v>0</v>
      </c>
      <c r="K75" s="334">
        <f>'egresos 25% y F.P'!F43</f>
        <v>0</v>
      </c>
      <c r="L75" s="336">
        <f t="shared" si="32"/>
        <v>0</v>
      </c>
      <c r="M75" s="337">
        <v>0</v>
      </c>
      <c r="N75" s="338">
        <f>'AG3'!E126</f>
        <v>720</v>
      </c>
      <c r="O75" s="338">
        <v>0</v>
      </c>
      <c r="P75" s="338">
        <v>0</v>
      </c>
      <c r="Q75" s="338">
        <v>0</v>
      </c>
      <c r="R75" s="338">
        <v>0</v>
      </c>
      <c r="S75" s="323">
        <f t="shared" si="26"/>
        <v>720</v>
      </c>
      <c r="T75" s="338"/>
      <c r="U75" s="338"/>
      <c r="V75" s="367">
        <f t="shared" si="34"/>
        <v>0</v>
      </c>
      <c r="W75" s="338"/>
      <c r="X75" s="338"/>
      <c r="Y75" s="339"/>
      <c r="Z75" s="328">
        <f t="shared" si="35"/>
        <v>0</v>
      </c>
      <c r="AA75" s="338"/>
      <c r="AB75" s="338"/>
      <c r="AC75" s="338"/>
      <c r="AD75" s="338"/>
      <c r="AE75" s="338">
        <v>0</v>
      </c>
      <c r="AF75" s="337"/>
      <c r="AG75" s="337">
        <v>0</v>
      </c>
      <c r="AH75" s="337">
        <v>0</v>
      </c>
      <c r="AI75" s="340">
        <f t="shared" si="36"/>
        <v>0</v>
      </c>
      <c r="AJ75" s="337"/>
      <c r="AK75" s="341"/>
      <c r="AL75" s="338"/>
      <c r="AM75" s="327"/>
      <c r="AN75" s="337"/>
      <c r="AO75" s="338"/>
      <c r="AP75" s="328"/>
      <c r="AQ75" s="341"/>
      <c r="AR75" s="338"/>
      <c r="AS75" s="328"/>
      <c r="AT75" s="391">
        <f t="shared" si="33"/>
        <v>720</v>
      </c>
      <c r="AU75" s="310"/>
    </row>
    <row r="76" spans="1:47" s="311" customFormat="1" ht="18" hidden="1" customHeight="1" x14ac:dyDescent="0.25">
      <c r="A76" s="237">
        <v>54306</v>
      </c>
      <c r="B76" s="903" t="s">
        <v>60</v>
      </c>
      <c r="C76" s="345">
        <f>'egresos 25% y F.P'!C152</f>
        <v>0</v>
      </c>
      <c r="D76" s="330"/>
      <c r="E76" s="330"/>
      <c r="F76" s="330"/>
      <c r="G76" s="346">
        <f t="shared" si="30"/>
        <v>0</v>
      </c>
      <c r="H76" s="344">
        <f>'egresos 25% y F.P'!C44</f>
        <v>0</v>
      </c>
      <c r="I76" s="334">
        <f>'egresos 25% y F.P'!D44</f>
        <v>0</v>
      </c>
      <c r="J76" s="334">
        <f>'egresos 25% y F.P'!E44</f>
        <v>0</v>
      </c>
      <c r="K76" s="334">
        <f>'egresos 25% y F.P'!F44</f>
        <v>0</v>
      </c>
      <c r="L76" s="336">
        <f t="shared" si="32"/>
        <v>0</v>
      </c>
      <c r="M76" s="337">
        <v>0</v>
      </c>
      <c r="N76" s="338">
        <v>0</v>
      </c>
      <c r="O76" s="338">
        <v>0</v>
      </c>
      <c r="P76" s="338">
        <v>0</v>
      </c>
      <c r="Q76" s="338">
        <v>0</v>
      </c>
      <c r="R76" s="338">
        <v>0</v>
      </c>
      <c r="S76" s="323">
        <f t="shared" si="26"/>
        <v>0</v>
      </c>
      <c r="T76" s="338"/>
      <c r="U76" s="338"/>
      <c r="V76" s="367">
        <f t="shared" si="34"/>
        <v>0</v>
      </c>
      <c r="W76" s="338"/>
      <c r="X76" s="338"/>
      <c r="Y76" s="339"/>
      <c r="Z76" s="328">
        <f t="shared" si="35"/>
        <v>0</v>
      </c>
      <c r="AA76" s="338"/>
      <c r="AB76" s="338"/>
      <c r="AC76" s="338"/>
      <c r="AD76" s="338"/>
      <c r="AE76" s="338">
        <v>0</v>
      </c>
      <c r="AF76" s="337"/>
      <c r="AG76" s="337">
        <v>0</v>
      </c>
      <c r="AH76" s="337">
        <v>0</v>
      </c>
      <c r="AI76" s="340">
        <f t="shared" si="36"/>
        <v>0</v>
      </c>
      <c r="AJ76" s="337"/>
      <c r="AK76" s="341"/>
      <c r="AL76" s="338"/>
      <c r="AM76" s="327"/>
      <c r="AN76" s="337"/>
      <c r="AO76" s="338"/>
      <c r="AP76" s="328"/>
      <c r="AQ76" s="341"/>
      <c r="AR76" s="338"/>
      <c r="AS76" s="328"/>
      <c r="AT76" s="391">
        <f t="shared" si="33"/>
        <v>0</v>
      </c>
      <c r="AU76" s="310"/>
    </row>
    <row r="77" spans="1:47" s="311" customFormat="1" ht="18" customHeight="1" x14ac:dyDescent="0.25">
      <c r="A77" s="237">
        <v>54307</v>
      </c>
      <c r="B77" s="903" t="s">
        <v>61</v>
      </c>
      <c r="C77" s="345">
        <f>'egresos 25% y F.P'!C153</f>
        <v>0</v>
      </c>
      <c r="D77" s="330">
        <v>0</v>
      </c>
      <c r="E77" s="330">
        <v>0</v>
      </c>
      <c r="F77" s="330">
        <v>0</v>
      </c>
      <c r="G77" s="346">
        <f t="shared" si="30"/>
        <v>0</v>
      </c>
      <c r="H77" s="344">
        <f>'egresos 25% y F.P'!C45</f>
        <v>1200</v>
      </c>
      <c r="I77" s="334">
        <f>'egresos 25% y F.P'!D45</f>
        <v>0</v>
      </c>
      <c r="J77" s="334">
        <f>'egresos 25% y F.P'!E45</f>
        <v>0</v>
      </c>
      <c r="K77" s="334">
        <f>'egresos 25% y F.P'!F45</f>
        <v>0</v>
      </c>
      <c r="L77" s="336">
        <f t="shared" si="32"/>
        <v>1200</v>
      </c>
      <c r="M77" s="337">
        <v>0</v>
      </c>
      <c r="N77" s="338">
        <v>0</v>
      </c>
      <c r="O77" s="338">
        <v>0</v>
      </c>
      <c r="P77" s="338">
        <v>0</v>
      </c>
      <c r="Q77" s="338">
        <v>0</v>
      </c>
      <c r="R77" s="338">
        <v>0</v>
      </c>
      <c r="S77" s="323">
        <f t="shared" si="26"/>
        <v>0</v>
      </c>
      <c r="T77" s="338"/>
      <c r="U77" s="338"/>
      <c r="V77" s="367">
        <f t="shared" si="34"/>
        <v>0</v>
      </c>
      <c r="W77" s="338"/>
      <c r="X77" s="338"/>
      <c r="Y77" s="339"/>
      <c r="Z77" s="328">
        <f t="shared" si="35"/>
        <v>0</v>
      </c>
      <c r="AA77" s="338"/>
      <c r="AB77" s="338"/>
      <c r="AC77" s="338"/>
      <c r="AD77" s="338"/>
      <c r="AE77" s="338">
        <v>0</v>
      </c>
      <c r="AF77" s="337"/>
      <c r="AG77" s="337">
        <v>0</v>
      </c>
      <c r="AH77" s="337">
        <v>0</v>
      </c>
      <c r="AI77" s="340">
        <f t="shared" si="36"/>
        <v>0</v>
      </c>
      <c r="AJ77" s="337"/>
      <c r="AK77" s="341"/>
      <c r="AL77" s="338"/>
      <c r="AM77" s="327"/>
      <c r="AN77" s="337"/>
      <c r="AO77" s="338"/>
      <c r="AP77" s="328"/>
      <c r="AQ77" s="341"/>
      <c r="AR77" s="338"/>
      <c r="AS77" s="328"/>
      <c r="AT77" s="391">
        <f t="shared" si="33"/>
        <v>1200</v>
      </c>
      <c r="AU77" s="310"/>
    </row>
    <row r="78" spans="1:47" s="311" customFormat="1" ht="18" hidden="1" customHeight="1" x14ac:dyDescent="0.25">
      <c r="A78" s="237">
        <v>54309</v>
      </c>
      <c r="B78" s="903" t="s">
        <v>62</v>
      </c>
      <c r="C78" s="345">
        <f>'egresos 25% y F.P'!C154</f>
        <v>0</v>
      </c>
      <c r="D78" s="330">
        <v>0</v>
      </c>
      <c r="E78" s="330">
        <v>0</v>
      </c>
      <c r="F78" s="330">
        <v>0</v>
      </c>
      <c r="G78" s="346">
        <f t="shared" si="30"/>
        <v>0</v>
      </c>
      <c r="H78" s="344">
        <f>'egresos 25% y F.P'!C46</f>
        <v>0</v>
      </c>
      <c r="I78" s="334">
        <f>'egresos 25% y F.P'!D46</f>
        <v>0</v>
      </c>
      <c r="J78" s="334">
        <f>'egresos 25% y F.P'!E46</f>
        <v>0</v>
      </c>
      <c r="K78" s="334">
        <f>'egresos 25% y F.P'!F46</f>
        <v>0</v>
      </c>
      <c r="L78" s="336">
        <f t="shared" si="32"/>
        <v>0</v>
      </c>
      <c r="M78" s="337">
        <v>0</v>
      </c>
      <c r="N78" s="338">
        <v>0</v>
      </c>
      <c r="O78" s="338">
        <v>0</v>
      </c>
      <c r="P78" s="338">
        <v>0</v>
      </c>
      <c r="Q78" s="338">
        <v>0</v>
      </c>
      <c r="R78" s="338">
        <v>0</v>
      </c>
      <c r="S78" s="323">
        <f t="shared" si="26"/>
        <v>0</v>
      </c>
      <c r="T78" s="338"/>
      <c r="U78" s="338"/>
      <c r="V78" s="367">
        <f t="shared" si="34"/>
        <v>0</v>
      </c>
      <c r="W78" s="338"/>
      <c r="X78" s="338"/>
      <c r="Y78" s="339"/>
      <c r="Z78" s="328">
        <f t="shared" si="35"/>
        <v>0</v>
      </c>
      <c r="AA78" s="338"/>
      <c r="AB78" s="338"/>
      <c r="AC78" s="338"/>
      <c r="AD78" s="338"/>
      <c r="AE78" s="338">
        <v>0</v>
      </c>
      <c r="AF78" s="337"/>
      <c r="AG78" s="337">
        <v>0</v>
      </c>
      <c r="AH78" s="337">
        <v>0</v>
      </c>
      <c r="AI78" s="340">
        <f t="shared" si="36"/>
        <v>0</v>
      </c>
      <c r="AJ78" s="337"/>
      <c r="AK78" s="341"/>
      <c r="AL78" s="338"/>
      <c r="AM78" s="327"/>
      <c r="AN78" s="337"/>
      <c r="AO78" s="338"/>
      <c r="AP78" s="328"/>
      <c r="AQ78" s="341"/>
      <c r="AR78" s="338"/>
      <c r="AS78" s="328"/>
      <c r="AT78" s="391">
        <f t="shared" si="33"/>
        <v>0</v>
      </c>
      <c r="AU78" s="310"/>
    </row>
    <row r="79" spans="1:47" s="311" customFormat="1" ht="18" hidden="1" customHeight="1" x14ac:dyDescent="0.25">
      <c r="A79" s="237">
        <v>54310</v>
      </c>
      <c r="B79" s="903" t="s">
        <v>63</v>
      </c>
      <c r="C79" s="345">
        <f>'egresos 25% y F.P'!C155</f>
        <v>0</v>
      </c>
      <c r="D79" s="330">
        <v>0</v>
      </c>
      <c r="E79" s="330">
        <v>0</v>
      </c>
      <c r="F79" s="330">
        <v>0</v>
      </c>
      <c r="G79" s="346">
        <f t="shared" si="30"/>
        <v>0</v>
      </c>
      <c r="H79" s="344">
        <f>'egresos 25% y F.P'!C47</f>
        <v>0</v>
      </c>
      <c r="I79" s="334">
        <f>'egresos 25% y F.P'!D47</f>
        <v>0</v>
      </c>
      <c r="J79" s="334">
        <f>'egresos 25% y F.P'!E47</f>
        <v>0</v>
      </c>
      <c r="K79" s="334">
        <f>'egresos 25% y F.P'!F47</f>
        <v>0</v>
      </c>
      <c r="L79" s="336">
        <f t="shared" si="32"/>
        <v>0</v>
      </c>
      <c r="M79" s="337">
        <v>0</v>
      </c>
      <c r="N79" s="338">
        <v>0</v>
      </c>
      <c r="O79" s="338">
        <v>0</v>
      </c>
      <c r="P79" s="338">
        <v>0</v>
      </c>
      <c r="Q79" s="338">
        <v>0</v>
      </c>
      <c r="R79" s="338">
        <v>0</v>
      </c>
      <c r="S79" s="323">
        <f t="shared" si="26"/>
        <v>0</v>
      </c>
      <c r="T79" s="338"/>
      <c r="U79" s="338"/>
      <c r="V79" s="367">
        <f t="shared" si="34"/>
        <v>0</v>
      </c>
      <c r="W79" s="338"/>
      <c r="X79" s="338"/>
      <c r="Y79" s="339"/>
      <c r="Z79" s="328">
        <f t="shared" si="35"/>
        <v>0</v>
      </c>
      <c r="AA79" s="338"/>
      <c r="AB79" s="338"/>
      <c r="AC79" s="338"/>
      <c r="AD79" s="338"/>
      <c r="AE79" s="338">
        <v>0</v>
      </c>
      <c r="AF79" s="337"/>
      <c r="AG79" s="337">
        <v>0</v>
      </c>
      <c r="AH79" s="337">
        <v>0</v>
      </c>
      <c r="AI79" s="340">
        <f t="shared" si="36"/>
        <v>0</v>
      </c>
      <c r="AJ79" s="337"/>
      <c r="AK79" s="341"/>
      <c r="AL79" s="338"/>
      <c r="AM79" s="327"/>
      <c r="AN79" s="337"/>
      <c r="AO79" s="338"/>
      <c r="AP79" s="328"/>
      <c r="AQ79" s="341"/>
      <c r="AR79" s="338"/>
      <c r="AS79" s="328"/>
      <c r="AT79" s="391">
        <f t="shared" si="33"/>
        <v>0</v>
      </c>
      <c r="AU79" s="310"/>
    </row>
    <row r="80" spans="1:47" s="311" customFormat="1" ht="18" hidden="1" customHeight="1" x14ac:dyDescent="0.25">
      <c r="A80" s="237">
        <v>54311</v>
      </c>
      <c r="B80" s="903" t="s">
        <v>64</v>
      </c>
      <c r="C80" s="345">
        <f>'egresos 25% y F.P'!C156</f>
        <v>0</v>
      </c>
      <c r="D80" s="330">
        <v>0</v>
      </c>
      <c r="E80" s="330">
        <v>0</v>
      </c>
      <c r="F80" s="330">
        <v>0</v>
      </c>
      <c r="G80" s="346">
        <f t="shared" si="30"/>
        <v>0</v>
      </c>
      <c r="H80" s="344">
        <f>'egresos 25% y F.P'!C48</f>
        <v>0</v>
      </c>
      <c r="I80" s="334">
        <f>'egresos 25% y F.P'!D48</f>
        <v>0</v>
      </c>
      <c r="J80" s="334">
        <f>'egresos 25% y F.P'!E48</f>
        <v>0</v>
      </c>
      <c r="K80" s="334">
        <f>'egresos 25% y F.P'!F48</f>
        <v>0</v>
      </c>
      <c r="L80" s="336">
        <f t="shared" si="32"/>
        <v>0</v>
      </c>
      <c r="M80" s="337">
        <v>0</v>
      </c>
      <c r="N80" s="338">
        <v>0</v>
      </c>
      <c r="O80" s="338">
        <v>0</v>
      </c>
      <c r="P80" s="338">
        <v>0</v>
      </c>
      <c r="Q80" s="338">
        <v>0</v>
      </c>
      <c r="R80" s="338">
        <v>0</v>
      </c>
      <c r="S80" s="323">
        <f t="shared" si="26"/>
        <v>0</v>
      </c>
      <c r="T80" s="338"/>
      <c r="U80" s="338"/>
      <c r="V80" s="367">
        <f t="shared" si="34"/>
        <v>0</v>
      </c>
      <c r="W80" s="338"/>
      <c r="X80" s="338"/>
      <c r="Y80" s="339"/>
      <c r="Z80" s="328">
        <f t="shared" si="35"/>
        <v>0</v>
      </c>
      <c r="AA80" s="338"/>
      <c r="AB80" s="338"/>
      <c r="AC80" s="338"/>
      <c r="AD80" s="338"/>
      <c r="AE80" s="338">
        <v>0</v>
      </c>
      <c r="AF80" s="337"/>
      <c r="AG80" s="337">
        <v>0</v>
      </c>
      <c r="AH80" s="337">
        <v>0</v>
      </c>
      <c r="AI80" s="340">
        <f t="shared" si="36"/>
        <v>0</v>
      </c>
      <c r="AJ80" s="337"/>
      <c r="AK80" s="341"/>
      <c r="AL80" s="338"/>
      <c r="AM80" s="327"/>
      <c r="AN80" s="337"/>
      <c r="AO80" s="338"/>
      <c r="AP80" s="328"/>
      <c r="AQ80" s="341"/>
      <c r="AR80" s="338"/>
      <c r="AS80" s="328"/>
      <c r="AT80" s="391">
        <f t="shared" si="33"/>
        <v>0</v>
      </c>
      <c r="AU80" s="310"/>
    </row>
    <row r="81" spans="1:47" s="311" customFormat="1" ht="18" customHeight="1" x14ac:dyDescent="0.25">
      <c r="A81" s="237">
        <v>54313</v>
      </c>
      <c r="B81" s="903" t="s">
        <v>65</v>
      </c>
      <c r="C81" s="345">
        <f>'egresos 25% y F.P'!C157</f>
        <v>100</v>
      </c>
      <c r="D81" s="330">
        <f>'egresos 25% y F.P'!D157</f>
        <v>100</v>
      </c>
      <c r="E81" s="330">
        <v>0</v>
      </c>
      <c r="F81" s="330">
        <v>0</v>
      </c>
      <c r="G81" s="346">
        <f t="shared" si="30"/>
        <v>200</v>
      </c>
      <c r="H81" s="344">
        <f>'egresos 25% y F.P'!C49</f>
        <v>0</v>
      </c>
      <c r="I81" s="334">
        <f>'egresos 25% y F.P'!D49</f>
        <v>0</v>
      </c>
      <c r="J81" s="334">
        <f>'egresos 25% y F.P'!E49</f>
        <v>0</v>
      </c>
      <c r="K81" s="334">
        <f>'egresos 25% y F.P'!F49</f>
        <v>0</v>
      </c>
      <c r="L81" s="336">
        <f t="shared" si="32"/>
        <v>0</v>
      </c>
      <c r="M81" s="337">
        <v>0</v>
      </c>
      <c r="N81" s="338">
        <v>0</v>
      </c>
      <c r="O81" s="338">
        <v>0</v>
      </c>
      <c r="P81" s="338">
        <v>0</v>
      </c>
      <c r="Q81" s="338">
        <v>0</v>
      </c>
      <c r="R81" s="338">
        <v>0</v>
      </c>
      <c r="S81" s="323">
        <f t="shared" si="26"/>
        <v>0</v>
      </c>
      <c r="T81" s="338"/>
      <c r="U81" s="338"/>
      <c r="V81" s="367">
        <f t="shared" si="34"/>
        <v>0</v>
      </c>
      <c r="W81" s="338"/>
      <c r="X81" s="338"/>
      <c r="Y81" s="339"/>
      <c r="Z81" s="328">
        <f t="shared" si="35"/>
        <v>0</v>
      </c>
      <c r="AA81" s="338"/>
      <c r="AB81" s="338"/>
      <c r="AC81" s="338"/>
      <c r="AD81" s="338"/>
      <c r="AE81" s="338">
        <v>0</v>
      </c>
      <c r="AF81" s="337"/>
      <c r="AG81" s="337">
        <v>0</v>
      </c>
      <c r="AH81" s="337">
        <v>0</v>
      </c>
      <c r="AI81" s="340">
        <f t="shared" si="36"/>
        <v>0</v>
      </c>
      <c r="AJ81" s="337"/>
      <c r="AK81" s="341"/>
      <c r="AL81" s="338"/>
      <c r="AM81" s="327"/>
      <c r="AN81" s="337"/>
      <c r="AO81" s="338"/>
      <c r="AP81" s="328"/>
      <c r="AQ81" s="341"/>
      <c r="AR81" s="338"/>
      <c r="AS81" s="328"/>
      <c r="AT81" s="391">
        <f t="shared" si="33"/>
        <v>200</v>
      </c>
      <c r="AU81" s="310"/>
    </row>
    <row r="82" spans="1:47" s="311" customFormat="1" ht="18" customHeight="1" x14ac:dyDescent="0.25">
      <c r="A82" s="237">
        <v>54314</v>
      </c>
      <c r="B82" s="903" t="s">
        <v>66</v>
      </c>
      <c r="C82" s="345">
        <f>'egresos 25% y F.P'!C159</f>
        <v>9000</v>
      </c>
      <c r="D82" s="330">
        <v>0</v>
      </c>
      <c r="E82" s="330">
        <v>0</v>
      </c>
      <c r="F82" s="330">
        <v>0</v>
      </c>
      <c r="G82" s="346">
        <f t="shared" si="30"/>
        <v>9000</v>
      </c>
      <c r="H82" s="344">
        <f>'egresos 25% y F.P'!C50</f>
        <v>100</v>
      </c>
      <c r="I82" s="334">
        <f>'egresos 25% y F.P'!D50</f>
        <v>0</v>
      </c>
      <c r="J82" s="334">
        <f>'egresos 25% y F.P'!E50</f>
        <v>0</v>
      </c>
      <c r="K82" s="334">
        <f>'egresos 25% y F.P'!F50</f>
        <v>0</v>
      </c>
      <c r="L82" s="336">
        <f t="shared" si="32"/>
        <v>100</v>
      </c>
      <c r="M82" s="337">
        <v>0</v>
      </c>
      <c r="N82" s="338">
        <f>'AG3'!E115+'AG3'!E127+'AG3'!E135</f>
        <v>36414.11</v>
      </c>
      <c r="O82" s="338">
        <v>0</v>
      </c>
      <c r="P82" s="338">
        <v>0</v>
      </c>
      <c r="Q82" s="338">
        <v>0</v>
      </c>
      <c r="R82" s="338">
        <v>0</v>
      </c>
      <c r="S82" s="323">
        <f t="shared" si="26"/>
        <v>36414.11</v>
      </c>
      <c r="T82" s="338"/>
      <c r="U82" s="338"/>
      <c r="V82" s="367">
        <f t="shared" si="34"/>
        <v>0</v>
      </c>
      <c r="W82" s="338"/>
      <c r="X82" s="338"/>
      <c r="Y82" s="339"/>
      <c r="Z82" s="328">
        <f t="shared" si="35"/>
        <v>0</v>
      </c>
      <c r="AA82" s="338"/>
      <c r="AB82" s="338"/>
      <c r="AC82" s="338"/>
      <c r="AD82" s="338"/>
      <c r="AE82" s="338">
        <v>0</v>
      </c>
      <c r="AF82" s="337"/>
      <c r="AG82" s="337">
        <v>0</v>
      </c>
      <c r="AH82" s="337">
        <v>0</v>
      </c>
      <c r="AI82" s="340">
        <f t="shared" si="36"/>
        <v>0</v>
      </c>
      <c r="AJ82" s="337"/>
      <c r="AK82" s="341"/>
      <c r="AL82" s="338"/>
      <c r="AM82" s="327"/>
      <c r="AN82" s="337"/>
      <c r="AO82" s="338"/>
      <c r="AP82" s="328"/>
      <c r="AQ82" s="341"/>
      <c r="AR82" s="338"/>
      <c r="AS82" s="328"/>
      <c r="AT82" s="391">
        <f t="shared" si="33"/>
        <v>45514.11</v>
      </c>
      <c r="AU82" s="310"/>
    </row>
    <row r="83" spans="1:47" s="311" customFormat="1" ht="18" hidden="1" customHeight="1" x14ac:dyDescent="0.25">
      <c r="A83" s="237">
        <v>54316</v>
      </c>
      <c r="B83" s="903" t="s">
        <v>67</v>
      </c>
      <c r="C83" s="345"/>
      <c r="D83" s="330"/>
      <c r="E83" s="330"/>
      <c r="F83" s="355"/>
      <c r="G83" s="356">
        <f t="shared" si="30"/>
        <v>0</v>
      </c>
      <c r="H83" s="344">
        <f>'egresos 25% y F.P'!C51</f>
        <v>0</v>
      </c>
      <c r="I83" s="334">
        <f>'egresos 25% y F.P'!D51</f>
        <v>0</v>
      </c>
      <c r="J83" s="334">
        <f>'egresos 25% y F.P'!E51</f>
        <v>0</v>
      </c>
      <c r="K83" s="334">
        <f>'egresos 25% y F.P'!F51</f>
        <v>0</v>
      </c>
      <c r="L83" s="336">
        <f t="shared" si="32"/>
        <v>0</v>
      </c>
      <c r="M83" s="337">
        <v>0</v>
      </c>
      <c r="N83" s="338">
        <v>0</v>
      </c>
      <c r="O83" s="338">
        <v>0</v>
      </c>
      <c r="P83" s="338">
        <v>0</v>
      </c>
      <c r="Q83" s="338">
        <v>0</v>
      </c>
      <c r="R83" s="338">
        <v>0</v>
      </c>
      <c r="S83" s="323">
        <f t="shared" si="26"/>
        <v>0</v>
      </c>
      <c r="T83" s="338"/>
      <c r="U83" s="338"/>
      <c r="V83" s="367">
        <f t="shared" si="34"/>
        <v>0</v>
      </c>
      <c r="W83" s="338"/>
      <c r="X83" s="338"/>
      <c r="Y83" s="339"/>
      <c r="Z83" s="328">
        <f t="shared" si="35"/>
        <v>0</v>
      </c>
      <c r="AA83" s="338"/>
      <c r="AB83" s="338"/>
      <c r="AC83" s="338"/>
      <c r="AD83" s="338"/>
      <c r="AE83" s="338">
        <v>0</v>
      </c>
      <c r="AF83" s="337"/>
      <c r="AG83" s="337">
        <v>0</v>
      </c>
      <c r="AH83" s="337">
        <v>0</v>
      </c>
      <c r="AI83" s="340">
        <f t="shared" si="36"/>
        <v>0</v>
      </c>
      <c r="AJ83" s="337"/>
      <c r="AK83" s="341"/>
      <c r="AL83" s="338"/>
      <c r="AM83" s="327"/>
      <c r="AN83" s="337"/>
      <c r="AO83" s="338"/>
      <c r="AP83" s="328"/>
      <c r="AQ83" s="341"/>
      <c r="AR83" s="338"/>
      <c r="AS83" s="328"/>
      <c r="AT83" s="391">
        <f t="shared" si="33"/>
        <v>0</v>
      </c>
      <c r="AU83" s="310"/>
    </row>
    <row r="84" spans="1:47" s="311" customFormat="1" ht="18" customHeight="1" x14ac:dyDescent="0.25">
      <c r="A84" s="237">
        <v>54317</v>
      </c>
      <c r="B84" s="903" t="s">
        <v>68</v>
      </c>
      <c r="C84" s="345">
        <f>'egresos 25% y F.P'!C160</f>
        <v>0</v>
      </c>
      <c r="D84" s="330">
        <v>0</v>
      </c>
      <c r="E84" s="330">
        <v>0</v>
      </c>
      <c r="F84" s="355">
        <f>'egresos 25% y F.P'!F161</f>
        <v>4500</v>
      </c>
      <c r="G84" s="332">
        <f t="shared" si="30"/>
        <v>4500</v>
      </c>
      <c r="H84" s="344">
        <f>'egresos 25% y F.P'!C52</f>
        <v>0</v>
      </c>
      <c r="I84" s="334">
        <f>'egresos 25% y F.P'!D52</f>
        <v>0</v>
      </c>
      <c r="J84" s="334">
        <f>'egresos 25% y F.P'!E52</f>
        <v>0</v>
      </c>
      <c r="K84" s="334">
        <f>'egresos 25% y F.P'!F52</f>
        <v>0</v>
      </c>
      <c r="L84" s="336">
        <f t="shared" si="32"/>
        <v>0</v>
      </c>
      <c r="M84" s="337">
        <v>0</v>
      </c>
      <c r="N84" s="338">
        <f>'AG3'!E116</f>
        <v>1200</v>
      </c>
      <c r="O84" s="338">
        <v>0</v>
      </c>
      <c r="P84" s="338">
        <v>0</v>
      </c>
      <c r="Q84" s="338">
        <v>0</v>
      </c>
      <c r="R84" s="338">
        <v>0</v>
      </c>
      <c r="S84" s="323">
        <f t="shared" si="26"/>
        <v>1200</v>
      </c>
      <c r="T84" s="338"/>
      <c r="U84" s="338"/>
      <c r="V84" s="367">
        <f t="shared" si="34"/>
        <v>0</v>
      </c>
      <c r="W84" s="338"/>
      <c r="X84" s="338"/>
      <c r="Y84" s="339"/>
      <c r="Z84" s="328">
        <f t="shared" si="35"/>
        <v>0</v>
      </c>
      <c r="AA84" s="338"/>
      <c r="AB84" s="338"/>
      <c r="AC84" s="338"/>
      <c r="AD84" s="338"/>
      <c r="AE84" s="338">
        <v>0</v>
      </c>
      <c r="AF84" s="337"/>
      <c r="AG84" s="337">
        <v>0</v>
      </c>
      <c r="AH84" s="337">
        <v>0</v>
      </c>
      <c r="AI84" s="340">
        <f t="shared" si="36"/>
        <v>0</v>
      </c>
      <c r="AJ84" s="337"/>
      <c r="AK84" s="341"/>
      <c r="AL84" s="338"/>
      <c r="AM84" s="327"/>
      <c r="AN84" s="337"/>
      <c r="AO84" s="338"/>
      <c r="AP84" s="328"/>
      <c r="AQ84" s="341"/>
      <c r="AR84" s="338"/>
      <c r="AS84" s="328"/>
      <c r="AT84" s="391">
        <f t="shared" si="33"/>
        <v>5700</v>
      </c>
      <c r="AU84" s="310"/>
    </row>
    <row r="85" spans="1:47" s="311" customFormat="1" ht="18" customHeight="1" x14ac:dyDescent="0.25">
      <c r="A85" s="237">
        <v>54399</v>
      </c>
      <c r="B85" s="903" t="s">
        <v>69</v>
      </c>
      <c r="C85" s="345">
        <f>'egresos 25% y F.P'!C162</f>
        <v>1000</v>
      </c>
      <c r="D85" s="345">
        <f>'egresos 25% y F.P'!D162</f>
        <v>700</v>
      </c>
      <c r="E85" s="345">
        <f>'egresos 25% y F.P'!E162</f>
        <v>0</v>
      </c>
      <c r="F85" s="355">
        <f>+'egresos 25% y F.P'!F162</f>
        <v>300</v>
      </c>
      <c r="G85" s="332">
        <f t="shared" si="30"/>
        <v>2000</v>
      </c>
      <c r="H85" s="344">
        <f>'egresos 25% y F.P'!C53</f>
        <v>100</v>
      </c>
      <c r="I85" s="334">
        <f>'egresos 25% y F.P'!D53</f>
        <v>100</v>
      </c>
      <c r="J85" s="334">
        <f>'egresos 25% y F.P'!E53</f>
        <v>0</v>
      </c>
      <c r="K85" s="334">
        <f>'egresos 25% y F.P'!F53</f>
        <v>0</v>
      </c>
      <c r="L85" s="336">
        <f t="shared" si="32"/>
        <v>200</v>
      </c>
      <c r="M85" s="337">
        <f>'AG3'!E34</f>
        <v>3482.16</v>
      </c>
      <c r="N85" s="338">
        <f>'AG3'!E59+'AG3'!E117+'AG3'!E128+'AG3'!E136</f>
        <v>26454.660000000003</v>
      </c>
      <c r="O85" s="338">
        <v>0</v>
      </c>
      <c r="P85" s="338">
        <v>0</v>
      </c>
      <c r="Q85" s="338">
        <v>0</v>
      </c>
      <c r="R85" s="338">
        <v>0</v>
      </c>
      <c r="S85" s="323">
        <f t="shared" si="26"/>
        <v>29936.820000000003</v>
      </c>
      <c r="T85" s="338"/>
      <c r="U85" s="338"/>
      <c r="V85" s="367">
        <f t="shared" si="34"/>
        <v>0</v>
      </c>
      <c r="W85" s="338"/>
      <c r="X85" s="338"/>
      <c r="Y85" s="339"/>
      <c r="Z85" s="328">
        <f t="shared" si="35"/>
        <v>0</v>
      </c>
      <c r="AA85" s="338"/>
      <c r="AB85" s="338"/>
      <c r="AC85" s="338"/>
      <c r="AD85" s="338"/>
      <c r="AE85" s="338">
        <v>0</v>
      </c>
      <c r="AF85" s="337"/>
      <c r="AG85" s="337">
        <v>0</v>
      </c>
      <c r="AH85" s="337">
        <v>0</v>
      </c>
      <c r="AI85" s="340">
        <f t="shared" si="36"/>
        <v>0</v>
      </c>
      <c r="AJ85" s="337"/>
      <c r="AK85" s="341"/>
      <c r="AL85" s="338"/>
      <c r="AM85" s="327"/>
      <c r="AN85" s="337"/>
      <c r="AO85" s="338"/>
      <c r="AP85" s="328"/>
      <c r="AQ85" s="341"/>
      <c r="AR85" s="338"/>
      <c r="AS85" s="328"/>
      <c r="AT85" s="391">
        <f t="shared" si="33"/>
        <v>32136.820000000003</v>
      </c>
      <c r="AU85" s="310"/>
    </row>
    <row r="86" spans="1:47" s="311" customFormat="1" ht="18" customHeight="1" x14ac:dyDescent="0.25">
      <c r="A86" s="235">
        <v>544</v>
      </c>
      <c r="B86" s="905" t="s">
        <v>70</v>
      </c>
      <c r="C86" s="314">
        <f>SUM(C87:C90)</f>
        <v>2200</v>
      </c>
      <c r="D86" s="315">
        <f>SUM(D87:D90)</f>
        <v>200</v>
      </c>
      <c r="E86" s="315">
        <f>SUM(E87:E90)</f>
        <v>100</v>
      </c>
      <c r="F86" s="357">
        <f>SUM(F87:F90)</f>
        <v>200</v>
      </c>
      <c r="G86" s="316">
        <f>SUM(C86:F86)</f>
        <v>2700</v>
      </c>
      <c r="H86" s="343">
        <f>SUM(H87:H90)</f>
        <v>0</v>
      </c>
      <c r="I86" s="318">
        <f>SUM(I87:I89)</f>
        <v>0</v>
      </c>
      <c r="J86" s="318">
        <f>SUM(J87:J89)</f>
        <v>0</v>
      </c>
      <c r="K86" s="318">
        <f>SUM(K87:K89)</f>
        <v>0</v>
      </c>
      <c r="L86" s="320">
        <f>SUM(H86:K86)</f>
        <v>0</v>
      </c>
      <c r="M86" s="337">
        <v>0</v>
      </c>
      <c r="N86" s="338">
        <v>0</v>
      </c>
      <c r="O86" s="338">
        <v>0</v>
      </c>
      <c r="P86" s="338">
        <v>0</v>
      </c>
      <c r="Q86" s="338">
        <v>0</v>
      </c>
      <c r="R86" s="338">
        <v>0</v>
      </c>
      <c r="S86" s="349">
        <f t="shared" si="26"/>
        <v>0</v>
      </c>
      <c r="T86" s="338"/>
      <c r="U86" s="338"/>
      <c r="V86" s="367">
        <f t="shared" si="34"/>
        <v>0</v>
      </c>
      <c r="W86" s="338"/>
      <c r="X86" s="338"/>
      <c r="Y86" s="339"/>
      <c r="Z86" s="328">
        <f t="shared" si="35"/>
        <v>0</v>
      </c>
      <c r="AA86" s="338"/>
      <c r="AB86" s="338"/>
      <c r="AC86" s="338"/>
      <c r="AD86" s="338"/>
      <c r="AE86" s="338">
        <v>0</v>
      </c>
      <c r="AF86" s="337"/>
      <c r="AG86" s="337">
        <v>0</v>
      </c>
      <c r="AH86" s="337">
        <v>0</v>
      </c>
      <c r="AI86" s="325">
        <f t="shared" si="36"/>
        <v>0</v>
      </c>
      <c r="AJ86" s="337"/>
      <c r="AK86" s="341"/>
      <c r="AL86" s="338"/>
      <c r="AM86" s="327"/>
      <c r="AN86" s="337"/>
      <c r="AO86" s="338"/>
      <c r="AP86" s="328"/>
      <c r="AQ86" s="341"/>
      <c r="AR86" s="338"/>
      <c r="AS86" s="328"/>
      <c r="AT86" s="368">
        <f t="shared" si="33"/>
        <v>2700</v>
      </c>
      <c r="AU86" s="310"/>
    </row>
    <row r="87" spans="1:47" s="311" customFormat="1" ht="18" customHeight="1" x14ac:dyDescent="0.25">
      <c r="A87" s="237">
        <v>54401</v>
      </c>
      <c r="B87" s="903" t="s">
        <v>71</v>
      </c>
      <c r="C87" s="345">
        <f>'egresos 25% y F.P'!C164</f>
        <v>50</v>
      </c>
      <c r="D87" s="330">
        <f>'egresos 25% y F.P'!D164</f>
        <v>100</v>
      </c>
      <c r="E87" s="330">
        <f>'egresos 25% y F.P'!E164</f>
        <v>50</v>
      </c>
      <c r="F87" s="330">
        <f>'egresos 25% y F.P'!F164</f>
        <v>50</v>
      </c>
      <c r="G87" s="346">
        <f t="shared" si="30"/>
        <v>250</v>
      </c>
      <c r="H87" s="344">
        <f>'egresos 25% y F.P'!C55</f>
        <v>0</v>
      </c>
      <c r="I87" s="334">
        <f>'egresos 25% y F.P'!D55</f>
        <v>0</v>
      </c>
      <c r="J87" s="334">
        <f>'egresos 25% y F.P'!E55</f>
        <v>0</v>
      </c>
      <c r="K87" s="334">
        <f>'egresos 25% y F.P'!F55</f>
        <v>0</v>
      </c>
      <c r="L87" s="336">
        <f>SUM(H87:K87)</f>
        <v>0</v>
      </c>
      <c r="M87" s="337">
        <v>0</v>
      </c>
      <c r="N87" s="338">
        <v>0</v>
      </c>
      <c r="O87" s="338">
        <v>0</v>
      </c>
      <c r="P87" s="338">
        <v>0</v>
      </c>
      <c r="Q87" s="338">
        <v>0</v>
      </c>
      <c r="R87" s="338">
        <v>0</v>
      </c>
      <c r="S87" s="323">
        <f t="shared" si="26"/>
        <v>0</v>
      </c>
      <c r="T87" s="338"/>
      <c r="U87" s="338"/>
      <c r="V87" s="367">
        <f t="shared" si="34"/>
        <v>0</v>
      </c>
      <c r="W87" s="338"/>
      <c r="X87" s="338"/>
      <c r="Y87" s="339"/>
      <c r="Z87" s="328">
        <f t="shared" si="35"/>
        <v>0</v>
      </c>
      <c r="AA87" s="338"/>
      <c r="AB87" s="338"/>
      <c r="AC87" s="338"/>
      <c r="AD87" s="338"/>
      <c r="AE87" s="338">
        <v>0</v>
      </c>
      <c r="AF87" s="337"/>
      <c r="AG87" s="337">
        <v>0</v>
      </c>
      <c r="AH87" s="337">
        <v>0</v>
      </c>
      <c r="AI87" s="340">
        <f t="shared" si="36"/>
        <v>0</v>
      </c>
      <c r="AJ87" s="337"/>
      <c r="AK87" s="341"/>
      <c r="AL87" s="338"/>
      <c r="AM87" s="327"/>
      <c r="AN87" s="337"/>
      <c r="AO87" s="338"/>
      <c r="AP87" s="328"/>
      <c r="AQ87" s="341"/>
      <c r="AR87" s="338"/>
      <c r="AS87" s="328"/>
      <c r="AT87" s="391">
        <f t="shared" si="33"/>
        <v>250</v>
      </c>
      <c r="AU87" s="310"/>
    </row>
    <row r="88" spans="1:47" s="311" customFormat="1" ht="18" customHeight="1" x14ac:dyDescent="0.25">
      <c r="A88" s="237">
        <v>54402</v>
      </c>
      <c r="B88" s="903" t="s">
        <v>72</v>
      </c>
      <c r="C88" s="345"/>
      <c r="D88" s="330"/>
      <c r="E88" s="355"/>
      <c r="F88" s="355"/>
      <c r="G88" s="332">
        <f t="shared" si="30"/>
        <v>0</v>
      </c>
      <c r="H88" s="344"/>
      <c r="I88" s="334"/>
      <c r="J88" s="334"/>
      <c r="K88" s="334"/>
      <c r="L88" s="336">
        <f>SUM(H88:J88)</f>
        <v>0</v>
      </c>
      <c r="M88" s="337">
        <v>0</v>
      </c>
      <c r="N88" s="338">
        <v>0</v>
      </c>
      <c r="O88" s="338">
        <v>0</v>
      </c>
      <c r="P88" s="338">
        <v>0</v>
      </c>
      <c r="Q88" s="338">
        <v>0</v>
      </c>
      <c r="R88" s="338">
        <v>0</v>
      </c>
      <c r="S88" s="323">
        <f t="shared" si="26"/>
        <v>0</v>
      </c>
      <c r="T88" s="338"/>
      <c r="U88" s="338"/>
      <c r="V88" s="367">
        <f t="shared" si="34"/>
        <v>0</v>
      </c>
      <c r="W88" s="338"/>
      <c r="X88" s="338"/>
      <c r="Y88" s="339"/>
      <c r="Z88" s="328">
        <f t="shared" si="35"/>
        <v>0</v>
      </c>
      <c r="AA88" s="338"/>
      <c r="AB88" s="338"/>
      <c r="AC88" s="338"/>
      <c r="AD88" s="338"/>
      <c r="AE88" s="338">
        <v>0</v>
      </c>
      <c r="AF88" s="337"/>
      <c r="AG88" s="337">
        <v>0</v>
      </c>
      <c r="AH88" s="337">
        <v>0</v>
      </c>
      <c r="AI88" s="340">
        <f t="shared" si="36"/>
        <v>0</v>
      </c>
      <c r="AJ88" s="337"/>
      <c r="AK88" s="341"/>
      <c r="AL88" s="338"/>
      <c r="AM88" s="327"/>
      <c r="AN88" s="337"/>
      <c r="AO88" s="338"/>
      <c r="AP88" s="328"/>
      <c r="AQ88" s="341"/>
      <c r="AR88" s="338"/>
      <c r="AS88" s="328"/>
      <c r="AT88" s="391">
        <f t="shared" si="33"/>
        <v>0</v>
      </c>
      <c r="AU88" s="310"/>
    </row>
    <row r="89" spans="1:47" s="311" customFormat="1" ht="18" customHeight="1" x14ac:dyDescent="0.25">
      <c r="A89" s="237">
        <v>54403</v>
      </c>
      <c r="B89" s="903" t="s">
        <v>73</v>
      </c>
      <c r="C89" s="345">
        <f>'egresos 25% y F.P'!C166</f>
        <v>150</v>
      </c>
      <c r="D89" s="330">
        <f>'egresos 25% y F.P'!D166</f>
        <v>100</v>
      </c>
      <c r="E89" s="355">
        <f>'egresos 25% y F.P'!E166</f>
        <v>50</v>
      </c>
      <c r="F89" s="355">
        <f>'egresos 25% y F.P'!F166</f>
        <v>150</v>
      </c>
      <c r="G89" s="332">
        <f>SUM(C89:F89)</f>
        <v>450</v>
      </c>
      <c r="H89" s="344">
        <f>'egresos 25% y F.P'!C57</f>
        <v>0</v>
      </c>
      <c r="I89" s="334">
        <f>'egresos 25% y F.P'!D57</f>
        <v>0</v>
      </c>
      <c r="J89" s="334">
        <f>'egresos 25% y F.P'!E57</f>
        <v>0</v>
      </c>
      <c r="K89" s="334">
        <f>'egresos 25% y F.P'!F57</f>
        <v>0</v>
      </c>
      <c r="L89" s="336">
        <f>SUM(H89:K89)</f>
        <v>0</v>
      </c>
      <c r="M89" s="337">
        <v>0</v>
      </c>
      <c r="N89" s="338">
        <v>0</v>
      </c>
      <c r="O89" s="338">
        <v>0</v>
      </c>
      <c r="P89" s="338">
        <v>0</v>
      </c>
      <c r="Q89" s="338">
        <v>0</v>
      </c>
      <c r="R89" s="338">
        <v>0</v>
      </c>
      <c r="S89" s="323">
        <f t="shared" si="26"/>
        <v>0</v>
      </c>
      <c r="T89" s="338"/>
      <c r="U89" s="338"/>
      <c r="V89" s="367">
        <f t="shared" si="34"/>
        <v>0</v>
      </c>
      <c r="W89" s="338"/>
      <c r="X89" s="338"/>
      <c r="Y89" s="339"/>
      <c r="Z89" s="328">
        <f t="shared" si="35"/>
        <v>0</v>
      </c>
      <c r="AA89" s="338"/>
      <c r="AB89" s="338"/>
      <c r="AC89" s="338"/>
      <c r="AD89" s="338"/>
      <c r="AE89" s="338">
        <v>0</v>
      </c>
      <c r="AF89" s="337"/>
      <c r="AG89" s="337">
        <v>0</v>
      </c>
      <c r="AH89" s="337">
        <v>0</v>
      </c>
      <c r="AI89" s="340">
        <f t="shared" si="36"/>
        <v>0</v>
      </c>
      <c r="AJ89" s="337"/>
      <c r="AK89" s="341"/>
      <c r="AL89" s="338"/>
      <c r="AM89" s="327"/>
      <c r="AN89" s="337"/>
      <c r="AO89" s="338"/>
      <c r="AP89" s="328"/>
      <c r="AQ89" s="341"/>
      <c r="AR89" s="338"/>
      <c r="AS89" s="328"/>
      <c r="AT89" s="391">
        <f t="shared" si="33"/>
        <v>450</v>
      </c>
      <c r="AU89" s="310"/>
    </row>
    <row r="90" spans="1:47" s="311" customFormat="1" ht="18" customHeight="1" x14ac:dyDescent="0.25">
      <c r="A90" s="237">
        <v>54404</v>
      </c>
      <c r="B90" s="903" t="s">
        <v>74</v>
      </c>
      <c r="C90" s="345">
        <f>'egresos 25% y F.P'!C167</f>
        <v>2000</v>
      </c>
      <c r="D90" s="330">
        <f>'egresos 25% y F.P'!D167</f>
        <v>0</v>
      </c>
      <c r="E90" s="355">
        <f>'egresos 25% y F.P'!E167</f>
        <v>0</v>
      </c>
      <c r="F90" s="355">
        <f>'egresos 25% y F.P'!F167</f>
        <v>0</v>
      </c>
      <c r="G90" s="332">
        <f t="shared" si="30"/>
        <v>2000</v>
      </c>
      <c r="H90" s="344">
        <f>'egresos 25% y F.P'!C58</f>
        <v>0</v>
      </c>
      <c r="I90" s="334">
        <f>'egresos 25% y F.P'!D42</f>
        <v>0</v>
      </c>
      <c r="J90" s="334">
        <f>'egresos 25% y F.P'!E42</f>
        <v>0</v>
      </c>
      <c r="K90" s="334">
        <f>'egresos 25% y F.P'!F42</f>
        <v>0</v>
      </c>
      <c r="L90" s="336">
        <f t="shared" ref="L90:L99" si="37">SUM(H90:J90)</f>
        <v>0</v>
      </c>
      <c r="M90" s="337">
        <v>0</v>
      </c>
      <c r="N90" s="338">
        <v>0</v>
      </c>
      <c r="O90" s="338">
        <v>0</v>
      </c>
      <c r="P90" s="338">
        <v>0</v>
      </c>
      <c r="Q90" s="338">
        <v>0</v>
      </c>
      <c r="R90" s="338">
        <v>0</v>
      </c>
      <c r="S90" s="323">
        <f t="shared" si="26"/>
        <v>0</v>
      </c>
      <c r="T90" s="338"/>
      <c r="U90" s="338"/>
      <c r="V90" s="367">
        <f t="shared" si="34"/>
        <v>0</v>
      </c>
      <c r="W90" s="338"/>
      <c r="X90" s="338"/>
      <c r="Y90" s="339"/>
      <c r="Z90" s="328">
        <f t="shared" si="35"/>
        <v>0</v>
      </c>
      <c r="AA90" s="338"/>
      <c r="AB90" s="338"/>
      <c r="AC90" s="338"/>
      <c r="AD90" s="338"/>
      <c r="AE90" s="338">
        <v>0</v>
      </c>
      <c r="AF90" s="337"/>
      <c r="AG90" s="337">
        <v>0</v>
      </c>
      <c r="AH90" s="337">
        <v>0</v>
      </c>
      <c r="AI90" s="340">
        <f t="shared" si="36"/>
        <v>0</v>
      </c>
      <c r="AJ90" s="337"/>
      <c r="AK90" s="341"/>
      <c r="AL90" s="338"/>
      <c r="AM90" s="327"/>
      <c r="AN90" s="337"/>
      <c r="AO90" s="338"/>
      <c r="AP90" s="328"/>
      <c r="AQ90" s="341"/>
      <c r="AR90" s="338"/>
      <c r="AS90" s="328"/>
      <c r="AT90" s="391">
        <f t="shared" si="33"/>
        <v>2000</v>
      </c>
      <c r="AU90" s="310"/>
    </row>
    <row r="91" spans="1:47" s="313" customFormat="1" ht="18" hidden="1" customHeight="1" x14ac:dyDescent="0.25">
      <c r="A91" s="235">
        <v>545</v>
      </c>
      <c r="B91" s="905" t="s">
        <v>75</v>
      </c>
      <c r="C91" s="314">
        <f>SUM(C92)</f>
        <v>0</v>
      </c>
      <c r="D91" s="347">
        <v>0</v>
      </c>
      <c r="E91" s="358">
        <v>0</v>
      </c>
      <c r="F91" s="358">
        <v>0</v>
      </c>
      <c r="G91" s="316">
        <f>SUM(C91:F91)</f>
        <v>0</v>
      </c>
      <c r="H91" s="343">
        <f>SUM(H92)</f>
        <v>0</v>
      </c>
      <c r="I91" s="318">
        <v>0</v>
      </c>
      <c r="J91" s="318">
        <v>0</v>
      </c>
      <c r="K91" s="318">
        <v>0</v>
      </c>
      <c r="L91" s="320">
        <f>SUM(L92)</f>
        <v>0</v>
      </c>
      <c r="M91" s="321">
        <v>0</v>
      </c>
      <c r="N91" s="322">
        <v>0</v>
      </c>
      <c r="O91" s="322">
        <v>0</v>
      </c>
      <c r="P91" s="322">
        <v>0</v>
      </c>
      <c r="Q91" s="322">
        <v>0</v>
      </c>
      <c r="R91" s="322">
        <v>0</v>
      </c>
      <c r="S91" s="323">
        <f t="shared" si="26"/>
        <v>0</v>
      </c>
      <c r="T91" s="322"/>
      <c r="U91" s="322"/>
      <c r="V91" s="897">
        <f t="shared" si="34"/>
        <v>0</v>
      </c>
      <c r="W91" s="322"/>
      <c r="X91" s="322"/>
      <c r="Y91" s="324"/>
      <c r="Z91" s="360">
        <f t="shared" si="35"/>
        <v>0</v>
      </c>
      <c r="AA91" s="322"/>
      <c r="AB91" s="322"/>
      <c r="AC91" s="322"/>
      <c r="AD91" s="322"/>
      <c r="AE91" s="322">
        <v>0</v>
      </c>
      <c r="AF91" s="321"/>
      <c r="AG91" s="321">
        <v>0</v>
      </c>
      <c r="AH91" s="321">
        <v>0</v>
      </c>
      <c r="AI91" s="325">
        <f t="shared" si="36"/>
        <v>0</v>
      </c>
      <c r="AJ91" s="321"/>
      <c r="AK91" s="326"/>
      <c r="AL91" s="322"/>
      <c r="AM91" s="359"/>
      <c r="AN91" s="321"/>
      <c r="AO91" s="322"/>
      <c r="AP91" s="360"/>
      <c r="AQ91" s="326"/>
      <c r="AR91" s="322"/>
      <c r="AS91" s="360"/>
      <c r="AT91" s="368">
        <f t="shared" si="33"/>
        <v>0</v>
      </c>
      <c r="AU91" s="312"/>
    </row>
    <row r="92" spans="1:47" s="311" customFormat="1" ht="18" hidden="1" customHeight="1" x14ac:dyDescent="0.25">
      <c r="A92" s="237">
        <v>54503</v>
      </c>
      <c r="B92" s="903" t="s">
        <v>77</v>
      </c>
      <c r="C92" s="345">
        <f>+'egresos 25% y F.P'!C170</f>
        <v>0</v>
      </c>
      <c r="D92" s="330">
        <v>0</v>
      </c>
      <c r="E92" s="355">
        <v>0</v>
      </c>
      <c r="F92" s="355">
        <v>0</v>
      </c>
      <c r="G92" s="332">
        <f>SUM(C92:F92)</f>
        <v>0</v>
      </c>
      <c r="H92" s="344">
        <f>+'egresos 25% y F.P'!C61</f>
        <v>0</v>
      </c>
      <c r="I92" s="334">
        <v>0</v>
      </c>
      <c r="J92" s="334">
        <v>0</v>
      </c>
      <c r="K92" s="334">
        <v>0</v>
      </c>
      <c r="L92" s="336">
        <f>+'egresos 25% y F.P'!G61</f>
        <v>0</v>
      </c>
      <c r="M92" s="337">
        <v>0</v>
      </c>
      <c r="N92" s="338">
        <v>0</v>
      </c>
      <c r="O92" s="338">
        <v>0</v>
      </c>
      <c r="P92" s="338">
        <v>0</v>
      </c>
      <c r="Q92" s="338">
        <v>0</v>
      </c>
      <c r="R92" s="338">
        <v>0</v>
      </c>
      <c r="S92" s="323">
        <f t="shared" si="26"/>
        <v>0</v>
      </c>
      <c r="T92" s="338"/>
      <c r="U92" s="338"/>
      <c r="V92" s="367">
        <f t="shared" si="34"/>
        <v>0</v>
      </c>
      <c r="W92" s="338"/>
      <c r="X92" s="338"/>
      <c r="Y92" s="339"/>
      <c r="Z92" s="328">
        <f t="shared" si="35"/>
        <v>0</v>
      </c>
      <c r="AA92" s="338"/>
      <c r="AB92" s="338"/>
      <c r="AC92" s="338"/>
      <c r="AD92" s="338"/>
      <c r="AE92" s="338">
        <v>0</v>
      </c>
      <c r="AF92" s="337"/>
      <c r="AG92" s="337">
        <v>0</v>
      </c>
      <c r="AH92" s="337">
        <v>0</v>
      </c>
      <c r="AI92" s="340">
        <f t="shared" si="36"/>
        <v>0</v>
      </c>
      <c r="AJ92" s="337"/>
      <c r="AK92" s="341"/>
      <c r="AL92" s="338"/>
      <c r="AM92" s="327"/>
      <c r="AN92" s="337"/>
      <c r="AO92" s="338"/>
      <c r="AP92" s="328"/>
      <c r="AQ92" s="341"/>
      <c r="AR92" s="338"/>
      <c r="AS92" s="328"/>
      <c r="AT92" s="391">
        <f t="shared" si="33"/>
        <v>0</v>
      </c>
      <c r="AU92" s="310"/>
    </row>
    <row r="93" spans="1:47" s="311" customFormat="1" ht="18" hidden="1" customHeight="1" x14ac:dyDescent="0.25">
      <c r="A93" s="237">
        <v>54599</v>
      </c>
      <c r="B93" s="903" t="s">
        <v>488</v>
      </c>
      <c r="C93" s="345">
        <v>0</v>
      </c>
      <c r="D93" s="330">
        <v>0</v>
      </c>
      <c r="E93" s="355">
        <v>0</v>
      </c>
      <c r="F93" s="355">
        <v>0</v>
      </c>
      <c r="G93" s="332">
        <v>0</v>
      </c>
      <c r="H93" s="344">
        <v>0</v>
      </c>
      <c r="I93" s="334">
        <v>0</v>
      </c>
      <c r="J93" s="334">
        <v>0</v>
      </c>
      <c r="K93" s="334">
        <v>0</v>
      </c>
      <c r="L93" s="336">
        <v>0</v>
      </c>
      <c r="M93" s="337">
        <v>0</v>
      </c>
      <c r="N93" s="338">
        <v>0</v>
      </c>
      <c r="O93" s="338">
        <v>0</v>
      </c>
      <c r="P93" s="338">
        <v>0</v>
      </c>
      <c r="Q93" s="338">
        <v>0</v>
      </c>
      <c r="R93" s="338">
        <v>0</v>
      </c>
      <c r="S93" s="323">
        <v>0</v>
      </c>
      <c r="T93" s="338"/>
      <c r="U93" s="338"/>
      <c r="V93" s="367">
        <f t="shared" si="34"/>
        <v>0</v>
      </c>
      <c r="W93" s="338"/>
      <c r="X93" s="338"/>
      <c r="Y93" s="339"/>
      <c r="Z93" s="328">
        <f t="shared" si="35"/>
        <v>0</v>
      </c>
      <c r="AA93" s="338"/>
      <c r="AB93" s="338"/>
      <c r="AC93" s="338"/>
      <c r="AD93" s="338"/>
      <c r="AE93" s="338">
        <v>0</v>
      </c>
      <c r="AF93" s="337"/>
      <c r="AG93" s="337">
        <v>0</v>
      </c>
      <c r="AH93" s="337">
        <v>0</v>
      </c>
      <c r="AI93" s="340">
        <v>0</v>
      </c>
      <c r="AJ93" s="337"/>
      <c r="AK93" s="341"/>
      <c r="AL93" s="338"/>
      <c r="AM93" s="327"/>
      <c r="AN93" s="337"/>
      <c r="AO93" s="338"/>
      <c r="AP93" s="328"/>
      <c r="AQ93" s="341"/>
      <c r="AR93" s="338"/>
      <c r="AS93" s="328"/>
      <c r="AT93" s="391">
        <f t="shared" si="33"/>
        <v>0</v>
      </c>
      <c r="AU93" s="310"/>
    </row>
    <row r="94" spans="1:47" s="311" customFormat="1" ht="18" customHeight="1" x14ac:dyDescent="0.25">
      <c r="A94" s="235">
        <v>55</v>
      </c>
      <c r="B94" s="905" t="s">
        <v>83</v>
      </c>
      <c r="C94" s="361">
        <f>+C95+C101+C103</f>
        <v>728.86</v>
      </c>
      <c r="D94" s="361">
        <f t="shared" ref="D94:F94" si="38">+D95+D101+D103</f>
        <v>257.18</v>
      </c>
      <c r="E94" s="361">
        <f t="shared" si="38"/>
        <v>0</v>
      </c>
      <c r="F94" s="361">
        <f t="shared" si="38"/>
        <v>120.01</v>
      </c>
      <c r="G94" s="316">
        <f>F94+D94+C94</f>
        <v>1106.05</v>
      </c>
      <c r="H94" s="343">
        <f>H95+H101+H103</f>
        <v>4050</v>
      </c>
      <c r="I94" s="319">
        <f t="shared" ref="I94:J94" si="39">I95+I101+I103</f>
        <v>100</v>
      </c>
      <c r="J94" s="318">
        <f t="shared" si="39"/>
        <v>0</v>
      </c>
      <c r="K94" s="318">
        <f>K95+K101+K103</f>
        <v>120.01</v>
      </c>
      <c r="L94" s="320">
        <f>SUM(H94:K94)</f>
        <v>4270.01</v>
      </c>
      <c r="M94" s="337">
        <v>0</v>
      </c>
      <c r="N94" s="338">
        <v>0</v>
      </c>
      <c r="O94" s="338">
        <v>0</v>
      </c>
      <c r="P94" s="322">
        <f>P95+P103</f>
        <v>0</v>
      </c>
      <c r="Q94" s="322">
        <f>Q95+Q103</f>
        <v>164509.92000000001</v>
      </c>
      <c r="R94" s="322">
        <f>R95+R103</f>
        <v>4460.1499999999996</v>
      </c>
      <c r="S94" s="349">
        <f>M94+N94+O94+P94+Q94+R94</f>
        <v>168970.07</v>
      </c>
      <c r="T94" s="338"/>
      <c r="U94" s="338"/>
      <c r="V94" s="367">
        <f t="shared" si="34"/>
        <v>0</v>
      </c>
      <c r="W94" s="338"/>
      <c r="X94" s="338"/>
      <c r="Y94" s="339"/>
      <c r="Z94" s="328">
        <f t="shared" si="35"/>
        <v>0</v>
      </c>
      <c r="AA94" s="338"/>
      <c r="AB94" s="338"/>
      <c r="AC94" s="338"/>
      <c r="AD94" s="338"/>
      <c r="AE94" s="322">
        <v>0</v>
      </c>
      <c r="AF94" s="321"/>
      <c r="AG94" s="321">
        <v>0</v>
      </c>
      <c r="AH94" s="321">
        <v>0</v>
      </c>
      <c r="AI94" s="325">
        <f t="shared" si="36"/>
        <v>0</v>
      </c>
      <c r="AJ94" s="337"/>
      <c r="AK94" s="341"/>
      <c r="AL94" s="338"/>
      <c r="AM94" s="327"/>
      <c r="AN94" s="337"/>
      <c r="AO94" s="338"/>
      <c r="AP94" s="328"/>
      <c r="AQ94" s="341"/>
      <c r="AR94" s="338"/>
      <c r="AS94" s="328"/>
      <c r="AT94" s="368">
        <f t="shared" si="33"/>
        <v>174346.13</v>
      </c>
      <c r="AU94" s="310"/>
    </row>
    <row r="95" spans="1:47" s="311" customFormat="1" ht="18" customHeight="1" x14ac:dyDescent="0.25">
      <c r="A95" s="235">
        <v>553</v>
      </c>
      <c r="B95" s="905" t="s">
        <v>84</v>
      </c>
      <c r="C95" s="361">
        <f>C97+C98+C99</f>
        <v>0</v>
      </c>
      <c r="D95" s="315">
        <f>D97+D98+D99</f>
        <v>0</v>
      </c>
      <c r="E95" s="315">
        <f>E97+E98+E99</f>
        <v>0</v>
      </c>
      <c r="F95" s="357">
        <f>F97+F98+F99</f>
        <v>0</v>
      </c>
      <c r="G95" s="316">
        <v>0</v>
      </c>
      <c r="H95" s="343">
        <f>SUM(H97:H99)</f>
        <v>0</v>
      </c>
      <c r="I95" s="318">
        <f>SUM(I97:I99)</f>
        <v>0</v>
      </c>
      <c r="J95" s="318">
        <f>SUM(J97:J99)</f>
        <v>0</v>
      </c>
      <c r="K95" s="318">
        <f>SUM(K97:K99)</f>
        <v>0</v>
      </c>
      <c r="L95" s="320">
        <f t="shared" si="37"/>
        <v>0</v>
      </c>
      <c r="M95" s="337">
        <v>0</v>
      </c>
      <c r="N95" s="338">
        <v>0</v>
      </c>
      <c r="O95" s="338">
        <v>0</v>
      </c>
      <c r="P95" s="322">
        <f>SUM(P96:P102)</f>
        <v>0</v>
      </c>
      <c r="Q95" s="322">
        <f>SUM(Q96:Q100)</f>
        <v>164509.92000000001</v>
      </c>
      <c r="R95" s="322">
        <f>SUM(R96:R102)</f>
        <v>4460.1499999999996</v>
      </c>
      <c r="S95" s="349">
        <f>M95+N95+O95+P95+Q95+R95</f>
        <v>168970.07</v>
      </c>
      <c r="T95" s="338"/>
      <c r="U95" s="338"/>
      <c r="V95" s="367">
        <f t="shared" si="34"/>
        <v>0</v>
      </c>
      <c r="W95" s="338"/>
      <c r="X95" s="338"/>
      <c r="Y95" s="339"/>
      <c r="Z95" s="328">
        <f t="shared" si="35"/>
        <v>0</v>
      </c>
      <c r="AA95" s="338"/>
      <c r="AB95" s="338"/>
      <c r="AC95" s="338"/>
      <c r="AD95" s="338"/>
      <c r="AE95" s="322">
        <v>0</v>
      </c>
      <c r="AF95" s="321"/>
      <c r="AG95" s="321">
        <v>0</v>
      </c>
      <c r="AH95" s="321">
        <v>0</v>
      </c>
      <c r="AI95" s="325">
        <f t="shared" si="36"/>
        <v>0</v>
      </c>
      <c r="AJ95" s="337"/>
      <c r="AK95" s="341"/>
      <c r="AL95" s="338"/>
      <c r="AM95" s="327"/>
      <c r="AN95" s="337"/>
      <c r="AO95" s="338"/>
      <c r="AP95" s="328"/>
      <c r="AQ95" s="341"/>
      <c r="AR95" s="338"/>
      <c r="AS95" s="328"/>
      <c r="AT95" s="368">
        <f t="shared" si="33"/>
        <v>168970.07</v>
      </c>
      <c r="AU95" s="310"/>
    </row>
    <row r="96" spans="1:47" s="311" customFormat="1" ht="18" customHeight="1" x14ac:dyDescent="0.25">
      <c r="A96" s="237">
        <v>55302</v>
      </c>
      <c r="B96" s="903" t="s">
        <v>502</v>
      </c>
      <c r="C96" s="362">
        <v>0</v>
      </c>
      <c r="D96" s="331">
        <v>0</v>
      </c>
      <c r="E96" s="330">
        <v>0</v>
      </c>
      <c r="F96" s="330">
        <v>0</v>
      </c>
      <c r="G96" s="346">
        <v>0</v>
      </c>
      <c r="H96" s="344">
        <v>0</v>
      </c>
      <c r="I96" s="334">
        <v>0</v>
      </c>
      <c r="J96" s="334">
        <v>0</v>
      </c>
      <c r="K96" s="334">
        <v>0</v>
      </c>
      <c r="L96" s="336">
        <f t="shared" si="37"/>
        <v>0</v>
      </c>
      <c r="M96" s="337">
        <v>0</v>
      </c>
      <c r="N96" s="338">
        <v>0</v>
      </c>
      <c r="O96" s="338">
        <v>0</v>
      </c>
      <c r="P96" s="338">
        <v>0</v>
      </c>
      <c r="Q96" s="338">
        <v>0</v>
      </c>
      <c r="R96" s="338">
        <f>'AG5'!H19</f>
        <v>4460.1499999999996</v>
      </c>
      <c r="S96" s="323">
        <f>M96+N96+O96+P96+Q96+R96</f>
        <v>4460.1499999999996</v>
      </c>
      <c r="T96" s="338"/>
      <c r="U96" s="338"/>
      <c r="V96" s="367">
        <f t="shared" si="34"/>
        <v>0</v>
      </c>
      <c r="W96" s="338"/>
      <c r="X96" s="338"/>
      <c r="Y96" s="339"/>
      <c r="Z96" s="328">
        <f t="shared" si="35"/>
        <v>0</v>
      </c>
      <c r="AA96" s="338"/>
      <c r="AB96" s="338"/>
      <c r="AC96" s="338"/>
      <c r="AD96" s="338"/>
      <c r="AE96" s="338">
        <v>0</v>
      </c>
      <c r="AF96" s="337"/>
      <c r="AG96" s="337">
        <v>0</v>
      </c>
      <c r="AH96" s="337"/>
      <c r="AI96" s="340"/>
      <c r="AJ96" s="337"/>
      <c r="AK96" s="341"/>
      <c r="AL96" s="338"/>
      <c r="AM96" s="327"/>
      <c r="AN96" s="337"/>
      <c r="AO96" s="338"/>
      <c r="AP96" s="328"/>
      <c r="AQ96" s="341"/>
      <c r="AR96" s="338"/>
      <c r="AS96" s="328"/>
      <c r="AT96" s="391">
        <f t="shared" si="33"/>
        <v>4460.1499999999996</v>
      </c>
      <c r="AU96" s="310"/>
    </row>
    <row r="97" spans="1:47" s="311" customFormat="1" ht="18" hidden="1" customHeight="1" x14ac:dyDescent="0.25">
      <c r="A97" s="237">
        <v>55303</v>
      </c>
      <c r="B97" s="903" t="s">
        <v>85</v>
      </c>
      <c r="C97" s="362"/>
      <c r="D97" s="331"/>
      <c r="E97" s="330"/>
      <c r="F97" s="330">
        <v>0</v>
      </c>
      <c r="G97" s="346">
        <v>0</v>
      </c>
      <c r="H97" s="344"/>
      <c r="I97" s="334"/>
      <c r="J97" s="334"/>
      <c r="K97" s="334"/>
      <c r="L97" s="336">
        <f t="shared" si="37"/>
        <v>0</v>
      </c>
      <c r="M97" s="337">
        <v>0</v>
      </c>
      <c r="N97" s="338">
        <v>0</v>
      </c>
      <c r="O97" s="338">
        <v>0</v>
      </c>
      <c r="P97" s="338">
        <f>+'AG5'!C20</f>
        <v>0</v>
      </c>
      <c r="Q97" s="338">
        <v>0</v>
      </c>
      <c r="R97" s="338">
        <v>0</v>
      </c>
      <c r="S97" s="323">
        <f>M97+N97+O97+P97+Q97+R97</f>
        <v>0</v>
      </c>
      <c r="T97" s="338"/>
      <c r="U97" s="338"/>
      <c r="V97" s="367">
        <f t="shared" si="34"/>
        <v>0</v>
      </c>
      <c r="W97" s="338"/>
      <c r="X97" s="338"/>
      <c r="Y97" s="339"/>
      <c r="Z97" s="328">
        <f t="shared" si="35"/>
        <v>0</v>
      </c>
      <c r="AA97" s="338"/>
      <c r="AB97" s="338"/>
      <c r="AC97" s="338"/>
      <c r="AD97" s="338"/>
      <c r="AE97" s="338"/>
      <c r="AF97" s="337"/>
      <c r="AG97" s="337"/>
      <c r="AH97" s="337"/>
      <c r="AI97" s="340">
        <f t="shared" si="36"/>
        <v>0</v>
      </c>
      <c r="AJ97" s="337"/>
      <c r="AK97" s="341"/>
      <c r="AL97" s="338"/>
      <c r="AM97" s="327"/>
      <c r="AN97" s="337"/>
      <c r="AO97" s="338"/>
      <c r="AP97" s="328"/>
      <c r="AQ97" s="341"/>
      <c r="AR97" s="338"/>
      <c r="AS97" s="328"/>
      <c r="AT97" s="391">
        <f t="shared" si="33"/>
        <v>0</v>
      </c>
      <c r="AU97" s="310"/>
    </row>
    <row r="98" spans="1:47" s="311" customFormat="1" ht="18" customHeight="1" x14ac:dyDescent="0.25">
      <c r="A98" s="237">
        <v>55304</v>
      </c>
      <c r="B98" s="903" t="s">
        <v>86</v>
      </c>
      <c r="C98" s="362">
        <v>0</v>
      </c>
      <c r="D98" s="331">
        <v>0</v>
      </c>
      <c r="E98" s="330">
        <v>0</v>
      </c>
      <c r="F98" s="330">
        <v>0</v>
      </c>
      <c r="G98" s="346">
        <v>0</v>
      </c>
      <c r="H98" s="344">
        <v>0</v>
      </c>
      <c r="I98" s="334">
        <v>0</v>
      </c>
      <c r="J98" s="334">
        <v>0</v>
      </c>
      <c r="K98" s="334">
        <v>0</v>
      </c>
      <c r="L98" s="336">
        <f t="shared" si="37"/>
        <v>0</v>
      </c>
      <c r="M98" s="337">
        <v>0</v>
      </c>
      <c r="N98" s="338">
        <v>0</v>
      </c>
      <c r="O98" s="338">
        <v>0</v>
      </c>
      <c r="P98" s="338">
        <v>0</v>
      </c>
      <c r="Q98" s="338">
        <f>'AG5'!H21</f>
        <v>164509.92000000001</v>
      </c>
      <c r="R98" s="338">
        <v>0</v>
      </c>
      <c r="S98" s="323">
        <f>M98+N98+O98+P98+Q98+R98</f>
        <v>164509.92000000001</v>
      </c>
      <c r="T98" s="338"/>
      <c r="U98" s="338"/>
      <c r="V98" s="367">
        <f t="shared" si="34"/>
        <v>0</v>
      </c>
      <c r="W98" s="338"/>
      <c r="X98" s="338"/>
      <c r="Y98" s="339"/>
      <c r="Z98" s="328">
        <f t="shared" si="35"/>
        <v>0</v>
      </c>
      <c r="AA98" s="338"/>
      <c r="AB98" s="338"/>
      <c r="AC98" s="338"/>
      <c r="AD98" s="338"/>
      <c r="AE98" s="338">
        <v>0</v>
      </c>
      <c r="AF98" s="337"/>
      <c r="AG98" s="337">
        <v>0</v>
      </c>
      <c r="AH98" s="337">
        <v>0</v>
      </c>
      <c r="AI98" s="340">
        <v>0</v>
      </c>
      <c r="AJ98" s="337"/>
      <c r="AK98" s="341"/>
      <c r="AL98" s="338"/>
      <c r="AM98" s="327"/>
      <c r="AN98" s="337"/>
      <c r="AO98" s="338"/>
      <c r="AP98" s="328"/>
      <c r="AQ98" s="341"/>
      <c r="AR98" s="338"/>
      <c r="AS98" s="328"/>
      <c r="AT98" s="391">
        <f t="shared" si="33"/>
        <v>164509.92000000001</v>
      </c>
      <c r="AU98" s="310"/>
    </row>
    <row r="99" spans="1:47" s="311" customFormat="1" ht="18" hidden="1" customHeight="1" x14ac:dyDescent="0.25">
      <c r="A99" s="237">
        <v>55306</v>
      </c>
      <c r="B99" s="903" t="s">
        <v>257</v>
      </c>
      <c r="C99" s="362"/>
      <c r="D99" s="331"/>
      <c r="E99" s="330"/>
      <c r="F99" s="330"/>
      <c r="G99" s="346"/>
      <c r="H99" s="344">
        <v>0</v>
      </c>
      <c r="I99" s="334">
        <v>0</v>
      </c>
      <c r="J99" s="334">
        <v>0</v>
      </c>
      <c r="K99" s="334">
        <v>0</v>
      </c>
      <c r="L99" s="336">
        <f t="shared" si="37"/>
        <v>0</v>
      </c>
      <c r="M99" s="337">
        <v>0</v>
      </c>
      <c r="N99" s="338">
        <v>0</v>
      </c>
      <c r="O99" s="338">
        <v>0</v>
      </c>
      <c r="P99" s="338"/>
      <c r="Q99" s="338"/>
      <c r="R99" s="338"/>
      <c r="S99" s="323">
        <f>M99+N99+O99+P99</f>
        <v>0</v>
      </c>
      <c r="T99" s="338"/>
      <c r="U99" s="338"/>
      <c r="V99" s="367">
        <f t="shared" si="34"/>
        <v>0</v>
      </c>
      <c r="W99" s="338"/>
      <c r="X99" s="338"/>
      <c r="Y99" s="339"/>
      <c r="Z99" s="328">
        <f t="shared" si="35"/>
        <v>0</v>
      </c>
      <c r="AA99" s="338"/>
      <c r="AB99" s="338"/>
      <c r="AC99" s="338"/>
      <c r="AD99" s="338"/>
      <c r="AE99" s="338">
        <v>0</v>
      </c>
      <c r="AF99" s="337"/>
      <c r="AG99" s="337">
        <v>0</v>
      </c>
      <c r="AH99" s="337">
        <v>0</v>
      </c>
      <c r="AI99" s="340">
        <v>0</v>
      </c>
      <c r="AJ99" s="337"/>
      <c r="AK99" s="341"/>
      <c r="AL99" s="338"/>
      <c r="AM99" s="327"/>
      <c r="AN99" s="337"/>
      <c r="AO99" s="338"/>
      <c r="AP99" s="328"/>
      <c r="AQ99" s="341"/>
      <c r="AR99" s="338"/>
      <c r="AS99" s="328"/>
      <c r="AT99" s="391">
        <f t="shared" si="33"/>
        <v>0</v>
      </c>
      <c r="AU99" s="310"/>
    </row>
    <row r="100" spans="1:47" s="311" customFormat="1" ht="18" hidden="1" customHeight="1" x14ac:dyDescent="0.25">
      <c r="A100" s="237">
        <v>55308</v>
      </c>
      <c r="B100" s="903" t="s">
        <v>237</v>
      </c>
      <c r="C100" s="362"/>
      <c r="D100" s="331"/>
      <c r="E100" s="330"/>
      <c r="F100" s="330"/>
      <c r="G100" s="346"/>
      <c r="H100" s="344">
        <v>0</v>
      </c>
      <c r="I100" s="334">
        <v>0</v>
      </c>
      <c r="J100" s="334">
        <v>0</v>
      </c>
      <c r="K100" s="334">
        <v>0</v>
      </c>
      <c r="L100" s="336"/>
      <c r="M100" s="337">
        <v>0</v>
      </c>
      <c r="N100" s="338">
        <v>0</v>
      </c>
      <c r="O100" s="338">
        <v>0</v>
      </c>
      <c r="P100" s="338"/>
      <c r="Q100" s="338"/>
      <c r="R100" s="338"/>
      <c r="S100" s="323"/>
      <c r="T100" s="338"/>
      <c r="U100" s="338"/>
      <c r="V100" s="367">
        <f t="shared" si="34"/>
        <v>0</v>
      </c>
      <c r="W100" s="338"/>
      <c r="X100" s="338"/>
      <c r="Y100" s="339"/>
      <c r="Z100" s="328">
        <f t="shared" si="35"/>
        <v>0</v>
      </c>
      <c r="AA100" s="338"/>
      <c r="AB100" s="338"/>
      <c r="AC100" s="338"/>
      <c r="AD100" s="338"/>
      <c r="AE100" s="338">
        <v>0</v>
      </c>
      <c r="AF100" s="337"/>
      <c r="AG100" s="337">
        <v>0</v>
      </c>
      <c r="AH100" s="337">
        <v>0</v>
      </c>
      <c r="AI100" s="340">
        <v>0</v>
      </c>
      <c r="AJ100" s="337"/>
      <c r="AK100" s="341"/>
      <c r="AL100" s="338"/>
      <c r="AM100" s="327"/>
      <c r="AN100" s="337"/>
      <c r="AO100" s="338"/>
      <c r="AP100" s="328"/>
      <c r="AQ100" s="341"/>
      <c r="AR100" s="338"/>
      <c r="AS100" s="328"/>
      <c r="AT100" s="391">
        <f t="shared" si="33"/>
        <v>0</v>
      </c>
      <c r="AU100" s="310"/>
    </row>
    <row r="101" spans="1:47" s="313" customFormat="1" ht="18" customHeight="1" x14ac:dyDescent="0.25">
      <c r="A101" s="235">
        <v>555</v>
      </c>
      <c r="B101" s="905" t="s">
        <v>481</v>
      </c>
      <c r="C101" s="361">
        <f>SUM(C102)</f>
        <v>28.86</v>
      </c>
      <c r="D101" s="315">
        <v>0</v>
      </c>
      <c r="E101" s="347">
        <v>0</v>
      </c>
      <c r="F101" s="347">
        <f>SUM(F102)</f>
        <v>120.01</v>
      </c>
      <c r="G101" s="348">
        <f>+C101+D101+E101+F101</f>
        <v>148.87</v>
      </c>
      <c r="H101" s="318">
        <f t="shared" ref="H101:J101" si="40">H102</f>
        <v>50</v>
      </c>
      <c r="I101" s="318">
        <f t="shared" si="40"/>
        <v>0</v>
      </c>
      <c r="J101" s="318">
        <f t="shared" si="40"/>
        <v>0</v>
      </c>
      <c r="K101" s="318">
        <f>K102</f>
        <v>120.01</v>
      </c>
      <c r="L101" s="320">
        <f>L102</f>
        <v>170.01</v>
      </c>
      <c r="M101" s="321">
        <v>0</v>
      </c>
      <c r="N101" s="322">
        <v>0</v>
      </c>
      <c r="O101" s="322">
        <v>0</v>
      </c>
      <c r="P101" s="322">
        <v>0</v>
      </c>
      <c r="Q101" s="322">
        <v>0</v>
      </c>
      <c r="R101" s="322">
        <v>0</v>
      </c>
      <c r="S101" s="349">
        <v>0</v>
      </c>
      <c r="T101" s="322"/>
      <c r="U101" s="322"/>
      <c r="V101" s="897">
        <f t="shared" si="34"/>
        <v>0</v>
      </c>
      <c r="W101" s="322"/>
      <c r="X101" s="322"/>
      <c r="Y101" s="324"/>
      <c r="Z101" s="360">
        <f t="shared" si="35"/>
        <v>0</v>
      </c>
      <c r="AA101" s="322"/>
      <c r="AB101" s="322"/>
      <c r="AC101" s="322"/>
      <c r="AD101" s="322"/>
      <c r="AE101" s="322">
        <v>0</v>
      </c>
      <c r="AF101" s="321"/>
      <c r="AG101" s="321">
        <v>0</v>
      </c>
      <c r="AH101" s="321">
        <v>0</v>
      </c>
      <c r="AI101" s="325">
        <v>0</v>
      </c>
      <c r="AJ101" s="321"/>
      <c r="AK101" s="326"/>
      <c r="AL101" s="322"/>
      <c r="AM101" s="359"/>
      <c r="AN101" s="321"/>
      <c r="AO101" s="322"/>
      <c r="AP101" s="360"/>
      <c r="AQ101" s="326"/>
      <c r="AR101" s="322"/>
      <c r="AS101" s="360"/>
      <c r="AT101" s="368">
        <f t="shared" si="33"/>
        <v>318.88</v>
      </c>
      <c r="AU101" s="312"/>
    </row>
    <row r="102" spans="1:47" s="311" customFormat="1" ht="18" customHeight="1" x14ac:dyDescent="0.25">
      <c r="A102" s="237">
        <v>55508</v>
      </c>
      <c r="B102" s="903" t="s">
        <v>335</v>
      </c>
      <c r="C102" s="362">
        <f>+'egresos 25% y F.P'!C183</f>
        <v>28.86</v>
      </c>
      <c r="D102" s="331">
        <v>0</v>
      </c>
      <c r="E102" s="330">
        <v>0</v>
      </c>
      <c r="F102" s="330">
        <f>'egresos 25% y F.P'!F183</f>
        <v>120.01</v>
      </c>
      <c r="G102" s="346">
        <f>SUM(C102:F102)</f>
        <v>148.87</v>
      </c>
      <c r="H102" s="344">
        <f>'egresos 25% y F.P'!C74</f>
        <v>50</v>
      </c>
      <c r="I102" s="334">
        <f>'egresos 25% y F.P'!D74</f>
        <v>0</v>
      </c>
      <c r="J102" s="334">
        <f>'egresos 25% y F.P'!E74</f>
        <v>0</v>
      </c>
      <c r="K102" s="334">
        <f>'egresos 25% y F.P'!F74</f>
        <v>120.01</v>
      </c>
      <c r="L102" s="336">
        <f>+K102+J102+I102+H102</f>
        <v>170.01</v>
      </c>
      <c r="M102" s="337">
        <v>0</v>
      </c>
      <c r="N102" s="338">
        <v>0</v>
      </c>
      <c r="O102" s="338">
        <v>0</v>
      </c>
      <c r="P102" s="338">
        <v>0</v>
      </c>
      <c r="Q102" s="338">
        <v>0</v>
      </c>
      <c r="R102" s="338">
        <v>0</v>
      </c>
      <c r="S102" s="323">
        <f>M102+N102+O102+P102+Q102+R102</f>
        <v>0</v>
      </c>
      <c r="T102" s="338"/>
      <c r="U102" s="338"/>
      <c r="V102" s="367">
        <f t="shared" si="34"/>
        <v>0</v>
      </c>
      <c r="W102" s="338"/>
      <c r="X102" s="338"/>
      <c r="Y102" s="339"/>
      <c r="Z102" s="328">
        <f t="shared" si="35"/>
        <v>0</v>
      </c>
      <c r="AA102" s="338"/>
      <c r="AB102" s="338"/>
      <c r="AC102" s="338"/>
      <c r="AD102" s="338"/>
      <c r="AE102" s="338">
        <v>0</v>
      </c>
      <c r="AF102" s="337"/>
      <c r="AG102" s="337">
        <v>0</v>
      </c>
      <c r="AH102" s="337">
        <v>0</v>
      </c>
      <c r="AI102" s="340">
        <v>0</v>
      </c>
      <c r="AJ102" s="337"/>
      <c r="AK102" s="341"/>
      <c r="AL102" s="338"/>
      <c r="AM102" s="327"/>
      <c r="AN102" s="337"/>
      <c r="AO102" s="338"/>
      <c r="AP102" s="328"/>
      <c r="AQ102" s="341"/>
      <c r="AR102" s="338"/>
      <c r="AS102" s="328"/>
      <c r="AT102" s="391">
        <f t="shared" si="33"/>
        <v>318.88</v>
      </c>
      <c r="AU102" s="310"/>
    </row>
    <row r="103" spans="1:47" s="311" customFormat="1" ht="18" customHeight="1" x14ac:dyDescent="0.25">
      <c r="A103" s="235">
        <v>556</v>
      </c>
      <c r="B103" s="905" t="s">
        <v>88</v>
      </c>
      <c r="C103" s="361">
        <f>C104+C105+C106</f>
        <v>700</v>
      </c>
      <c r="D103" s="315">
        <f>D104+D105+D106</f>
        <v>257.18</v>
      </c>
      <c r="E103" s="315">
        <f>E104+E105+E106</f>
        <v>0</v>
      </c>
      <c r="F103" s="315">
        <f>F104+F105+F106</f>
        <v>0</v>
      </c>
      <c r="G103" s="348">
        <f>SUM(G104:G106)</f>
        <v>957.18000000000006</v>
      </c>
      <c r="H103" s="343">
        <f>SUM(H104:H106)</f>
        <v>4000</v>
      </c>
      <c r="I103" s="318">
        <f>SUM(I104:I106)</f>
        <v>100</v>
      </c>
      <c r="J103" s="318">
        <f>SUM(J104:J106)</f>
        <v>0</v>
      </c>
      <c r="K103" s="318">
        <f>SUM(K104:K106)</f>
        <v>0</v>
      </c>
      <c r="L103" s="320">
        <f>SUM(H103:K103)</f>
        <v>4100</v>
      </c>
      <c r="M103" s="321">
        <v>0</v>
      </c>
      <c r="N103" s="322">
        <v>0</v>
      </c>
      <c r="O103" s="322">
        <v>0</v>
      </c>
      <c r="P103" s="322">
        <v>0</v>
      </c>
      <c r="Q103" s="322">
        <f>Q106</f>
        <v>0</v>
      </c>
      <c r="R103" s="322">
        <f>R106</f>
        <v>0</v>
      </c>
      <c r="S103" s="349">
        <f>M103+N103+O103+P103+R103</f>
        <v>0</v>
      </c>
      <c r="T103" s="322"/>
      <c r="U103" s="322"/>
      <c r="V103" s="897">
        <f t="shared" si="34"/>
        <v>0</v>
      </c>
      <c r="W103" s="322"/>
      <c r="X103" s="322"/>
      <c r="Y103" s="324"/>
      <c r="Z103" s="360">
        <f t="shared" si="35"/>
        <v>0</v>
      </c>
      <c r="AA103" s="322"/>
      <c r="AB103" s="322"/>
      <c r="AC103" s="322"/>
      <c r="AD103" s="322"/>
      <c r="AE103" s="322">
        <v>0</v>
      </c>
      <c r="AF103" s="321"/>
      <c r="AG103" s="321">
        <v>0</v>
      </c>
      <c r="AH103" s="321">
        <v>0</v>
      </c>
      <c r="AI103" s="325">
        <f t="shared" si="36"/>
        <v>0</v>
      </c>
      <c r="AJ103" s="337"/>
      <c r="AK103" s="341"/>
      <c r="AL103" s="338"/>
      <c r="AM103" s="327"/>
      <c r="AN103" s="337"/>
      <c r="AO103" s="338"/>
      <c r="AP103" s="328"/>
      <c r="AQ103" s="341"/>
      <c r="AR103" s="338"/>
      <c r="AS103" s="328"/>
      <c r="AT103" s="368">
        <f t="shared" si="33"/>
        <v>5057.18</v>
      </c>
      <c r="AU103" s="310"/>
    </row>
    <row r="104" spans="1:47" s="311" customFormat="1" ht="18" customHeight="1" x14ac:dyDescent="0.25">
      <c r="A104" s="237">
        <v>55601</v>
      </c>
      <c r="B104" s="903" t="s">
        <v>89</v>
      </c>
      <c r="C104" s="362">
        <v>0</v>
      </c>
      <c r="D104" s="331">
        <f>'egresos 25% y F.P'!D185</f>
        <v>0</v>
      </c>
      <c r="E104" s="330">
        <v>0</v>
      </c>
      <c r="F104" s="330">
        <v>0</v>
      </c>
      <c r="G104" s="346">
        <f t="shared" ref="G104:G106" si="41">F104+D104+C104</f>
        <v>0</v>
      </c>
      <c r="H104" s="344">
        <f>'egresos 25% y F.P'!C76</f>
        <v>0</v>
      </c>
      <c r="I104" s="334">
        <f>'egresos 25% y F.P'!D76</f>
        <v>50</v>
      </c>
      <c r="J104" s="334">
        <f>'egresos 25% y F.P'!E76</f>
        <v>0</v>
      </c>
      <c r="K104" s="334">
        <f>'egresos 25% y F.P'!F76</f>
        <v>0</v>
      </c>
      <c r="L104" s="336">
        <f t="shared" ref="L104:L115" si="42">SUM(H104:J104)</f>
        <v>50</v>
      </c>
      <c r="M104" s="337">
        <v>0</v>
      </c>
      <c r="N104" s="338">
        <v>0</v>
      </c>
      <c r="O104" s="338">
        <v>0</v>
      </c>
      <c r="P104" s="338">
        <v>0</v>
      </c>
      <c r="Q104" s="338">
        <v>0</v>
      </c>
      <c r="R104" s="338">
        <v>0</v>
      </c>
      <c r="S104" s="323">
        <f>M104+N104+O104+P104</f>
        <v>0</v>
      </c>
      <c r="T104" s="338"/>
      <c r="U104" s="338"/>
      <c r="V104" s="367">
        <f t="shared" si="34"/>
        <v>0</v>
      </c>
      <c r="W104" s="338"/>
      <c r="X104" s="338"/>
      <c r="Y104" s="339"/>
      <c r="Z104" s="328">
        <f t="shared" si="35"/>
        <v>0</v>
      </c>
      <c r="AA104" s="338"/>
      <c r="AB104" s="338"/>
      <c r="AC104" s="338"/>
      <c r="AD104" s="338"/>
      <c r="AE104" s="338">
        <v>0</v>
      </c>
      <c r="AF104" s="337"/>
      <c r="AG104" s="337">
        <v>0</v>
      </c>
      <c r="AH104" s="337">
        <v>0</v>
      </c>
      <c r="AI104" s="340">
        <f t="shared" si="36"/>
        <v>0</v>
      </c>
      <c r="AJ104" s="337"/>
      <c r="AK104" s="341"/>
      <c r="AL104" s="338"/>
      <c r="AM104" s="327"/>
      <c r="AN104" s="337"/>
      <c r="AO104" s="338"/>
      <c r="AP104" s="328"/>
      <c r="AQ104" s="341"/>
      <c r="AR104" s="338"/>
      <c r="AS104" s="328"/>
      <c r="AT104" s="391">
        <f t="shared" si="33"/>
        <v>50</v>
      </c>
      <c r="AU104" s="310"/>
    </row>
    <row r="105" spans="1:47" s="311" customFormat="1" ht="18" customHeight="1" x14ac:dyDescent="0.25">
      <c r="A105" s="237">
        <v>55602</v>
      </c>
      <c r="B105" s="903" t="s">
        <v>90</v>
      </c>
      <c r="C105" s="362">
        <f>'egresos 25% y F.P'!C186</f>
        <v>700</v>
      </c>
      <c r="D105" s="331">
        <v>0</v>
      </c>
      <c r="E105" s="330">
        <v>0</v>
      </c>
      <c r="F105" s="330">
        <v>0</v>
      </c>
      <c r="G105" s="346">
        <f t="shared" si="41"/>
        <v>700</v>
      </c>
      <c r="H105" s="344">
        <f>'egresos 25% y F.P'!C77</f>
        <v>4000</v>
      </c>
      <c r="I105" s="334">
        <f>'egresos 25% y F.P'!D77</f>
        <v>0</v>
      </c>
      <c r="J105" s="334">
        <f>'egresos 25% y F.P'!E77</f>
        <v>0</v>
      </c>
      <c r="K105" s="334">
        <f>'egresos 25% y F.P'!F77</f>
        <v>0</v>
      </c>
      <c r="L105" s="336">
        <f t="shared" si="42"/>
        <v>4000</v>
      </c>
      <c r="M105" s="337">
        <v>0</v>
      </c>
      <c r="N105" s="338">
        <v>0</v>
      </c>
      <c r="O105" s="338">
        <v>0</v>
      </c>
      <c r="P105" s="338">
        <v>0</v>
      </c>
      <c r="Q105" s="338">
        <v>0</v>
      </c>
      <c r="R105" s="338">
        <v>0</v>
      </c>
      <c r="S105" s="323">
        <f>M105+N105+O105+P105</f>
        <v>0</v>
      </c>
      <c r="T105" s="338"/>
      <c r="U105" s="338"/>
      <c r="V105" s="367">
        <f t="shared" si="34"/>
        <v>0</v>
      </c>
      <c r="W105" s="338"/>
      <c r="X105" s="338"/>
      <c r="Y105" s="339"/>
      <c r="Z105" s="328">
        <f t="shared" si="35"/>
        <v>0</v>
      </c>
      <c r="AA105" s="338"/>
      <c r="AB105" s="338"/>
      <c r="AC105" s="338"/>
      <c r="AD105" s="338"/>
      <c r="AE105" s="338">
        <v>0</v>
      </c>
      <c r="AF105" s="337"/>
      <c r="AG105" s="337">
        <v>0</v>
      </c>
      <c r="AH105" s="337">
        <v>0</v>
      </c>
      <c r="AI105" s="340">
        <f t="shared" si="36"/>
        <v>0</v>
      </c>
      <c r="AJ105" s="337"/>
      <c r="AK105" s="341"/>
      <c r="AL105" s="338"/>
      <c r="AM105" s="327"/>
      <c r="AN105" s="337"/>
      <c r="AO105" s="338"/>
      <c r="AP105" s="328"/>
      <c r="AQ105" s="341"/>
      <c r="AR105" s="338"/>
      <c r="AS105" s="328"/>
      <c r="AT105" s="391">
        <f t="shared" ref="AT105:AT136" si="43">+L105+S105+G105+AM105+AP105+AS105+V105+AE105+AI105+AJ105</f>
        <v>4700</v>
      </c>
      <c r="AU105" s="310"/>
    </row>
    <row r="106" spans="1:47" s="311" customFormat="1" ht="18" customHeight="1" x14ac:dyDescent="0.25">
      <c r="A106" s="237">
        <v>55603</v>
      </c>
      <c r="B106" s="903" t="s">
        <v>91</v>
      </c>
      <c r="C106" s="362">
        <v>0</v>
      </c>
      <c r="D106" s="331">
        <f>'egresos 25% y F.P'!D187</f>
        <v>257.18</v>
      </c>
      <c r="E106" s="330">
        <v>0</v>
      </c>
      <c r="F106" s="330">
        <v>0</v>
      </c>
      <c r="G106" s="346">
        <f t="shared" si="41"/>
        <v>257.18</v>
      </c>
      <c r="H106" s="344">
        <f>'egresos 25% y F.P'!C78</f>
        <v>0</v>
      </c>
      <c r="I106" s="334">
        <f>'egresos 25% y F.P'!D78</f>
        <v>50</v>
      </c>
      <c r="J106" s="334">
        <f>'egresos 25% y F.P'!E78</f>
        <v>0</v>
      </c>
      <c r="K106" s="334">
        <f>'egresos 25% y F.P'!F78</f>
        <v>0</v>
      </c>
      <c r="L106" s="336">
        <f t="shared" si="42"/>
        <v>50</v>
      </c>
      <c r="M106" s="337">
        <v>0</v>
      </c>
      <c r="N106" s="338">
        <v>0</v>
      </c>
      <c r="O106" s="338">
        <v>0</v>
      </c>
      <c r="P106" s="338">
        <v>0</v>
      </c>
      <c r="Q106" s="338">
        <v>0</v>
      </c>
      <c r="R106" s="338">
        <f>'AG5'!C24</f>
        <v>0</v>
      </c>
      <c r="S106" s="323">
        <f>M106+N106+O106+P106+Q106+R106</f>
        <v>0</v>
      </c>
      <c r="T106" s="338"/>
      <c r="U106" s="338"/>
      <c r="V106" s="367">
        <f t="shared" si="34"/>
        <v>0</v>
      </c>
      <c r="W106" s="338"/>
      <c r="X106" s="338"/>
      <c r="Y106" s="339"/>
      <c r="Z106" s="328">
        <f t="shared" si="35"/>
        <v>0</v>
      </c>
      <c r="AA106" s="338"/>
      <c r="AB106" s="338"/>
      <c r="AC106" s="338"/>
      <c r="AD106" s="338"/>
      <c r="AE106" s="338">
        <v>0</v>
      </c>
      <c r="AF106" s="337"/>
      <c r="AG106" s="337">
        <v>0</v>
      </c>
      <c r="AH106" s="337">
        <v>0</v>
      </c>
      <c r="AI106" s="340">
        <f t="shared" si="36"/>
        <v>0</v>
      </c>
      <c r="AJ106" s="337"/>
      <c r="AK106" s="341"/>
      <c r="AL106" s="338"/>
      <c r="AM106" s="327"/>
      <c r="AN106" s="337"/>
      <c r="AO106" s="338"/>
      <c r="AP106" s="328"/>
      <c r="AQ106" s="341"/>
      <c r="AR106" s="338"/>
      <c r="AS106" s="328"/>
      <c r="AT106" s="391">
        <f t="shared" si="43"/>
        <v>307.18</v>
      </c>
      <c r="AU106" s="310"/>
    </row>
    <row r="107" spans="1:47" s="311" customFormat="1" ht="18" hidden="1" customHeight="1" x14ac:dyDescent="0.25">
      <c r="A107" s="235">
        <v>557</v>
      </c>
      <c r="B107" s="905" t="s">
        <v>92</v>
      </c>
      <c r="C107" s="361">
        <f>C108+C109+C110</f>
        <v>0</v>
      </c>
      <c r="D107" s="315">
        <f>D108+D109+D110</f>
        <v>0</v>
      </c>
      <c r="E107" s="330"/>
      <c r="F107" s="330"/>
      <c r="G107" s="346"/>
      <c r="H107" s="343">
        <f>SUM(H108:H110)</f>
        <v>0</v>
      </c>
      <c r="I107" s="318">
        <f>SUM(I108:I110)</f>
        <v>0</v>
      </c>
      <c r="J107" s="318">
        <f>SUM(J108:J110)</f>
        <v>0</v>
      </c>
      <c r="K107" s="318">
        <f>SUM(K108:K110)</f>
        <v>0</v>
      </c>
      <c r="L107" s="320">
        <f t="shared" si="42"/>
        <v>0</v>
      </c>
      <c r="M107" s="337">
        <v>0</v>
      </c>
      <c r="N107" s="338">
        <v>0</v>
      </c>
      <c r="O107" s="338">
        <v>0</v>
      </c>
      <c r="P107" s="338">
        <v>0</v>
      </c>
      <c r="Q107" s="338"/>
      <c r="R107" s="338"/>
      <c r="S107" s="323">
        <f>M107+N107+O107+P107</f>
        <v>0</v>
      </c>
      <c r="T107" s="338"/>
      <c r="U107" s="338"/>
      <c r="V107" s="367">
        <f t="shared" si="34"/>
        <v>0</v>
      </c>
      <c r="W107" s="338"/>
      <c r="X107" s="338"/>
      <c r="Y107" s="339"/>
      <c r="Z107" s="328">
        <f t="shared" si="35"/>
        <v>0</v>
      </c>
      <c r="AA107" s="338"/>
      <c r="AB107" s="338"/>
      <c r="AC107" s="338"/>
      <c r="AD107" s="338"/>
      <c r="AE107" s="338"/>
      <c r="AF107" s="337"/>
      <c r="AG107" s="337"/>
      <c r="AH107" s="337"/>
      <c r="AI107" s="340">
        <f t="shared" si="36"/>
        <v>0</v>
      </c>
      <c r="AJ107" s="337"/>
      <c r="AK107" s="341"/>
      <c r="AL107" s="338"/>
      <c r="AM107" s="327"/>
      <c r="AN107" s="337"/>
      <c r="AO107" s="338"/>
      <c r="AP107" s="328"/>
      <c r="AQ107" s="341"/>
      <c r="AR107" s="338"/>
      <c r="AS107" s="328"/>
      <c r="AT107" s="368">
        <f t="shared" si="43"/>
        <v>0</v>
      </c>
      <c r="AU107" s="310"/>
    </row>
    <row r="108" spans="1:47" s="311" customFormat="1" ht="18" hidden="1" customHeight="1" x14ac:dyDescent="0.25">
      <c r="A108" s="237">
        <v>55701</v>
      </c>
      <c r="B108" s="903" t="s">
        <v>93</v>
      </c>
      <c r="C108" s="362"/>
      <c r="D108" s="331"/>
      <c r="E108" s="330"/>
      <c r="F108" s="330"/>
      <c r="G108" s="346"/>
      <c r="H108" s="344"/>
      <c r="I108" s="334"/>
      <c r="J108" s="334"/>
      <c r="K108" s="334"/>
      <c r="L108" s="320">
        <f t="shared" si="42"/>
        <v>0</v>
      </c>
      <c r="M108" s="337">
        <v>0</v>
      </c>
      <c r="N108" s="338">
        <v>0</v>
      </c>
      <c r="O108" s="338">
        <v>0</v>
      </c>
      <c r="P108" s="338">
        <v>0</v>
      </c>
      <c r="Q108" s="338"/>
      <c r="R108" s="338"/>
      <c r="S108" s="323">
        <f>M108+N108+O108+P108</f>
        <v>0</v>
      </c>
      <c r="T108" s="338"/>
      <c r="U108" s="338"/>
      <c r="V108" s="367">
        <f t="shared" si="34"/>
        <v>0</v>
      </c>
      <c r="W108" s="338"/>
      <c r="X108" s="338"/>
      <c r="Y108" s="339"/>
      <c r="Z108" s="328">
        <f t="shared" si="35"/>
        <v>0</v>
      </c>
      <c r="AA108" s="338"/>
      <c r="AB108" s="338"/>
      <c r="AC108" s="338"/>
      <c r="AD108" s="338"/>
      <c r="AE108" s="338"/>
      <c r="AF108" s="337"/>
      <c r="AG108" s="337"/>
      <c r="AH108" s="337"/>
      <c r="AI108" s="340">
        <f t="shared" si="36"/>
        <v>0</v>
      </c>
      <c r="AJ108" s="337"/>
      <c r="AK108" s="341"/>
      <c r="AL108" s="338"/>
      <c r="AM108" s="327"/>
      <c r="AN108" s="337"/>
      <c r="AO108" s="338"/>
      <c r="AP108" s="328"/>
      <c r="AQ108" s="341"/>
      <c r="AR108" s="338"/>
      <c r="AS108" s="328"/>
      <c r="AT108" s="368">
        <f t="shared" si="43"/>
        <v>0</v>
      </c>
      <c r="AU108" s="310"/>
    </row>
    <row r="109" spans="1:47" s="311" customFormat="1" ht="18" hidden="1" customHeight="1" x14ac:dyDescent="0.25">
      <c r="A109" s="237">
        <v>55702</v>
      </c>
      <c r="B109" s="903" t="s">
        <v>94</v>
      </c>
      <c r="C109" s="362"/>
      <c r="D109" s="331"/>
      <c r="E109" s="330"/>
      <c r="F109" s="330"/>
      <c r="G109" s="346"/>
      <c r="H109" s="344"/>
      <c r="I109" s="334"/>
      <c r="J109" s="334"/>
      <c r="K109" s="334"/>
      <c r="L109" s="320">
        <f t="shared" si="42"/>
        <v>0</v>
      </c>
      <c r="M109" s="321">
        <v>0</v>
      </c>
      <c r="N109" s="322">
        <v>0</v>
      </c>
      <c r="O109" s="322">
        <v>0</v>
      </c>
      <c r="P109" s="322">
        <v>0</v>
      </c>
      <c r="Q109" s="322"/>
      <c r="R109" s="322"/>
      <c r="S109" s="323">
        <f>M109+N109+O109+P109</f>
        <v>0</v>
      </c>
      <c r="T109" s="322"/>
      <c r="U109" s="322"/>
      <c r="V109" s="897">
        <f t="shared" si="34"/>
        <v>0</v>
      </c>
      <c r="W109" s="322"/>
      <c r="X109" s="322"/>
      <c r="Y109" s="324"/>
      <c r="Z109" s="360">
        <f t="shared" si="35"/>
        <v>0</v>
      </c>
      <c r="AA109" s="322"/>
      <c r="AB109" s="322"/>
      <c r="AC109" s="322"/>
      <c r="AD109" s="322"/>
      <c r="AE109" s="322"/>
      <c r="AF109" s="321"/>
      <c r="AG109" s="321"/>
      <c r="AH109" s="321"/>
      <c r="AI109" s="340">
        <f t="shared" si="36"/>
        <v>0</v>
      </c>
      <c r="AJ109" s="321"/>
      <c r="AK109" s="326"/>
      <c r="AL109" s="322"/>
      <c r="AM109" s="359"/>
      <c r="AN109" s="321"/>
      <c r="AO109" s="322"/>
      <c r="AP109" s="360"/>
      <c r="AQ109" s="326"/>
      <c r="AR109" s="322"/>
      <c r="AS109" s="360"/>
      <c r="AT109" s="368">
        <f t="shared" si="43"/>
        <v>0</v>
      </c>
      <c r="AU109" s="310"/>
    </row>
    <row r="110" spans="1:47" s="311" customFormat="1" ht="18" hidden="1" customHeight="1" x14ac:dyDescent="0.25">
      <c r="A110" s="237">
        <v>55799</v>
      </c>
      <c r="B110" s="903" t="s">
        <v>95</v>
      </c>
      <c r="C110" s="362"/>
      <c r="D110" s="331"/>
      <c r="E110" s="330"/>
      <c r="F110" s="330"/>
      <c r="G110" s="346">
        <f>C110</f>
        <v>0</v>
      </c>
      <c r="H110" s="344"/>
      <c r="I110" s="334"/>
      <c r="J110" s="334"/>
      <c r="K110" s="334"/>
      <c r="L110" s="320">
        <f t="shared" si="42"/>
        <v>0</v>
      </c>
      <c r="M110" s="337">
        <v>0</v>
      </c>
      <c r="N110" s="338">
        <v>0</v>
      </c>
      <c r="O110" s="338">
        <v>0</v>
      </c>
      <c r="P110" s="338">
        <v>0</v>
      </c>
      <c r="Q110" s="338"/>
      <c r="R110" s="338"/>
      <c r="S110" s="323">
        <f>M110+N110+O110+P110</f>
        <v>0</v>
      </c>
      <c r="T110" s="338"/>
      <c r="U110" s="338"/>
      <c r="V110" s="367">
        <f t="shared" si="34"/>
        <v>0</v>
      </c>
      <c r="W110" s="338"/>
      <c r="X110" s="338"/>
      <c r="Y110" s="339"/>
      <c r="Z110" s="328">
        <f t="shared" si="35"/>
        <v>0</v>
      </c>
      <c r="AA110" s="338"/>
      <c r="AB110" s="338"/>
      <c r="AC110" s="338"/>
      <c r="AD110" s="338"/>
      <c r="AE110" s="338"/>
      <c r="AF110" s="337"/>
      <c r="AG110" s="337"/>
      <c r="AH110" s="337"/>
      <c r="AI110" s="340">
        <f t="shared" si="36"/>
        <v>0</v>
      </c>
      <c r="AJ110" s="337"/>
      <c r="AK110" s="341"/>
      <c r="AL110" s="338"/>
      <c r="AM110" s="327"/>
      <c r="AN110" s="337"/>
      <c r="AO110" s="338"/>
      <c r="AP110" s="328"/>
      <c r="AQ110" s="341"/>
      <c r="AR110" s="338"/>
      <c r="AS110" s="328"/>
      <c r="AT110" s="368">
        <f t="shared" si="43"/>
        <v>0</v>
      </c>
      <c r="AU110" s="310"/>
    </row>
    <row r="111" spans="1:47" s="311" customFormat="1" ht="18" hidden="1" customHeight="1" x14ac:dyDescent="0.25">
      <c r="A111" s="237"/>
      <c r="B111" s="903"/>
      <c r="C111" s="362"/>
      <c r="D111" s="331"/>
      <c r="E111" s="331"/>
      <c r="F111" s="331"/>
      <c r="G111" s="363"/>
      <c r="H111" s="344"/>
      <c r="I111" s="334"/>
      <c r="J111" s="334"/>
      <c r="K111" s="334"/>
      <c r="L111" s="320">
        <f t="shared" si="42"/>
        <v>0</v>
      </c>
      <c r="M111" s="337">
        <v>0</v>
      </c>
      <c r="N111" s="338">
        <v>0</v>
      </c>
      <c r="O111" s="338">
        <v>0</v>
      </c>
      <c r="P111" s="338">
        <v>0</v>
      </c>
      <c r="Q111" s="338"/>
      <c r="R111" s="338"/>
      <c r="S111" s="323">
        <f>M111+N111+O111+P111</f>
        <v>0</v>
      </c>
      <c r="T111" s="338"/>
      <c r="U111" s="338"/>
      <c r="V111" s="367">
        <f t="shared" si="34"/>
        <v>0</v>
      </c>
      <c r="W111" s="338"/>
      <c r="X111" s="338"/>
      <c r="Y111" s="339"/>
      <c r="Z111" s="328">
        <f t="shared" si="35"/>
        <v>0</v>
      </c>
      <c r="AA111" s="338"/>
      <c r="AB111" s="338"/>
      <c r="AC111" s="338"/>
      <c r="AD111" s="338"/>
      <c r="AE111" s="338"/>
      <c r="AF111" s="337"/>
      <c r="AG111" s="337"/>
      <c r="AH111" s="337"/>
      <c r="AI111" s="340">
        <f t="shared" si="36"/>
        <v>0</v>
      </c>
      <c r="AJ111" s="337"/>
      <c r="AK111" s="341"/>
      <c r="AL111" s="338"/>
      <c r="AM111" s="327"/>
      <c r="AN111" s="337"/>
      <c r="AO111" s="338"/>
      <c r="AP111" s="328"/>
      <c r="AQ111" s="341"/>
      <c r="AR111" s="338"/>
      <c r="AS111" s="328"/>
      <c r="AT111" s="368">
        <f t="shared" si="43"/>
        <v>0</v>
      </c>
      <c r="AU111" s="310"/>
    </row>
    <row r="112" spans="1:47" s="311" customFormat="1" ht="18" customHeight="1" x14ac:dyDescent="0.25">
      <c r="A112" s="235">
        <v>56</v>
      </c>
      <c r="B112" s="905" t="s">
        <v>96</v>
      </c>
      <c r="C112" s="361">
        <f>C113+C116</f>
        <v>11549.5</v>
      </c>
      <c r="D112" s="315">
        <f>D113+D116</f>
        <v>0</v>
      </c>
      <c r="E112" s="315">
        <f>E113+E116</f>
        <v>0</v>
      </c>
      <c r="F112" s="315">
        <f>F113+F116</f>
        <v>0</v>
      </c>
      <c r="G112" s="364">
        <f>F112+D112+C112</f>
        <v>11549.5</v>
      </c>
      <c r="H112" s="343">
        <f>H113+H116</f>
        <v>19797.48</v>
      </c>
      <c r="I112" s="318">
        <f>I113+I116</f>
        <v>0</v>
      </c>
      <c r="J112" s="318">
        <f>J113+J116</f>
        <v>0</v>
      </c>
      <c r="K112" s="318">
        <f>K113+K116</f>
        <v>0</v>
      </c>
      <c r="L112" s="320">
        <f t="shared" si="42"/>
        <v>19797.48</v>
      </c>
      <c r="M112" s="337">
        <f t="shared" ref="M112:N112" si="44">M113+M116</f>
        <v>0</v>
      </c>
      <c r="N112" s="322">
        <f t="shared" si="44"/>
        <v>110085</v>
      </c>
      <c r="O112" s="338">
        <v>0</v>
      </c>
      <c r="P112" s="338">
        <v>0</v>
      </c>
      <c r="Q112" s="338">
        <v>0</v>
      </c>
      <c r="R112" s="338">
        <v>0</v>
      </c>
      <c r="S112" s="349">
        <f>M112+N112+O112+P112+R112</f>
        <v>110085</v>
      </c>
      <c r="T112" s="338"/>
      <c r="U112" s="338"/>
      <c r="V112" s="367">
        <f t="shared" si="34"/>
        <v>0</v>
      </c>
      <c r="W112" s="338"/>
      <c r="X112" s="338"/>
      <c r="Y112" s="339"/>
      <c r="Z112" s="328">
        <f t="shared" si="35"/>
        <v>0</v>
      </c>
      <c r="AA112" s="338"/>
      <c r="AB112" s="338"/>
      <c r="AC112" s="338"/>
      <c r="AD112" s="338"/>
      <c r="AE112" s="322">
        <v>0</v>
      </c>
      <c r="AF112" s="321"/>
      <c r="AG112" s="321">
        <v>0</v>
      </c>
      <c r="AH112" s="321">
        <v>0</v>
      </c>
      <c r="AI112" s="325">
        <f t="shared" si="36"/>
        <v>0</v>
      </c>
      <c r="AJ112" s="337"/>
      <c r="AK112" s="341"/>
      <c r="AL112" s="338"/>
      <c r="AM112" s="327"/>
      <c r="AN112" s="337"/>
      <c r="AO112" s="338"/>
      <c r="AP112" s="328"/>
      <c r="AQ112" s="341"/>
      <c r="AR112" s="338"/>
      <c r="AS112" s="328"/>
      <c r="AT112" s="368">
        <f>+L112+S112+G112+AM112+AP112+AS112+V112+AF112+AI112+AJ112</f>
        <v>141431.97999999998</v>
      </c>
      <c r="AU112" s="310"/>
    </row>
    <row r="113" spans="1:47" s="311" customFormat="1" ht="18" customHeight="1" x14ac:dyDescent="0.25">
      <c r="A113" s="235">
        <v>562</v>
      </c>
      <c r="B113" s="905" t="s">
        <v>97</v>
      </c>
      <c r="C113" s="361">
        <f>C114+C115</f>
        <v>2549.5</v>
      </c>
      <c r="D113" s="315">
        <f>D114+D115</f>
        <v>0</v>
      </c>
      <c r="E113" s="331">
        <v>0</v>
      </c>
      <c r="F113" s="331">
        <v>0</v>
      </c>
      <c r="G113" s="364">
        <f t="shared" ref="G113:G119" si="45">F113+D113+C113</f>
        <v>2549.5</v>
      </c>
      <c r="H113" s="343">
        <f>H114+H115</f>
        <v>19797.48</v>
      </c>
      <c r="I113" s="318">
        <f>I114+I115</f>
        <v>0</v>
      </c>
      <c r="J113" s="318">
        <f>J114+J115</f>
        <v>0</v>
      </c>
      <c r="K113" s="318">
        <f>K114+K115</f>
        <v>0</v>
      </c>
      <c r="L113" s="320">
        <f t="shared" si="42"/>
        <v>19797.48</v>
      </c>
      <c r="M113" s="337">
        <v>0</v>
      </c>
      <c r="N113" s="338">
        <v>0</v>
      </c>
      <c r="O113" s="338">
        <v>0</v>
      </c>
      <c r="P113" s="338">
        <v>0</v>
      </c>
      <c r="Q113" s="338">
        <v>0</v>
      </c>
      <c r="R113" s="338">
        <v>0</v>
      </c>
      <c r="S113" s="349">
        <f>M113+N113+O113+P113+R113</f>
        <v>0</v>
      </c>
      <c r="T113" s="338"/>
      <c r="U113" s="338"/>
      <c r="V113" s="367">
        <f t="shared" si="34"/>
        <v>0</v>
      </c>
      <c r="W113" s="338"/>
      <c r="X113" s="338"/>
      <c r="Y113" s="339"/>
      <c r="Z113" s="328">
        <f t="shared" si="35"/>
        <v>0</v>
      </c>
      <c r="AA113" s="338"/>
      <c r="AB113" s="338"/>
      <c r="AC113" s="338"/>
      <c r="AD113" s="338"/>
      <c r="AE113" s="322">
        <v>0</v>
      </c>
      <c r="AF113" s="321"/>
      <c r="AG113" s="321">
        <v>0</v>
      </c>
      <c r="AH113" s="321">
        <v>0</v>
      </c>
      <c r="AI113" s="325">
        <f t="shared" si="36"/>
        <v>0</v>
      </c>
      <c r="AJ113" s="337"/>
      <c r="AK113" s="341"/>
      <c r="AL113" s="338"/>
      <c r="AM113" s="327"/>
      <c r="AN113" s="337"/>
      <c r="AO113" s="338"/>
      <c r="AP113" s="328"/>
      <c r="AQ113" s="341"/>
      <c r="AR113" s="338"/>
      <c r="AS113" s="328"/>
      <c r="AT113" s="368">
        <f t="shared" si="43"/>
        <v>22346.98</v>
      </c>
      <c r="AU113" s="310"/>
    </row>
    <row r="114" spans="1:47" s="311" customFormat="1" ht="18" customHeight="1" x14ac:dyDescent="0.25">
      <c r="A114" s="237">
        <v>56201</v>
      </c>
      <c r="B114" s="903" t="s">
        <v>586</v>
      </c>
      <c r="C114" s="345">
        <f>'egresos 25% y F.P'!C196</f>
        <v>2549.5</v>
      </c>
      <c r="D114" s="331"/>
      <c r="E114" s="331">
        <v>0</v>
      </c>
      <c r="F114" s="331">
        <v>0</v>
      </c>
      <c r="G114" s="363">
        <f>F114+D114+C114</f>
        <v>2549.5</v>
      </c>
      <c r="H114" s="344">
        <f>'egresos 25% y F.P'!C88</f>
        <v>19797.48</v>
      </c>
      <c r="I114" s="334">
        <v>0</v>
      </c>
      <c r="J114" s="334">
        <v>0</v>
      </c>
      <c r="K114" s="334">
        <v>0</v>
      </c>
      <c r="L114" s="320">
        <f t="shared" si="42"/>
        <v>19797.48</v>
      </c>
      <c r="M114" s="337">
        <v>0</v>
      </c>
      <c r="N114" s="338">
        <v>0</v>
      </c>
      <c r="O114" s="338">
        <v>0</v>
      </c>
      <c r="P114" s="338">
        <v>0</v>
      </c>
      <c r="Q114" s="338">
        <v>0</v>
      </c>
      <c r="R114" s="338">
        <v>0</v>
      </c>
      <c r="S114" s="323">
        <f>M114+N114+O114+P114+Q114+R114</f>
        <v>0</v>
      </c>
      <c r="T114" s="338"/>
      <c r="U114" s="338"/>
      <c r="V114" s="367">
        <f t="shared" si="34"/>
        <v>0</v>
      </c>
      <c r="W114" s="338"/>
      <c r="X114" s="338"/>
      <c r="Y114" s="339"/>
      <c r="Z114" s="328">
        <f t="shared" si="35"/>
        <v>0</v>
      </c>
      <c r="AA114" s="338"/>
      <c r="AB114" s="338"/>
      <c r="AC114" s="338"/>
      <c r="AD114" s="338"/>
      <c r="AE114" s="338">
        <v>0</v>
      </c>
      <c r="AF114" s="337"/>
      <c r="AG114" s="337">
        <v>0</v>
      </c>
      <c r="AH114" s="337">
        <v>0</v>
      </c>
      <c r="AI114" s="340">
        <f t="shared" si="36"/>
        <v>0</v>
      </c>
      <c r="AJ114" s="337"/>
      <c r="AK114" s="341"/>
      <c r="AL114" s="338"/>
      <c r="AM114" s="327"/>
      <c r="AN114" s="337"/>
      <c r="AO114" s="338"/>
      <c r="AP114" s="328"/>
      <c r="AQ114" s="341"/>
      <c r="AR114" s="338"/>
      <c r="AS114" s="328"/>
      <c r="AT114" s="391">
        <f t="shared" si="43"/>
        <v>22346.98</v>
      </c>
      <c r="AU114" s="310"/>
    </row>
    <row r="115" spans="1:47" s="311" customFormat="1" ht="18" hidden="1" customHeight="1" x14ac:dyDescent="0.25">
      <c r="A115" s="237">
        <v>56202</v>
      </c>
      <c r="B115" s="903" t="s">
        <v>238</v>
      </c>
      <c r="C115" s="362"/>
      <c r="D115" s="331"/>
      <c r="E115" s="331">
        <v>0</v>
      </c>
      <c r="F115" s="331">
        <v>0</v>
      </c>
      <c r="G115" s="363">
        <f t="shared" si="45"/>
        <v>0</v>
      </c>
      <c r="H115" s="344"/>
      <c r="I115" s="334"/>
      <c r="J115" s="334"/>
      <c r="K115" s="334"/>
      <c r="L115" s="320">
        <f t="shared" si="42"/>
        <v>0</v>
      </c>
      <c r="M115" s="337">
        <v>0</v>
      </c>
      <c r="N115" s="338">
        <v>0</v>
      </c>
      <c r="O115" s="338">
        <v>0</v>
      </c>
      <c r="P115" s="338">
        <v>0</v>
      </c>
      <c r="Q115" s="338">
        <v>0</v>
      </c>
      <c r="R115" s="338">
        <v>0</v>
      </c>
      <c r="S115" s="323">
        <f>M115+N115+O115+P115+Q115+R115</f>
        <v>0</v>
      </c>
      <c r="T115" s="338"/>
      <c r="U115" s="338"/>
      <c r="V115" s="367">
        <f t="shared" si="34"/>
        <v>0</v>
      </c>
      <c r="W115" s="338"/>
      <c r="X115" s="338"/>
      <c r="Y115" s="339"/>
      <c r="Z115" s="328">
        <f t="shared" si="35"/>
        <v>0</v>
      </c>
      <c r="AA115" s="338"/>
      <c r="AB115" s="338"/>
      <c r="AC115" s="338"/>
      <c r="AD115" s="338"/>
      <c r="AE115" s="338"/>
      <c r="AF115" s="337"/>
      <c r="AG115" s="337"/>
      <c r="AH115" s="337"/>
      <c r="AI115" s="340">
        <f t="shared" si="36"/>
        <v>0</v>
      </c>
      <c r="AJ115" s="337"/>
      <c r="AK115" s="341"/>
      <c r="AL115" s="338"/>
      <c r="AM115" s="327"/>
      <c r="AN115" s="337"/>
      <c r="AO115" s="338"/>
      <c r="AP115" s="328"/>
      <c r="AQ115" s="341"/>
      <c r="AR115" s="338"/>
      <c r="AS115" s="328"/>
      <c r="AT115" s="368">
        <f t="shared" si="43"/>
        <v>0</v>
      </c>
      <c r="AU115" s="310"/>
    </row>
    <row r="116" spans="1:47" s="311" customFormat="1" ht="18" customHeight="1" x14ac:dyDescent="0.25">
      <c r="A116" s="235">
        <v>563</v>
      </c>
      <c r="B116" s="905" t="s">
        <v>99</v>
      </c>
      <c r="C116" s="361">
        <f>C117+C118</f>
        <v>9000</v>
      </c>
      <c r="D116" s="315">
        <f>D117+D118</f>
        <v>0</v>
      </c>
      <c r="E116" s="331">
        <v>0</v>
      </c>
      <c r="F116" s="331">
        <v>0</v>
      </c>
      <c r="G116" s="364">
        <f t="shared" si="45"/>
        <v>9000</v>
      </c>
      <c r="H116" s="343">
        <f>H117+H118</f>
        <v>0</v>
      </c>
      <c r="I116" s="318">
        <f>I117+I118</f>
        <v>0</v>
      </c>
      <c r="J116" s="318">
        <f>J117+J118</f>
        <v>0</v>
      </c>
      <c r="K116" s="318">
        <f>K117+K118</f>
        <v>0</v>
      </c>
      <c r="L116" s="320">
        <f>SUM(H116:J116)</f>
        <v>0</v>
      </c>
      <c r="M116" s="321">
        <f>SUM(M117:M119)</f>
        <v>0</v>
      </c>
      <c r="N116" s="322">
        <f>SUM(N117:N119)</f>
        <v>110085</v>
      </c>
      <c r="O116" s="322">
        <f t="shared" ref="O116" si="46">SUM(O117:O119)</f>
        <v>0</v>
      </c>
      <c r="P116" s="322">
        <v>0</v>
      </c>
      <c r="Q116" s="322">
        <v>0</v>
      </c>
      <c r="R116" s="322">
        <v>0</v>
      </c>
      <c r="S116" s="349">
        <f>M116+N116+O116+P116+R116</f>
        <v>110085</v>
      </c>
      <c r="T116" s="322"/>
      <c r="U116" s="322"/>
      <c r="V116" s="897">
        <f t="shared" si="34"/>
        <v>0</v>
      </c>
      <c r="W116" s="322"/>
      <c r="X116" s="322"/>
      <c r="Y116" s="324"/>
      <c r="Z116" s="360">
        <f t="shared" si="35"/>
        <v>0</v>
      </c>
      <c r="AA116" s="322"/>
      <c r="AB116" s="322"/>
      <c r="AC116" s="322"/>
      <c r="AD116" s="322"/>
      <c r="AE116" s="322">
        <v>0</v>
      </c>
      <c r="AF116" s="321"/>
      <c r="AG116" s="321">
        <v>0</v>
      </c>
      <c r="AH116" s="321">
        <v>0</v>
      </c>
      <c r="AI116" s="325">
        <f t="shared" si="36"/>
        <v>0</v>
      </c>
      <c r="AJ116" s="337"/>
      <c r="AK116" s="341"/>
      <c r="AL116" s="338"/>
      <c r="AM116" s="327"/>
      <c r="AN116" s="337"/>
      <c r="AO116" s="338"/>
      <c r="AP116" s="328"/>
      <c r="AQ116" s="341"/>
      <c r="AR116" s="338"/>
      <c r="AS116" s="328"/>
      <c r="AT116" s="368">
        <f t="shared" si="43"/>
        <v>119085</v>
      </c>
      <c r="AU116" s="310"/>
    </row>
    <row r="117" spans="1:47" s="311" customFormat="1" ht="18" hidden="1" customHeight="1" x14ac:dyDescent="0.25">
      <c r="A117" s="237">
        <v>56303</v>
      </c>
      <c r="B117" s="903" t="s">
        <v>98</v>
      </c>
      <c r="C117" s="362"/>
      <c r="D117" s="331"/>
      <c r="E117" s="331">
        <v>0</v>
      </c>
      <c r="F117" s="331">
        <v>0</v>
      </c>
      <c r="G117" s="363">
        <f t="shared" si="45"/>
        <v>0</v>
      </c>
      <c r="H117" s="344"/>
      <c r="I117" s="334"/>
      <c r="J117" s="334"/>
      <c r="K117" s="334"/>
      <c r="L117" s="320">
        <f t="shared" ref="L117:L162" si="47">SUM(H117:J117)</f>
        <v>0</v>
      </c>
      <c r="M117" s="337">
        <v>0</v>
      </c>
      <c r="N117" s="338">
        <v>0</v>
      </c>
      <c r="O117" s="338">
        <v>0</v>
      </c>
      <c r="P117" s="338">
        <v>0</v>
      </c>
      <c r="Q117" s="338">
        <v>0</v>
      </c>
      <c r="R117" s="338">
        <v>0</v>
      </c>
      <c r="S117" s="323">
        <f>M117+N117+O117+P117+Q117+R117</f>
        <v>0</v>
      </c>
      <c r="T117" s="338"/>
      <c r="U117" s="338"/>
      <c r="V117" s="367">
        <f t="shared" si="34"/>
        <v>0</v>
      </c>
      <c r="W117" s="338"/>
      <c r="X117" s="338"/>
      <c r="Y117" s="339"/>
      <c r="Z117" s="328">
        <f t="shared" si="35"/>
        <v>0</v>
      </c>
      <c r="AA117" s="338"/>
      <c r="AB117" s="338"/>
      <c r="AC117" s="338"/>
      <c r="AD117" s="338"/>
      <c r="AE117" s="338"/>
      <c r="AF117" s="337"/>
      <c r="AG117" s="337"/>
      <c r="AH117" s="337"/>
      <c r="AI117" s="340">
        <f t="shared" si="36"/>
        <v>0</v>
      </c>
      <c r="AJ117" s="337"/>
      <c r="AK117" s="341"/>
      <c r="AL117" s="338"/>
      <c r="AM117" s="327"/>
      <c r="AN117" s="337"/>
      <c r="AO117" s="338"/>
      <c r="AP117" s="328"/>
      <c r="AQ117" s="341"/>
      <c r="AR117" s="338"/>
      <c r="AS117" s="328"/>
      <c r="AT117" s="368">
        <f t="shared" si="43"/>
        <v>0</v>
      </c>
      <c r="AU117" s="310"/>
    </row>
    <row r="118" spans="1:47" s="311" customFormat="1" ht="18" customHeight="1" x14ac:dyDescent="0.25">
      <c r="A118" s="237">
        <v>56304</v>
      </c>
      <c r="B118" s="903" t="s">
        <v>109</v>
      </c>
      <c r="C118" s="345">
        <f>'egresos 25% y F.P'!C199</f>
        <v>9000</v>
      </c>
      <c r="D118" s="331">
        <v>0</v>
      </c>
      <c r="E118" s="331">
        <v>0</v>
      </c>
      <c r="F118" s="331">
        <v>0</v>
      </c>
      <c r="G118" s="363">
        <f>F118+D118+C118</f>
        <v>9000</v>
      </c>
      <c r="H118" s="344">
        <f>'egresos 25% y F.P'!C91</f>
        <v>0</v>
      </c>
      <c r="I118" s="334">
        <v>0</v>
      </c>
      <c r="J118" s="334">
        <v>0</v>
      </c>
      <c r="K118" s="334">
        <v>0</v>
      </c>
      <c r="L118" s="320">
        <f t="shared" si="47"/>
        <v>0</v>
      </c>
      <c r="M118" s="337">
        <v>0</v>
      </c>
      <c r="N118" s="338">
        <f>'AG3'!E102+'AG3'!E129+'AG3'!E137</f>
        <v>25750</v>
      </c>
      <c r="O118" s="338">
        <v>0</v>
      </c>
      <c r="P118" s="338">
        <v>0</v>
      </c>
      <c r="Q118" s="338">
        <v>0</v>
      </c>
      <c r="R118" s="338">
        <v>0</v>
      </c>
      <c r="S118" s="323">
        <f>M118+N118+O118+P118+Q118+R118</f>
        <v>25750</v>
      </c>
      <c r="T118" s="338"/>
      <c r="U118" s="338"/>
      <c r="V118" s="367">
        <f t="shared" si="34"/>
        <v>0</v>
      </c>
      <c r="W118" s="338"/>
      <c r="X118" s="338"/>
      <c r="Y118" s="339"/>
      <c r="Z118" s="328">
        <f t="shared" si="35"/>
        <v>0</v>
      </c>
      <c r="AA118" s="338"/>
      <c r="AB118" s="338"/>
      <c r="AC118" s="338"/>
      <c r="AD118" s="338"/>
      <c r="AE118" s="338">
        <v>0</v>
      </c>
      <c r="AF118" s="337"/>
      <c r="AG118" s="337">
        <v>0</v>
      </c>
      <c r="AH118" s="337">
        <v>0</v>
      </c>
      <c r="AI118" s="340">
        <f t="shared" si="36"/>
        <v>0</v>
      </c>
      <c r="AJ118" s="337"/>
      <c r="AK118" s="341"/>
      <c r="AL118" s="338"/>
      <c r="AM118" s="327"/>
      <c r="AN118" s="337"/>
      <c r="AO118" s="338"/>
      <c r="AP118" s="328"/>
      <c r="AQ118" s="341"/>
      <c r="AR118" s="338"/>
      <c r="AS118" s="328"/>
      <c r="AT118" s="391">
        <f t="shared" si="43"/>
        <v>34750</v>
      </c>
      <c r="AU118" s="310"/>
    </row>
    <row r="119" spans="1:47" s="311" customFormat="1" ht="18" customHeight="1" x14ac:dyDescent="0.25">
      <c r="A119" s="237">
        <v>56305</v>
      </c>
      <c r="B119" s="903" t="s">
        <v>252</v>
      </c>
      <c r="C119" s="362">
        <v>0</v>
      </c>
      <c r="D119" s="331">
        <v>0</v>
      </c>
      <c r="E119" s="331">
        <v>0</v>
      </c>
      <c r="F119" s="331">
        <v>0</v>
      </c>
      <c r="G119" s="363">
        <f t="shared" si="45"/>
        <v>0</v>
      </c>
      <c r="H119" s="344">
        <v>0</v>
      </c>
      <c r="I119" s="334">
        <v>0</v>
      </c>
      <c r="J119" s="334">
        <v>0</v>
      </c>
      <c r="K119" s="334">
        <v>0</v>
      </c>
      <c r="L119" s="320">
        <f t="shared" si="47"/>
        <v>0</v>
      </c>
      <c r="M119" s="337">
        <v>0</v>
      </c>
      <c r="N119" s="338">
        <f>'AG3'!E93</f>
        <v>84335</v>
      </c>
      <c r="O119" s="338">
        <v>0</v>
      </c>
      <c r="P119" s="338">
        <v>0</v>
      </c>
      <c r="Q119" s="338">
        <v>0</v>
      </c>
      <c r="R119" s="338">
        <v>0</v>
      </c>
      <c r="S119" s="323">
        <f>M119+N119+O119+P119+Q119+R119</f>
        <v>84335</v>
      </c>
      <c r="T119" s="338"/>
      <c r="U119" s="338"/>
      <c r="V119" s="367">
        <f t="shared" si="34"/>
        <v>0</v>
      </c>
      <c r="W119" s="338"/>
      <c r="X119" s="338"/>
      <c r="Y119" s="339"/>
      <c r="Z119" s="328">
        <f t="shared" si="35"/>
        <v>0</v>
      </c>
      <c r="AA119" s="338"/>
      <c r="AB119" s="338"/>
      <c r="AC119" s="338"/>
      <c r="AD119" s="338"/>
      <c r="AE119" s="338">
        <v>0</v>
      </c>
      <c r="AF119" s="337"/>
      <c r="AG119" s="337">
        <v>0</v>
      </c>
      <c r="AH119" s="337">
        <v>0</v>
      </c>
      <c r="AI119" s="340">
        <f t="shared" si="36"/>
        <v>0</v>
      </c>
      <c r="AJ119" s="337"/>
      <c r="AK119" s="341"/>
      <c r="AL119" s="338"/>
      <c r="AM119" s="327"/>
      <c r="AN119" s="337"/>
      <c r="AO119" s="338"/>
      <c r="AP119" s="328"/>
      <c r="AQ119" s="341"/>
      <c r="AR119" s="338"/>
      <c r="AS119" s="328"/>
      <c r="AT119" s="391">
        <f t="shared" si="43"/>
        <v>84335</v>
      </c>
      <c r="AU119" s="310"/>
    </row>
    <row r="120" spans="1:47" s="999" customFormat="1" ht="18" customHeight="1" x14ac:dyDescent="0.25">
      <c r="A120" s="1013" t="s">
        <v>162</v>
      </c>
      <c r="B120" s="904" t="s">
        <v>163</v>
      </c>
      <c r="C120" s="1014">
        <v>0</v>
      </c>
      <c r="D120" s="1015">
        <v>0</v>
      </c>
      <c r="E120" s="1015">
        <v>0</v>
      </c>
      <c r="F120" s="1015">
        <f>F141</f>
        <v>0</v>
      </c>
      <c r="G120" s="1016">
        <f>G121+G132+G136+G141</f>
        <v>0</v>
      </c>
      <c r="H120" s="1017">
        <f>H121+H132+H136+H141</f>
        <v>0</v>
      </c>
      <c r="I120" s="1018">
        <f>I121+I132+I136+I141</f>
        <v>0</v>
      </c>
      <c r="J120" s="1018">
        <f>J143</f>
        <v>0</v>
      </c>
      <c r="K120" s="1018">
        <f>K121+K132+K136+K141</f>
        <v>0</v>
      </c>
      <c r="L120" s="1019">
        <f>SUM(H120:K120)</f>
        <v>0</v>
      </c>
      <c r="M120" s="1020">
        <f>M121+M132+M136+M141</f>
        <v>134403.31</v>
      </c>
      <c r="N120" s="995">
        <f>N121+N132+N136+N141</f>
        <v>754053.23</v>
      </c>
      <c r="O120" s="995">
        <f>O121+O132+O136+O141</f>
        <v>313393.67</v>
      </c>
      <c r="P120" s="995">
        <v>0</v>
      </c>
      <c r="Q120" s="995">
        <v>0</v>
      </c>
      <c r="R120" s="995">
        <v>0</v>
      </c>
      <c r="S120" s="1021">
        <f>M120+N120+O120+P120+Q120+R120</f>
        <v>1201850.21</v>
      </c>
      <c r="T120" s="995">
        <f t="shared" ref="T120:U120" si="48">T121+T132+T136+T141</f>
        <v>108857.97</v>
      </c>
      <c r="U120" s="995">
        <f t="shared" si="48"/>
        <v>311077.58</v>
      </c>
      <c r="V120" s="1004">
        <f t="shared" si="34"/>
        <v>419935.55000000005</v>
      </c>
      <c r="W120" s="995">
        <f>W121+W132+W136+W141</f>
        <v>5003.24</v>
      </c>
      <c r="X120" s="995">
        <f t="shared" ref="X120" si="49">X121+X132+X136+X141</f>
        <v>0</v>
      </c>
      <c r="Y120" s="1020">
        <f>Y121+Y132+Y141</f>
        <v>16508.849999999999</v>
      </c>
      <c r="Z120" s="1005">
        <f>W120+X120+Y120</f>
        <v>21512.089999999997</v>
      </c>
      <c r="AA120" s="995">
        <f>AA121+AA132+AA141</f>
        <v>26365.969799999999</v>
      </c>
      <c r="AB120" s="995">
        <f>AB121+AB141+AB155</f>
        <v>258473.63</v>
      </c>
      <c r="AC120" s="995">
        <f>AA120+AB120</f>
        <v>284839.59980000003</v>
      </c>
      <c r="AD120" s="995">
        <f>AD121+AD141</f>
        <v>58064.15</v>
      </c>
      <c r="AE120" s="995">
        <f>AE121+AE132+AE136+AE141</f>
        <v>0</v>
      </c>
      <c r="AF120" s="1006">
        <f>AD120+AE120</f>
        <v>58064.15</v>
      </c>
      <c r="AG120" s="1006">
        <f>AG121+AG132+AG136+AG141</f>
        <v>807382.89000000013</v>
      </c>
      <c r="AH120" s="1006">
        <f>AH121+AH132+AH136+AH141</f>
        <v>299172.06</v>
      </c>
      <c r="AI120" s="1007">
        <f>+AG120+AH120</f>
        <v>1106554.9500000002</v>
      </c>
      <c r="AJ120" s="1006">
        <f>AJ121+AJ132+AJ136+AJ141</f>
        <v>0</v>
      </c>
      <c r="AK120" s="1008">
        <f>SUM(M120:S120)</f>
        <v>2403700.42</v>
      </c>
      <c r="AL120" s="992"/>
      <c r="AM120" s="1009"/>
      <c r="AN120" s="1010"/>
      <c r="AO120" s="992"/>
      <c r="AP120" s="1011"/>
      <c r="AQ120" s="1008"/>
      <c r="AR120" s="992"/>
      <c r="AS120" s="1011"/>
      <c r="AT120" s="1012">
        <f>+L120+S120+G120+AM120+AP120+AS120+V120+AF120+AI120+AJ120+AC120+Z120</f>
        <v>3092756.5498000002</v>
      </c>
      <c r="AU120" s="998"/>
    </row>
    <row r="121" spans="1:47" s="311" customFormat="1" ht="18" customHeight="1" x14ac:dyDescent="0.25">
      <c r="A121" s="238" t="s">
        <v>164</v>
      </c>
      <c r="B121" s="904" t="s">
        <v>165</v>
      </c>
      <c r="C121" s="361">
        <v>0</v>
      </c>
      <c r="D121" s="315">
        <v>0</v>
      </c>
      <c r="E121" s="315">
        <v>0</v>
      </c>
      <c r="F121" s="315">
        <v>0</v>
      </c>
      <c r="G121" s="364">
        <v>0</v>
      </c>
      <c r="H121" s="343">
        <v>0</v>
      </c>
      <c r="I121" s="318">
        <v>0</v>
      </c>
      <c r="J121" s="318">
        <v>0</v>
      </c>
      <c r="K121" s="318">
        <v>0</v>
      </c>
      <c r="L121" s="320">
        <f t="shared" si="47"/>
        <v>0</v>
      </c>
      <c r="M121" s="324">
        <f>SUM(M122:M131)</f>
        <v>67375</v>
      </c>
      <c r="N121" s="322">
        <f>SUM(N122:N131)</f>
        <v>1340</v>
      </c>
      <c r="O121" s="322">
        <f>SUM(O122:O131)</f>
        <v>1300</v>
      </c>
      <c r="P121" s="322">
        <v>0</v>
      </c>
      <c r="Q121" s="322">
        <v>0</v>
      </c>
      <c r="R121" s="322">
        <v>0</v>
      </c>
      <c r="S121" s="349">
        <f t="shared" ref="S121:S126" si="50">M121+N121+O121+P121+R121</f>
        <v>70015</v>
      </c>
      <c r="T121" s="322"/>
      <c r="U121" s="322"/>
      <c r="V121" s="897">
        <f t="shared" si="34"/>
        <v>0</v>
      </c>
      <c r="W121" s="322"/>
      <c r="X121" s="322"/>
      <c r="Y121" s="324"/>
      <c r="Z121" s="360">
        <f t="shared" si="35"/>
        <v>0</v>
      </c>
      <c r="AA121" s="322"/>
      <c r="AB121" s="322"/>
      <c r="AC121" s="322"/>
      <c r="AD121" s="322"/>
      <c r="AE121" s="322">
        <f>SUM(AE122:AE131)</f>
        <v>0</v>
      </c>
      <c r="AF121" s="321"/>
      <c r="AG121" s="1006">
        <f>SUM(AG125:AG131)</f>
        <v>116277</v>
      </c>
      <c r="AH121" s="321">
        <v>0</v>
      </c>
      <c r="AI121" s="325">
        <f>+AG121+AH121</f>
        <v>116277</v>
      </c>
      <c r="AJ121" s="337"/>
      <c r="AK121" s="341"/>
      <c r="AL121" s="338"/>
      <c r="AM121" s="327"/>
      <c r="AN121" s="337"/>
      <c r="AO121" s="338"/>
      <c r="AP121" s="328"/>
      <c r="AQ121" s="341"/>
      <c r="AR121" s="338"/>
      <c r="AS121" s="328"/>
      <c r="AT121" s="368">
        <f t="shared" si="43"/>
        <v>186292</v>
      </c>
      <c r="AU121" s="310"/>
    </row>
    <row r="122" spans="1:47" s="311" customFormat="1" ht="18" hidden="1" customHeight="1" x14ac:dyDescent="0.25">
      <c r="A122" s="236" t="s">
        <v>166</v>
      </c>
      <c r="B122" s="902" t="s">
        <v>167</v>
      </c>
      <c r="C122" s="362">
        <v>0</v>
      </c>
      <c r="D122" s="331">
        <v>0</v>
      </c>
      <c r="E122" s="331">
        <v>0</v>
      </c>
      <c r="F122" s="331">
        <v>0</v>
      </c>
      <c r="G122" s="363">
        <v>0</v>
      </c>
      <c r="H122" s="344">
        <v>0</v>
      </c>
      <c r="I122" s="334">
        <v>0</v>
      </c>
      <c r="J122" s="334">
        <v>0</v>
      </c>
      <c r="K122" s="334">
        <v>0</v>
      </c>
      <c r="L122" s="320">
        <f t="shared" si="47"/>
        <v>0</v>
      </c>
      <c r="M122" s="339">
        <v>0</v>
      </c>
      <c r="N122" s="338">
        <v>0</v>
      </c>
      <c r="O122" s="338">
        <v>0</v>
      </c>
      <c r="P122" s="338">
        <v>0</v>
      </c>
      <c r="Q122" s="338">
        <v>0</v>
      </c>
      <c r="R122" s="338">
        <v>0</v>
      </c>
      <c r="S122" s="349">
        <f t="shared" si="50"/>
        <v>0</v>
      </c>
      <c r="T122" s="338"/>
      <c r="U122" s="338"/>
      <c r="V122" s="367">
        <f t="shared" si="34"/>
        <v>0</v>
      </c>
      <c r="W122" s="338"/>
      <c r="X122" s="338"/>
      <c r="Y122" s="339"/>
      <c r="Z122" s="328">
        <f t="shared" si="35"/>
        <v>0</v>
      </c>
      <c r="AA122" s="338"/>
      <c r="AB122" s="338"/>
      <c r="AC122" s="338"/>
      <c r="AD122" s="338"/>
      <c r="AE122" s="338">
        <v>0</v>
      </c>
      <c r="AF122" s="337"/>
      <c r="AG122" s="337">
        <v>0</v>
      </c>
      <c r="AH122" s="337">
        <v>0</v>
      </c>
      <c r="AI122" s="340">
        <f t="shared" si="36"/>
        <v>0</v>
      </c>
      <c r="AJ122" s="337"/>
      <c r="AK122" s="341"/>
      <c r="AL122" s="338"/>
      <c r="AM122" s="327"/>
      <c r="AN122" s="337"/>
      <c r="AO122" s="338"/>
      <c r="AP122" s="328"/>
      <c r="AQ122" s="341"/>
      <c r="AR122" s="338"/>
      <c r="AS122" s="328"/>
      <c r="AT122" s="368">
        <f t="shared" si="43"/>
        <v>0</v>
      </c>
      <c r="AU122" s="310"/>
    </row>
    <row r="123" spans="1:47" s="311" customFormat="1" ht="18" hidden="1" customHeight="1" x14ac:dyDescent="0.25">
      <c r="A123" s="236" t="s">
        <v>168</v>
      </c>
      <c r="B123" s="902" t="s">
        <v>169</v>
      </c>
      <c r="C123" s="362">
        <v>0</v>
      </c>
      <c r="D123" s="331">
        <v>0</v>
      </c>
      <c r="E123" s="331">
        <v>0</v>
      </c>
      <c r="F123" s="331">
        <v>0</v>
      </c>
      <c r="G123" s="363">
        <v>0</v>
      </c>
      <c r="H123" s="344">
        <v>0</v>
      </c>
      <c r="I123" s="334">
        <v>0</v>
      </c>
      <c r="J123" s="334">
        <v>0</v>
      </c>
      <c r="K123" s="334">
        <v>0</v>
      </c>
      <c r="L123" s="320">
        <f t="shared" si="47"/>
        <v>0</v>
      </c>
      <c r="M123" s="339">
        <v>0</v>
      </c>
      <c r="N123" s="338">
        <v>0</v>
      </c>
      <c r="O123" s="338">
        <v>0</v>
      </c>
      <c r="P123" s="338">
        <v>0</v>
      </c>
      <c r="Q123" s="338">
        <v>0</v>
      </c>
      <c r="R123" s="338">
        <v>0</v>
      </c>
      <c r="S123" s="349">
        <f t="shared" si="50"/>
        <v>0</v>
      </c>
      <c r="T123" s="338"/>
      <c r="U123" s="338"/>
      <c r="V123" s="367">
        <f t="shared" si="34"/>
        <v>0</v>
      </c>
      <c r="W123" s="338"/>
      <c r="X123" s="338"/>
      <c r="Y123" s="339"/>
      <c r="Z123" s="328">
        <f t="shared" si="35"/>
        <v>0</v>
      </c>
      <c r="AA123" s="338"/>
      <c r="AB123" s="338"/>
      <c r="AC123" s="338"/>
      <c r="AD123" s="338"/>
      <c r="AE123" s="338">
        <v>0</v>
      </c>
      <c r="AF123" s="337"/>
      <c r="AG123" s="337">
        <v>0</v>
      </c>
      <c r="AH123" s="337">
        <v>0</v>
      </c>
      <c r="AI123" s="340">
        <f t="shared" si="36"/>
        <v>0</v>
      </c>
      <c r="AJ123" s="337"/>
      <c r="AK123" s="341"/>
      <c r="AL123" s="338"/>
      <c r="AM123" s="327"/>
      <c r="AN123" s="337"/>
      <c r="AO123" s="338"/>
      <c r="AP123" s="328"/>
      <c r="AQ123" s="341"/>
      <c r="AR123" s="338"/>
      <c r="AS123" s="328"/>
      <c r="AT123" s="368">
        <f t="shared" si="43"/>
        <v>0</v>
      </c>
      <c r="AU123" s="310"/>
    </row>
    <row r="124" spans="1:47" s="311" customFormat="1" ht="18" hidden="1" customHeight="1" x14ac:dyDescent="0.25">
      <c r="A124" s="236" t="s">
        <v>170</v>
      </c>
      <c r="B124" s="902" t="s">
        <v>171</v>
      </c>
      <c r="C124" s="362">
        <v>0</v>
      </c>
      <c r="D124" s="331">
        <v>0</v>
      </c>
      <c r="E124" s="331">
        <v>0</v>
      </c>
      <c r="F124" s="331">
        <v>0</v>
      </c>
      <c r="G124" s="363">
        <v>0</v>
      </c>
      <c r="H124" s="344">
        <v>0</v>
      </c>
      <c r="I124" s="334">
        <v>0</v>
      </c>
      <c r="J124" s="334">
        <v>0</v>
      </c>
      <c r="K124" s="334">
        <v>0</v>
      </c>
      <c r="L124" s="320">
        <f t="shared" si="47"/>
        <v>0</v>
      </c>
      <c r="M124" s="339">
        <v>0</v>
      </c>
      <c r="N124" s="338">
        <v>0</v>
      </c>
      <c r="O124" s="338">
        <v>0</v>
      </c>
      <c r="P124" s="338">
        <v>0</v>
      </c>
      <c r="Q124" s="338">
        <v>0</v>
      </c>
      <c r="R124" s="338">
        <v>0</v>
      </c>
      <c r="S124" s="349">
        <f t="shared" si="50"/>
        <v>0</v>
      </c>
      <c r="T124" s="338"/>
      <c r="U124" s="338"/>
      <c r="V124" s="367">
        <f t="shared" si="34"/>
        <v>0</v>
      </c>
      <c r="W124" s="338"/>
      <c r="X124" s="338"/>
      <c r="Y124" s="339"/>
      <c r="Z124" s="328">
        <f t="shared" si="35"/>
        <v>0</v>
      </c>
      <c r="AA124" s="338"/>
      <c r="AB124" s="338"/>
      <c r="AC124" s="338"/>
      <c r="AD124" s="338"/>
      <c r="AE124" s="338">
        <v>0</v>
      </c>
      <c r="AF124" s="337"/>
      <c r="AG124" s="337">
        <v>0</v>
      </c>
      <c r="AH124" s="337">
        <v>0</v>
      </c>
      <c r="AI124" s="340">
        <f t="shared" si="36"/>
        <v>0</v>
      </c>
      <c r="AJ124" s="337"/>
      <c r="AK124" s="341"/>
      <c r="AL124" s="338"/>
      <c r="AM124" s="327"/>
      <c r="AN124" s="337"/>
      <c r="AO124" s="338"/>
      <c r="AP124" s="328"/>
      <c r="AQ124" s="341"/>
      <c r="AR124" s="338"/>
      <c r="AS124" s="328"/>
      <c r="AT124" s="368">
        <f t="shared" si="43"/>
        <v>0</v>
      </c>
      <c r="AU124" s="310"/>
    </row>
    <row r="125" spans="1:47" s="311" customFormat="1" ht="18" customHeight="1" x14ac:dyDescent="0.25">
      <c r="A125" s="236" t="s">
        <v>166</v>
      </c>
      <c r="B125" s="902" t="s">
        <v>167</v>
      </c>
      <c r="C125" s="362"/>
      <c r="D125" s="331"/>
      <c r="E125" s="331"/>
      <c r="F125" s="331"/>
      <c r="G125" s="363"/>
      <c r="H125" s="344"/>
      <c r="I125" s="334"/>
      <c r="J125" s="334"/>
      <c r="K125" s="334"/>
      <c r="L125" s="320"/>
      <c r="M125" s="339">
        <f>'AG3'!E15+'AG3'!E35</f>
        <v>8950</v>
      </c>
      <c r="N125" s="338"/>
      <c r="O125" s="338"/>
      <c r="P125" s="338"/>
      <c r="Q125" s="338"/>
      <c r="R125" s="338"/>
      <c r="S125" s="349">
        <f t="shared" si="50"/>
        <v>8950</v>
      </c>
      <c r="T125" s="338"/>
      <c r="U125" s="338"/>
      <c r="V125" s="367">
        <f t="shared" si="34"/>
        <v>0</v>
      </c>
      <c r="W125" s="338"/>
      <c r="X125" s="338"/>
      <c r="Y125" s="339"/>
      <c r="Z125" s="328">
        <f t="shared" si="35"/>
        <v>0</v>
      </c>
      <c r="AA125" s="338"/>
      <c r="AB125" s="338"/>
      <c r="AC125" s="338"/>
      <c r="AD125" s="338"/>
      <c r="AE125" s="338"/>
      <c r="AF125" s="337"/>
      <c r="AG125" s="337"/>
      <c r="AH125" s="337"/>
      <c r="AI125" s="340"/>
      <c r="AJ125" s="337"/>
      <c r="AK125" s="341"/>
      <c r="AL125" s="338"/>
      <c r="AM125" s="327"/>
      <c r="AN125" s="337"/>
      <c r="AO125" s="338"/>
      <c r="AP125" s="328"/>
      <c r="AQ125" s="341"/>
      <c r="AR125" s="338"/>
      <c r="AS125" s="328"/>
      <c r="AT125" s="368">
        <f t="shared" si="43"/>
        <v>8950</v>
      </c>
      <c r="AU125" s="310"/>
    </row>
    <row r="126" spans="1:47" s="311" customFormat="1" ht="18" customHeight="1" x14ac:dyDescent="0.25">
      <c r="A126" s="236" t="s">
        <v>168</v>
      </c>
      <c r="B126" s="902" t="s">
        <v>746</v>
      </c>
      <c r="C126" s="362"/>
      <c r="D126" s="331"/>
      <c r="E126" s="331"/>
      <c r="F126" s="331"/>
      <c r="G126" s="363"/>
      <c r="H126" s="344"/>
      <c r="I126" s="334"/>
      <c r="J126" s="334"/>
      <c r="K126" s="334"/>
      <c r="L126" s="320"/>
      <c r="M126" s="339">
        <f>'AG3'!E16+'AG3'!E36</f>
        <v>8500</v>
      </c>
      <c r="N126" s="338">
        <f>'AG3'!E118</f>
        <v>1340</v>
      </c>
      <c r="O126" s="338"/>
      <c r="P126" s="338"/>
      <c r="Q126" s="338"/>
      <c r="R126" s="338"/>
      <c r="S126" s="349">
        <f t="shared" si="50"/>
        <v>9840</v>
      </c>
      <c r="T126" s="338"/>
      <c r="U126" s="338"/>
      <c r="V126" s="367">
        <f t="shared" si="34"/>
        <v>0</v>
      </c>
      <c r="W126" s="338"/>
      <c r="X126" s="338"/>
      <c r="Y126" s="339"/>
      <c r="Z126" s="328">
        <f t="shared" si="35"/>
        <v>0</v>
      </c>
      <c r="AA126" s="338"/>
      <c r="AB126" s="338"/>
      <c r="AC126" s="338"/>
      <c r="AD126" s="338"/>
      <c r="AE126" s="338"/>
      <c r="AF126" s="337"/>
      <c r="AG126" s="337"/>
      <c r="AH126" s="337"/>
      <c r="AI126" s="340"/>
      <c r="AJ126" s="337"/>
      <c r="AK126" s="341"/>
      <c r="AL126" s="338"/>
      <c r="AM126" s="327"/>
      <c r="AN126" s="337"/>
      <c r="AO126" s="338"/>
      <c r="AP126" s="328"/>
      <c r="AQ126" s="341"/>
      <c r="AR126" s="338"/>
      <c r="AS126" s="328"/>
      <c r="AT126" s="368">
        <f t="shared" si="43"/>
        <v>9840</v>
      </c>
      <c r="AU126" s="310"/>
    </row>
    <row r="127" spans="1:47" s="311" customFormat="1" ht="18" customHeight="1" x14ac:dyDescent="0.25">
      <c r="A127" s="236" t="s">
        <v>172</v>
      </c>
      <c r="B127" s="902" t="s">
        <v>173</v>
      </c>
      <c r="C127" s="362">
        <v>0</v>
      </c>
      <c r="D127" s="331">
        <v>0</v>
      </c>
      <c r="E127" s="331">
        <v>0</v>
      </c>
      <c r="F127" s="331">
        <v>0</v>
      </c>
      <c r="G127" s="363">
        <v>0</v>
      </c>
      <c r="H127" s="344">
        <v>0</v>
      </c>
      <c r="I127" s="334">
        <v>0</v>
      </c>
      <c r="J127" s="334">
        <v>0</v>
      </c>
      <c r="K127" s="334">
        <v>0</v>
      </c>
      <c r="L127" s="320">
        <f t="shared" si="47"/>
        <v>0</v>
      </c>
      <c r="M127" s="339">
        <f>'AG3'!E17</f>
        <v>13500</v>
      </c>
      <c r="N127" s="338">
        <v>0</v>
      </c>
      <c r="O127" s="338">
        <v>0</v>
      </c>
      <c r="P127" s="338">
        <v>0</v>
      </c>
      <c r="Q127" s="338">
        <v>0</v>
      </c>
      <c r="R127" s="338">
        <v>0</v>
      </c>
      <c r="S127" s="323">
        <f>M127+N127+O127+P127+Q127+R127</f>
        <v>13500</v>
      </c>
      <c r="T127" s="338"/>
      <c r="U127" s="338"/>
      <c r="V127" s="367">
        <f t="shared" si="34"/>
        <v>0</v>
      </c>
      <c r="W127" s="338"/>
      <c r="X127" s="338"/>
      <c r="Y127" s="339"/>
      <c r="Z127" s="328">
        <f t="shared" si="35"/>
        <v>0</v>
      </c>
      <c r="AA127" s="338"/>
      <c r="AB127" s="338"/>
      <c r="AC127" s="338"/>
      <c r="AD127" s="338"/>
      <c r="AE127" s="338">
        <v>0</v>
      </c>
      <c r="AF127" s="337"/>
      <c r="AG127" s="337">
        <v>0</v>
      </c>
      <c r="AH127" s="337">
        <v>0</v>
      </c>
      <c r="AI127" s="340">
        <f t="shared" si="36"/>
        <v>0</v>
      </c>
      <c r="AJ127" s="337"/>
      <c r="AK127" s="341"/>
      <c r="AL127" s="338"/>
      <c r="AM127" s="327"/>
      <c r="AN127" s="337"/>
      <c r="AO127" s="338"/>
      <c r="AP127" s="328"/>
      <c r="AQ127" s="341"/>
      <c r="AR127" s="338"/>
      <c r="AS127" s="328"/>
      <c r="AT127" s="391">
        <f t="shared" si="43"/>
        <v>13500</v>
      </c>
      <c r="AU127" s="310"/>
    </row>
    <row r="128" spans="1:47" s="311" customFormat="1" ht="18" customHeight="1" x14ac:dyDescent="0.25">
      <c r="A128" s="236" t="s">
        <v>174</v>
      </c>
      <c r="B128" s="902" t="s">
        <v>175</v>
      </c>
      <c r="C128" s="362">
        <v>0</v>
      </c>
      <c r="D128" s="331">
        <v>0</v>
      </c>
      <c r="E128" s="331">
        <v>0</v>
      </c>
      <c r="F128" s="331">
        <v>0</v>
      </c>
      <c r="G128" s="363">
        <v>0</v>
      </c>
      <c r="H128" s="344">
        <v>0</v>
      </c>
      <c r="I128" s="334">
        <v>0</v>
      </c>
      <c r="J128" s="334">
        <v>0</v>
      </c>
      <c r="K128" s="334">
        <v>0</v>
      </c>
      <c r="L128" s="320">
        <f t="shared" si="47"/>
        <v>0</v>
      </c>
      <c r="M128" s="339">
        <f>'AG3'!E20</f>
        <v>30000</v>
      </c>
      <c r="N128" s="338">
        <v>0</v>
      </c>
      <c r="O128" s="338">
        <v>0</v>
      </c>
      <c r="P128" s="338">
        <v>0</v>
      </c>
      <c r="Q128" s="338">
        <v>0</v>
      </c>
      <c r="R128" s="338">
        <v>0</v>
      </c>
      <c r="S128" s="323">
        <f>M128+N128+O128+P128+Q128+R128</f>
        <v>30000</v>
      </c>
      <c r="T128" s="338"/>
      <c r="U128" s="338"/>
      <c r="V128" s="367">
        <f t="shared" si="34"/>
        <v>0</v>
      </c>
      <c r="W128" s="338"/>
      <c r="X128" s="338"/>
      <c r="Y128" s="339"/>
      <c r="Z128" s="328">
        <f t="shared" si="35"/>
        <v>0</v>
      </c>
      <c r="AA128" s="338"/>
      <c r="AB128" s="338"/>
      <c r="AC128" s="338"/>
      <c r="AD128" s="338"/>
      <c r="AE128" s="338">
        <f>'AG4'!G16</f>
        <v>0</v>
      </c>
      <c r="AF128" s="337"/>
      <c r="AG128" s="1010">
        <f>'AG3'!O23</f>
        <v>116277</v>
      </c>
      <c r="AH128" s="337">
        <v>0</v>
      </c>
      <c r="AI128" s="340">
        <f t="shared" si="36"/>
        <v>116277</v>
      </c>
      <c r="AJ128" s="337"/>
      <c r="AK128" s="341"/>
      <c r="AL128" s="338"/>
      <c r="AM128" s="327"/>
      <c r="AN128" s="337"/>
      <c r="AO128" s="338"/>
      <c r="AP128" s="328"/>
      <c r="AQ128" s="341"/>
      <c r="AR128" s="338"/>
      <c r="AS128" s="328"/>
      <c r="AT128" s="391">
        <f>+L128+S128+G128+AM128+AP128+AS128+V128+AF128+AI128+AJ128</f>
        <v>146277</v>
      </c>
      <c r="AU128" s="310"/>
    </row>
    <row r="129" spans="1:48" s="311" customFormat="1" ht="18" customHeight="1" x14ac:dyDescent="0.25">
      <c r="A129" s="236" t="s">
        <v>176</v>
      </c>
      <c r="B129" s="902" t="s">
        <v>177</v>
      </c>
      <c r="C129" s="362">
        <v>0</v>
      </c>
      <c r="D129" s="331">
        <v>0</v>
      </c>
      <c r="E129" s="331">
        <v>0</v>
      </c>
      <c r="F129" s="331">
        <v>0</v>
      </c>
      <c r="G129" s="363">
        <v>0</v>
      </c>
      <c r="H129" s="344">
        <v>0</v>
      </c>
      <c r="I129" s="334">
        <v>0</v>
      </c>
      <c r="J129" s="334">
        <v>0</v>
      </c>
      <c r="K129" s="334">
        <v>0</v>
      </c>
      <c r="L129" s="320">
        <f t="shared" si="47"/>
        <v>0</v>
      </c>
      <c r="M129" s="339">
        <v>0</v>
      </c>
      <c r="N129" s="338">
        <v>0</v>
      </c>
      <c r="O129" s="338">
        <v>0</v>
      </c>
      <c r="P129" s="338">
        <v>0</v>
      </c>
      <c r="Q129" s="338">
        <v>0</v>
      </c>
      <c r="R129" s="338">
        <v>0</v>
      </c>
      <c r="S129" s="323">
        <f>M129+N129+O129+P129+Q129+R129</f>
        <v>0</v>
      </c>
      <c r="T129" s="338"/>
      <c r="U129" s="338"/>
      <c r="V129" s="367">
        <f t="shared" si="34"/>
        <v>0</v>
      </c>
      <c r="W129" s="338"/>
      <c r="X129" s="338"/>
      <c r="Y129" s="339"/>
      <c r="Z129" s="328">
        <f t="shared" si="35"/>
        <v>0</v>
      </c>
      <c r="AA129" s="338"/>
      <c r="AB129" s="338"/>
      <c r="AC129" s="338"/>
      <c r="AD129" s="338"/>
      <c r="AE129" s="338">
        <v>0</v>
      </c>
      <c r="AF129" s="337"/>
      <c r="AG129" s="337">
        <v>0</v>
      </c>
      <c r="AH129" s="337">
        <v>0</v>
      </c>
      <c r="AI129" s="340">
        <f t="shared" si="36"/>
        <v>0</v>
      </c>
      <c r="AJ129" s="337"/>
      <c r="AK129" s="341"/>
      <c r="AL129" s="338"/>
      <c r="AM129" s="327"/>
      <c r="AN129" s="337"/>
      <c r="AO129" s="338"/>
      <c r="AP129" s="328"/>
      <c r="AQ129" s="341"/>
      <c r="AR129" s="338"/>
      <c r="AS129" s="328"/>
      <c r="AT129" s="391">
        <f t="shared" si="43"/>
        <v>0</v>
      </c>
      <c r="AU129" s="310"/>
    </row>
    <row r="130" spans="1:48" s="311" customFormat="1" ht="18" customHeight="1" x14ac:dyDescent="0.25">
      <c r="A130" s="236" t="s">
        <v>178</v>
      </c>
      <c r="B130" s="902" t="s">
        <v>179</v>
      </c>
      <c r="C130" s="362">
        <v>0</v>
      </c>
      <c r="D130" s="331">
        <v>0</v>
      </c>
      <c r="E130" s="331">
        <v>0</v>
      </c>
      <c r="F130" s="331">
        <v>0</v>
      </c>
      <c r="G130" s="363">
        <v>0</v>
      </c>
      <c r="H130" s="344">
        <v>0</v>
      </c>
      <c r="I130" s="334">
        <v>0</v>
      </c>
      <c r="J130" s="334">
        <v>0</v>
      </c>
      <c r="K130" s="334">
        <v>0</v>
      </c>
      <c r="L130" s="320">
        <f t="shared" si="47"/>
        <v>0</v>
      </c>
      <c r="M130" s="339">
        <v>0</v>
      </c>
      <c r="N130" s="338">
        <v>0</v>
      </c>
      <c r="O130" s="338">
        <v>0</v>
      </c>
      <c r="P130" s="338">
        <v>0</v>
      </c>
      <c r="Q130" s="338">
        <v>0</v>
      </c>
      <c r="R130" s="338">
        <v>0</v>
      </c>
      <c r="S130" s="323">
        <f>M130+N130+O130+P130+Q130+R130</f>
        <v>0</v>
      </c>
      <c r="T130" s="338"/>
      <c r="U130" s="338"/>
      <c r="V130" s="367">
        <f t="shared" si="34"/>
        <v>0</v>
      </c>
      <c r="W130" s="338"/>
      <c r="X130" s="338"/>
      <c r="Y130" s="339"/>
      <c r="Z130" s="328">
        <f t="shared" si="35"/>
        <v>0</v>
      </c>
      <c r="AA130" s="338"/>
      <c r="AB130" s="338"/>
      <c r="AC130" s="338"/>
      <c r="AD130" s="338"/>
      <c r="AE130" s="338">
        <v>0</v>
      </c>
      <c r="AF130" s="337"/>
      <c r="AG130" s="337">
        <v>0</v>
      </c>
      <c r="AH130" s="337">
        <v>0</v>
      </c>
      <c r="AI130" s="340">
        <f t="shared" si="36"/>
        <v>0</v>
      </c>
      <c r="AJ130" s="337"/>
      <c r="AK130" s="341"/>
      <c r="AL130" s="338"/>
      <c r="AM130" s="327"/>
      <c r="AN130" s="337"/>
      <c r="AO130" s="338"/>
      <c r="AP130" s="328"/>
      <c r="AQ130" s="341"/>
      <c r="AR130" s="338"/>
      <c r="AS130" s="328"/>
      <c r="AT130" s="391">
        <f t="shared" si="43"/>
        <v>0</v>
      </c>
      <c r="AU130" s="310"/>
    </row>
    <row r="131" spans="1:48" s="311" customFormat="1" ht="18" customHeight="1" x14ac:dyDescent="0.25">
      <c r="A131" s="236" t="s">
        <v>180</v>
      </c>
      <c r="B131" s="902" t="s">
        <v>181</v>
      </c>
      <c r="C131" s="362">
        <v>0</v>
      </c>
      <c r="D131" s="331">
        <v>0</v>
      </c>
      <c r="E131" s="331">
        <v>0</v>
      </c>
      <c r="F131" s="331">
        <v>0</v>
      </c>
      <c r="G131" s="363">
        <v>0</v>
      </c>
      <c r="H131" s="344">
        <v>0</v>
      </c>
      <c r="I131" s="334">
        <v>0</v>
      </c>
      <c r="J131" s="334">
        <v>0</v>
      </c>
      <c r="K131" s="334">
        <v>0</v>
      </c>
      <c r="L131" s="320">
        <f t="shared" si="47"/>
        <v>0</v>
      </c>
      <c r="M131" s="339">
        <f>'AG3'!E37</f>
        <v>6425</v>
      </c>
      <c r="N131" s="338">
        <v>0</v>
      </c>
      <c r="O131" s="338">
        <f>'AG4'!E42</f>
        <v>1300</v>
      </c>
      <c r="P131" s="338">
        <v>0</v>
      </c>
      <c r="Q131" s="338">
        <v>0</v>
      </c>
      <c r="R131" s="338">
        <v>0</v>
      </c>
      <c r="S131" s="323">
        <f>M131+N131+O131+P131+Q131+R131</f>
        <v>7725</v>
      </c>
      <c r="T131" s="338"/>
      <c r="U131" s="338"/>
      <c r="V131" s="367">
        <f t="shared" si="34"/>
        <v>0</v>
      </c>
      <c r="W131" s="338"/>
      <c r="X131" s="338"/>
      <c r="Y131" s="339"/>
      <c r="Z131" s="328">
        <f t="shared" si="35"/>
        <v>0</v>
      </c>
      <c r="AA131" s="338"/>
      <c r="AB131" s="338"/>
      <c r="AC131" s="338"/>
      <c r="AD131" s="338"/>
      <c r="AE131" s="338">
        <v>0</v>
      </c>
      <c r="AF131" s="337"/>
      <c r="AG131" s="337">
        <v>0</v>
      </c>
      <c r="AH131" s="337">
        <v>0</v>
      </c>
      <c r="AI131" s="340">
        <f t="shared" si="36"/>
        <v>0</v>
      </c>
      <c r="AJ131" s="337"/>
      <c r="AK131" s="341"/>
      <c r="AL131" s="338"/>
      <c r="AM131" s="327"/>
      <c r="AN131" s="337"/>
      <c r="AO131" s="338"/>
      <c r="AP131" s="328"/>
      <c r="AQ131" s="341"/>
      <c r="AR131" s="338"/>
      <c r="AS131" s="328"/>
      <c r="AT131" s="391">
        <f t="shared" si="43"/>
        <v>7725</v>
      </c>
      <c r="AU131" s="310"/>
    </row>
    <row r="132" spans="1:48" s="311" customFormat="1" ht="18" customHeight="1" x14ac:dyDescent="0.25">
      <c r="A132" s="238" t="s">
        <v>239</v>
      </c>
      <c r="B132" s="904" t="s">
        <v>193</v>
      </c>
      <c r="C132" s="361">
        <v>0</v>
      </c>
      <c r="D132" s="315">
        <v>0</v>
      </c>
      <c r="E132" s="315">
        <v>0</v>
      </c>
      <c r="F132" s="315">
        <v>0</v>
      </c>
      <c r="G132" s="364">
        <v>0</v>
      </c>
      <c r="H132" s="343">
        <v>0</v>
      </c>
      <c r="I132" s="318">
        <v>0</v>
      </c>
      <c r="J132" s="318">
        <v>0</v>
      </c>
      <c r="K132" s="318">
        <v>0</v>
      </c>
      <c r="L132" s="320">
        <f t="shared" si="47"/>
        <v>0</v>
      </c>
      <c r="M132" s="324">
        <v>0</v>
      </c>
      <c r="N132" s="322">
        <f>N133+N134+N135</f>
        <v>0</v>
      </c>
      <c r="O132" s="322">
        <v>0</v>
      </c>
      <c r="P132" s="322">
        <v>0</v>
      </c>
      <c r="Q132" s="322">
        <v>0</v>
      </c>
      <c r="R132" s="322">
        <v>0</v>
      </c>
      <c r="S132" s="349">
        <f>M132+N132+O132+P132+R132</f>
        <v>0</v>
      </c>
      <c r="T132" s="322"/>
      <c r="U132" s="322"/>
      <c r="V132" s="897">
        <f t="shared" si="34"/>
        <v>0</v>
      </c>
      <c r="W132" s="322"/>
      <c r="X132" s="322"/>
      <c r="Y132" s="324"/>
      <c r="Z132" s="360">
        <f t="shared" si="35"/>
        <v>0</v>
      </c>
      <c r="AA132" s="322"/>
      <c r="AB132" s="322"/>
      <c r="AC132" s="322"/>
      <c r="AD132" s="322"/>
      <c r="AE132" s="322">
        <v>0</v>
      </c>
      <c r="AF132" s="321"/>
      <c r="AG132" s="321">
        <v>0</v>
      </c>
      <c r="AH132" s="321">
        <v>0</v>
      </c>
      <c r="AI132" s="325">
        <f t="shared" si="36"/>
        <v>0</v>
      </c>
      <c r="AJ132" s="337"/>
      <c r="AK132" s="341"/>
      <c r="AL132" s="338"/>
      <c r="AM132" s="327"/>
      <c r="AN132" s="337"/>
      <c r="AO132" s="338"/>
      <c r="AP132" s="328"/>
      <c r="AQ132" s="341"/>
      <c r="AR132" s="338"/>
      <c r="AS132" s="328"/>
      <c r="AT132" s="368">
        <f t="shared" si="43"/>
        <v>0</v>
      </c>
      <c r="AU132" s="310"/>
    </row>
    <row r="133" spans="1:48" s="311" customFormat="1" ht="18" hidden="1" customHeight="1" x14ac:dyDescent="0.25">
      <c r="A133" s="236" t="s">
        <v>240</v>
      </c>
      <c r="B133" s="902" t="s">
        <v>241</v>
      </c>
      <c r="C133" s="362">
        <v>0</v>
      </c>
      <c r="D133" s="331">
        <v>0</v>
      </c>
      <c r="E133" s="331">
        <v>0</v>
      </c>
      <c r="F133" s="331">
        <v>0</v>
      </c>
      <c r="G133" s="363">
        <v>0</v>
      </c>
      <c r="H133" s="344">
        <v>0</v>
      </c>
      <c r="I133" s="334">
        <v>0</v>
      </c>
      <c r="J133" s="334">
        <v>0</v>
      </c>
      <c r="K133" s="334">
        <v>0</v>
      </c>
      <c r="L133" s="320">
        <f t="shared" si="47"/>
        <v>0</v>
      </c>
      <c r="M133" s="339">
        <v>0</v>
      </c>
      <c r="N133" s="338">
        <v>0</v>
      </c>
      <c r="O133" s="338">
        <v>0</v>
      </c>
      <c r="P133" s="338">
        <v>0</v>
      </c>
      <c r="Q133" s="338">
        <v>0</v>
      </c>
      <c r="R133" s="338">
        <v>0</v>
      </c>
      <c r="S133" s="323">
        <f>M133+N133+O133+P133+Q133+R133</f>
        <v>0</v>
      </c>
      <c r="T133" s="338"/>
      <c r="U133" s="338"/>
      <c r="V133" s="367">
        <f t="shared" si="34"/>
        <v>0</v>
      </c>
      <c r="W133" s="338"/>
      <c r="X133" s="338"/>
      <c r="Y133" s="339"/>
      <c r="Z133" s="328">
        <f t="shared" si="35"/>
        <v>0</v>
      </c>
      <c r="AA133" s="338"/>
      <c r="AB133" s="338"/>
      <c r="AC133" s="338"/>
      <c r="AD133" s="338"/>
      <c r="AE133" s="338">
        <v>0</v>
      </c>
      <c r="AF133" s="337"/>
      <c r="AG133" s="337">
        <v>0</v>
      </c>
      <c r="AH133" s="337">
        <v>0</v>
      </c>
      <c r="AI133" s="340">
        <f t="shared" si="36"/>
        <v>0</v>
      </c>
      <c r="AJ133" s="337"/>
      <c r="AK133" s="341"/>
      <c r="AL133" s="338"/>
      <c r="AM133" s="327"/>
      <c r="AN133" s="337"/>
      <c r="AO133" s="338"/>
      <c r="AP133" s="328"/>
      <c r="AQ133" s="341"/>
      <c r="AR133" s="338"/>
      <c r="AS133" s="328"/>
      <c r="AT133" s="368">
        <f t="shared" si="43"/>
        <v>0</v>
      </c>
      <c r="AU133" s="310"/>
    </row>
    <row r="134" spans="1:48" s="311" customFormat="1" ht="18" customHeight="1" x14ac:dyDescent="0.25">
      <c r="A134" s="236" t="s">
        <v>242</v>
      </c>
      <c r="B134" s="902" t="s">
        <v>243</v>
      </c>
      <c r="C134" s="362">
        <v>0</v>
      </c>
      <c r="D134" s="331">
        <v>0</v>
      </c>
      <c r="E134" s="331">
        <v>0</v>
      </c>
      <c r="F134" s="331">
        <v>0</v>
      </c>
      <c r="G134" s="363">
        <v>0</v>
      </c>
      <c r="H134" s="344">
        <v>0</v>
      </c>
      <c r="I134" s="334">
        <v>0</v>
      </c>
      <c r="J134" s="334">
        <v>0</v>
      </c>
      <c r="K134" s="334">
        <v>0</v>
      </c>
      <c r="L134" s="320">
        <f t="shared" si="47"/>
        <v>0</v>
      </c>
      <c r="M134" s="339">
        <v>0</v>
      </c>
      <c r="N134" s="338">
        <v>0</v>
      </c>
      <c r="O134" s="338">
        <v>0</v>
      </c>
      <c r="P134" s="338">
        <v>0</v>
      </c>
      <c r="Q134" s="338">
        <v>0</v>
      </c>
      <c r="R134" s="338">
        <v>0</v>
      </c>
      <c r="S134" s="323">
        <f>M134+N134+O134+P134+Q134+R134</f>
        <v>0</v>
      </c>
      <c r="T134" s="338"/>
      <c r="U134" s="338"/>
      <c r="V134" s="367">
        <f t="shared" si="34"/>
        <v>0</v>
      </c>
      <c r="W134" s="338"/>
      <c r="X134" s="338"/>
      <c r="Y134" s="339"/>
      <c r="Z134" s="328">
        <f t="shared" si="35"/>
        <v>0</v>
      </c>
      <c r="AA134" s="338"/>
      <c r="AB134" s="338"/>
      <c r="AC134" s="338"/>
      <c r="AD134" s="338"/>
      <c r="AE134" s="338">
        <v>0</v>
      </c>
      <c r="AF134" s="337"/>
      <c r="AG134" s="337">
        <v>0</v>
      </c>
      <c r="AH134" s="337">
        <v>0</v>
      </c>
      <c r="AI134" s="340">
        <f t="shared" si="36"/>
        <v>0</v>
      </c>
      <c r="AJ134" s="337"/>
      <c r="AK134" s="341"/>
      <c r="AL134" s="338"/>
      <c r="AM134" s="327"/>
      <c r="AN134" s="337"/>
      <c r="AO134" s="338"/>
      <c r="AP134" s="328"/>
      <c r="AQ134" s="341"/>
      <c r="AR134" s="338"/>
      <c r="AS134" s="328"/>
      <c r="AT134" s="391">
        <f t="shared" si="43"/>
        <v>0</v>
      </c>
      <c r="AU134" s="310"/>
    </row>
    <row r="135" spans="1:48" s="311" customFormat="1" ht="18" hidden="1" customHeight="1" x14ac:dyDescent="0.25">
      <c r="A135" s="236" t="s">
        <v>244</v>
      </c>
      <c r="B135" s="902" t="s">
        <v>245</v>
      </c>
      <c r="C135" s="362">
        <v>0</v>
      </c>
      <c r="D135" s="331">
        <v>0</v>
      </c>
      <c r="E135" s="331">
        <v>0</v>
      </c>
      <c r="F135" s="331">
        <v>0</v>
      </c>
      <c r="G135" s="363">
        <v>0</v>
      </c>
      <c r="H135" s="344">
        <v>0</v>
      </c>
      <c r="I135" s="334">
        <v>0</v>
      </c>
      <c r="J135" s="334">
        <v>0</v>
      </c>
      <c r="K135" s="334">
        <v>0</v>
      </c>
      <c r="L135" s="320">
        <f t="shared" si="47"/>
        <v>0</v>
      </c>
      <c r="M135" s="339">
        <v>0</v>
      </c>
      <c r="N135" s="338">
        <v>0</v>
      </c>
      <c r="O135" s="338">
        <v>0</v>
      </c>
      <c r="P135" s="338">
        <v>0</v>
      </c>
      <c r="Q135" s="338">
        <v>0</v>
      </c>
      <c r="R135" s="338">
        <v>0</v>
      </c>
      <c r="S135" s="323">
        <f>M135+N135+O135+P135+Q135+R135</f>
        <v>0</v>
      </c>
      <c r="T135" s="338"/>
      <c r="U135" s="338"/>
      <c r="V135" s="367">
        <f t="shared" si="34"/>
        <v>0</v>
      </c>
      <c r="W135" s="338"/>
      <c r="X135" s="338"/>
      <c r="Y135" s="339"/>
      <c r="Z135" s="328">
        <f t="shared" si="35"/>
        <v>0</v>
      </c>
      <c r="AA135" s="338"/>
      <c r="AB135" s="338"/>
      <c r="AC135" s="338"/>
      <c r="AD135" s="338"/>
      <c r="AE135" s="338">
        <v>0</v>
      </c>
      <c r="AF135" s="337"/>
      <c r="AG135" s="337">
        <v>0</v>
      </c>
      <c r="AH135" s="337">
        <v>0</v>
      </c>
      <c r="AI135" s="340">
        <f t="shared" si="36"/>
        <v>0</v>
      </c>
      <c r="AJ135" s="337"/>
      <c r="AK135" s="341"/>
      <c r="AL135" s="338"/>
      <c r="AM135" s="327"/>
      <c r="AN135" s="337"/>
      <c r="AO135" s="338"/>
      <c r="AP135" s="328"/>
      <c r="AQ135" s="341"/>
      <c r="AR135" s="338"/>
      <c r="AS135" s="328"/>
      <c r="AT135" s="368">
        <f t="shared" si="43"/>
        <v>0</v>
      </c>
      <c r="AU135" s="310"/>
    </row>
    <row r="136" spans="1:48" s="311" customFormat="1" ht="18" customHeight="1" x14ac:dyDescent="0.25">
      <c r="A136" s="235">
        <v>615</v>
      </c>
      <c r="B136" s="904" t="s">
        <v>194</v>
      </c>
      <c r="C136" s="361">
        <v>0</v>
      </c>
      <c r="D136" s="315">
        <v>0</v>
      </c>
      <c r="E136" s="315">
        <v>0</v>
      </c>
      <c r="F136" s="315">
        <v>0</v>
      </c>
      <c r="G136" s="364">
        <v>0</v>
      </c>
      <c r="H136" s="343">
        <v>0</v>
      </c>
      <c r="I136" s="318">
        <v>0</v>
      </c>
      <c r="J136" s="318">
        <v>0</v>
      </c>
      <c r="K136" s="318">
        <v>0</v>
      </c>
      <c r="L136" s="320">
        <f t="shared" si="47"/>
        <v>0</v>
      </c>
      <c r="M136" s="324">
        <f>M137+M138+M139+M140</f>
        <v>67028.31</v>
      </c>
      <c r="N136" s="322">
        <v>0</v>
      </c>
      <c r="O136" s="322">
        <v>0</v>
      </c>
      <c r="P136" s="322">
        <v>0</v>
      </c>
      <c r="Q136" s="322">
        <v>0</v>
      </c>
      <c r="R136" s="322">
        <v>0</v>
      </c>
      <c r="S136" s="349">
        <f>M136+N136+O136+P136+R136</f>
        <v>67028.31</v>
      </c>
      <c r="T136" s="322"/>
      <c r="U136" s="322"/>
      <c r="V136" s="897">
        <f t="shared" si="34"/>
        <v>0</v>
      </c>
      <c r="W136" s="322"/>
      <c r="X136" s="322"/>
      <c r="Y136" s="324"/>
      <c r="Z136" s="360">
        <f t="shared" si="35"/>
        <v>0</v>
      </c>
      <c r="AA136" s="322"/>
      <c r="AB136" s="322"/>
      <c r="AC136" s="322"/>
      <c r="AD136" s="322"/>
      <c r="AE136" s="322">
        <v>0</v>
      </c>
      <c r="AF136" s="321"/>
      <c r="AG136" s="321">
        <v>0</v>
      </c>
      <c r="AH136" s="321">
        <v>0</v>
      </c>
      <c r="AI136" s="325">
        <f t="shared" si="36"/>
        <v>0</v>
      </c>
      <c r="AJ136" s="337"/>
      <c r="AK136" s="341"/>
      <c r="AL136" s="338"/>
      <c r="AM136" s="327"/>
      <c r="AN136" s="337"/>
      <c r="AO136" s="338"/>
      <c r="AP136" s="328"/>
      <c r="AQ136" s="341"/>
      <c r="AR136" s="338"/>
      <c r="AS136" s="328"/>
      <c r="AT136" s="368">
        <f t="shared" si="43"/>
        <v>67028.31</v>
      </c>
      <c r="AU136" s="310"/>
    </row>
    <row r="137" spans="1:48" s="311" customFormat="1" ht="18" hidden="1" customHeight="1" x14ac:dyDescent="0.25">
      <c r="A137" s="237">
        <v>61501</v>
      </c>
      <c r="B137" s="902" t="s">
        <v>195</v>
      </c>
      <c r="C137" s="362">
        <v>0</v>
      </c>
      <c r="D137" s="331">
        <v>0</v>
      </c>
      <c r="E137" s="331">
        <v>0</v>
      </c>
      <c r="F137" s="331">
        <v>0</v>
      </c>
      <c r="G137" s="363">
        <v>0</v>
      </c>
      <c r="H137" s="344">
        <v>0</v>
      </c>
      <c r="I137" s="334">
        <v>0</v>
      </c>
      <c r="J137" s="334">
        <v>0</v>
      </c>
      <c r="K137" s="334">
        <v>0</v>
      </c>
      <c r="L137" s="320">
        <f t="shared" si="47"/>
        <v>0</v>
      </c>
      <c r="M137" s="339">
        <v>0</v>
      </c>
      <c r="N137" s="338">
        <v>0</v>
      </c>
      <c r="O137" s="338">
        <v>0</v>
      </c>
      <c r="P137" s="338">
        <v>0</v>
      </c>
      <c r="Q137" s="338">
        <v>0</v>
      </c>
      <c r="R137" s="338">
        <v>0</v>
      </c>
      <c r="S137" s="323">
        <f t="shared" ref="S137:S149" si="51">M137+N137+O137+P137+Q137+R137</f>
        <v>0</v>
      </c>
      <c r="T137" s="338"/>
      <c r="U137" s="338"/>
      <c r="V137" s="367">
        <f t="shared" si="34"/>
        <v>0</v>
      </c>
      <c r="W137" s="338"/>
      <c r="X137" s="338"/>
      <c r="Y137" s="339"/>
      <c r="Z137" s="328">
        <f t="shared" si="35"/>
        <v>0</v>
      </c>
      <c r="AA137" s="338"/>
      <c r="AB137" s="338"/>
      <c r="AC137" s="338"/>
      <c r="AD137" s="338"/>
      <c r="AE137" s="338">
        <v>0</v>
      </c>
      <c r="AF137" s="337"/>
      <c r="AG137" s="337">
        <v>0</v>
      </c>
      <c r="AH137" s="337">
        <v>0</v>
      </c>
      <c r="AI137" s="325">
        <f t="shared" si="36"/>
        <v>0</v>
      </c>
      <c r="AJ137" s="337"/>
      <c r="AK137" s="341"/>
      <c r="AL137" s="338"/>
      <c r="AM137" s="327"/>
      <c r="AN137" s="337"/>
      <c r="AO137" s="338"/>
      <c r="AP137" s="328"/>
      <c r="AQ137" s="341"/>
      <c r="AR137" s="338"/>
      <c r="AS137" s="328"/>
      <c r="AT137" s="368">
        <f t="shared" ref="AT137:AT162" si="52">+L137+S137+G137+AM137+AP137+AS137+V137+AE137+AI137+AJ137</f>
        <v>0</v>
      </c>
      <c r="AU137" s="310"/>
    </row>
    <row r="138" spans="1:48" s="311" customFormat="1" ht="18" hidden="1" customHeight="1" x14ac:dyDescent="0.25">
      <c r="A138" s="237">
        <v>61502</v>
      </c>
      <c r="B138" s="902" t="s">
        <v>196</v>
      </c>
      <c r="C138" s="362">
        <v>0</v>
      </c>
      <c r="D138" s="331">
        <v>0</v>
      </c>
      <c r="E138" s="331">
        <v>0</v>
      </c>
      <c r="F138" s="331">
        <v>0</v>
      </c>
      <c r="G138" s="363">
        <v>0</v>
      </c>
      <c r="H138" s="344">
        <v>0</v>
      </c>
      <c r="I138" s="334">
        <v>0</v>
      </c>
      <c r="J138" s="334">
        <v>0</v>
      </c>
      <c r="K138" s="334">
        <v>0</v>
      </c>
      <c r="L138" s="320">
        <f t="shared" si="47"/>
        <v>0</v>
      </c>
      <c r="M138" s="339">
        <v>0</v>
      </c>
      <c r="N138" s="338">
        <v>0</v>
      </c>
      <c r="O138" s="338">
        <v>0</v>
      </c>
      <c r="P138" s="338">
        <v>0</v>
      </c>
      <c r="Q138" s="338">
        <v>0</v>
      </c>
      <c r="R138" s="338">
        <v>0</v>
      </c>
      <c r="S138" s="323">
        <f t="shared" si="51"/>
        <v>0</v>
      </c>
      <c r="T138" s="338"/>
      <c r="U138" s="338"/>
      <c r="V138" s="367">
        <f t="shared" ref="V138:V159" si="53">+T138+U138</f>
        <v>0</v>
      </c>
      <c r="W138" s="338"/>
      <c r="X138" s="338"/>
      <c r="Y138" s="339"/>
      <c r="Z138" s="328">
        <f t="shared" ref="Z138:Z159" si="54">+W138+X138</f>
        <v>0</v>
      </c>
      <c r="AA138" s="338"/>
      <c r="AB138" s="338"/>
      <c r="AC138" s="338"/>
      <c r="AD138" s="338"/>
      <c r="AE138" s="338">
        <v>0</v>
      </c>
      <c r="AF138" s="337"/>
      <c r="AG138" s="337">
        <v>0</v>
      </c>
      <c r="AH138" s="337">
        <v>0</v>
      </c>
      <c r="AI138" s="325">
        <f t="shared" si="36"/>
        <v>0</v>
      </c>
      <c r="AJ138" s="337"/>
      <c r="AK138" s="341"/>
      <c r="AL138" s="338"/>
      <c r="AM138" s="327"/>
      <c r="AN138" s="337"/>
      <c r="AO138" s="338"/>
      <c r="AP138" s="328"/>
      <c r="AQ138" s="341"/>
      <c r="AR138" s="338"/>
      <c r="AS138" s="328"/>
      <c r="AT138" s="368">
        <f t="shared" si="52"/>
        <v>0</v>
      </c>
      <c r="AU138" s="310"/>
    </row>
    <row r="139" spans="1:48" s="311" customFormat="1" ht="18" hidden="1" customHeight="1" x14ac:dyDescent="0.25">
      <c r="A139" s="237">
        <v>61503</v>
      </c>
      <c r="B139" s="902" t="s">
        <v>197</v>
      </c>
      <c r="C139" s="362">
        <v>0</v>
      </c>
      <c r="D139" s="331">
        <v>0</v>
      </c>
      <c r="E139" s="331">
        <v>0</v>
      </c>
      <c r="F139" s="331">
        <v>0</v>
      </c>
      <c r="G139" s="363">
        <v>0</v>
      </c>
      <c r="H139" s="344">
        <v>0</v>
      </c>
      <c r="I139" s="334">
        <v>0</v>
      </c>
      <c r="J139" s="334">
        <v>0</v>
      </c>
      <c r="K139" s="334">
        <v>0</v>
      </c>
      <c r="L139" s="320">
        <f t="shared" si="47"/>
        <v>0</v>
      </c>
      <c r="M139" s="339">
        <v>0</v>
      </c>
      <c r="N139" s="338">
        <v>0</v>
      </c>
      <c r="O139" s="338">
        <v>0</v>
      </c>
      <c r="P139" s="338">
        <v>0</v>
      </c>
      <c r="Q139" s="338">
        <v>0</v>
      </c>
      <c r="R139" s="338">
        <v>0</v>
      </c>
      <c r="S139" s="323">
        <f t="shared" si="51"/>
        <v>0</v>
      </c>
      <c r="T139" s="338"/>
      <c r="U139" s="338"/>
      <c r="V139" s="367">
        <f t="shared" si="53"/>
        <v>0</v>
      </c>
      <c r="W139" s="338"/>
      <c r="X139" s="338"/>
      <c r="Y139" s="339"/>
      <c r="Z139" s="328">
        <f t="shared" si="54"/>
        <v>0</v>
      </c>
      <c r="AA139" s="338"/>
      <c r="AB139" s="338"/>
      <c r="AC139" s="338"/>
      <c r="AD139" s="338"/>
      <c r="AE139" s="338">
        <v>0</v>
      </c>
      <c r="AF139" s="337"/>
      <c r="AG139" s="337">
        <v>0</v>
      </c>
      <c r="AH139" s="337">
        <v>0</v>
      </c>
      <c r="AI139" s="325">
        <f t="shared" si="36"/>
        <v>0</v>
      </c>
      <c r="AJ139" s="337"/>
      <c r="AK139" s="341"/>
      <c r="AL139" s="338"/>
      <c r="AM139" s="327"/>
      <c r="AN139" s="337"/>
      <c r="AO139" s="338"/>
      <c r="AP139" s="328"/>
      <c r="AQ139" s="341"/>
      <c r="AR139" s="338"/>
      <c r="AS139" s="328"/>
      <c r="AT139" s="368">
        <f t="shared" si="52"/>
        <v>0</v>
      </c>
      <c r="AU139" s="310"/>
    </row>
    <row r="140" spans="1:48" s="311" customFormat="1" ht="18" customHeight="1" x14ac:dyDescent="0.25">
      <c r="A140" s="237">
        <v>61599</v>
      </c>
      <c r="B140" s="902" t="s">
        <v>198</v>
      </c>
      <c r="C140" s="362">
        <v>0</v>
      </c>
      <c r="D140" s="331">
        <v>0</v>
      </c>
      <c r="E140" s="331">
        <v>0</v>
      </c>
      <c r="F140" s="331">
        <v>0</v>
      </c>
      <c r="G140" s="363">
        <v>0</v>
      </c>
      <c r="H140" s="344">
        <v>0</v>
      </c>
      <c r="I140" s="334">
        <v>0</v>
      </c>
      <c r="J140" s="334">
        <v>0</v>
      </c>
      <c r="K140" s="334">
        <v>0</v>
      </c>
      <c r="L140" s="320">
        <f t="shared" si="47"/>
        <v>0</v>
      </c>
      <c r="M140" s="339">
        <f>'AG3'!E43+'AG3'!E40</f>
        <v>67028.31</v>
      </c>
      <c r="N140" s="338">
        <v>0</v>
      </c>
      <c r="O140" s="338">
        <v>0</v>
      </c>
      <c r="P140" s="338">
        <v>0</v>
      </c>
      <c r="Q140" s="338">
        <v>0</v>
      </c>
      <c r="R140" s="338">
        <v>0</v>
      </c>
      <c r="S140" s="323">
        <f>M140+N140+O140+P140+Q140+R140</f>
        <v>67028.31</v>
      </c>
      <c r="T140" s="338"/>
      <c r="U140" s="338"/>
      <c r="V140" s="367">
        <f t="shared" si="53"/>
        <v>0</v>
      </c>
      <c r="W140" s="338"/>
      <c r="X140" s="338"/>
      <c r="Y140" s="339"/>
      <c r="Z140" s="328">
        <f t="shared" si="54"/>
        <v>0</v>
      </c>
      <c r="AA140" s="338"/>
      <c r="AB140" s="338"/>
      <c r="AC140" s="338"/>
      <c r="AD140" s="338"/>
      <c r="AE140" s="338">
        <v>0</v>
      </c>
      <c r="AF140" s="337"/>
      <c r="AG140" s="337">
        <v>0</v>
      </c>
      <c r="AH140" s="337">
        <v>0</v>
      </c>
      <c r="AI140" s="340">
        <f t="shared" si="36"/>
        <v>0</v>
      </c>
      <c r="AJ140" s="337"/>
      <c r="AK140" s="341"/>
      <c r="AL140" s="338"/>
      <c r="AM140" s="327"/>
      <c r="AN140" s="337"/>
      <c r="AO140" s="338"/>
      <c r="AP140" s="328"/>
      <c r="AQ140" s="341"/>
      <c r="AR140" s="338"/>
      <c r="AS140" s="328"/>
      <c r="AT140" s="391">
        <f>+L140+S140+G140+AM140+AP140+AS140+V140+AE140+AI140+AJ140</f>
        <v>67028.31</v>
      </c>
      <c r="AU140" s="310"/>
    </row>
    <row r="141" spans="1:48" s="311" customFormat="1" ht="18" customHeight="1" x14ac:dyDescent="0.25">
      <c r="A141" s="235">
        <v>616</v>
      </c>
      <c r="B141" s="904" t="s">
        <v>199</v>
      </c>
      <c r="C141" s="361">
        <v>0</v>
      </c>
      <c r="D141" s="315">
        <v>0</v>
      </c>
      <c r="E141" s="315">
        <v>0</v>
      </c>
      <c r="F141" s="331">
        <f>F143</f>
        <v>0</v>
      </c>
      <c r="G141" s="364">
        <f>G143</f>
        <v>0</v>
      </c>
      <c r="H141" s="343">
        <v>0</v>
      </c>
      <c r="I141" s="318">
        <v>0</v>
      </c>
      <c r="J141" s="318">
        <v>0</v>
      </c>
      <c r="K141" s="318">
        <v>0</v>
      </c>
      <c r="L141" s="882">
        <f>K141</f>
        <v>0</v>
      </c>
      <c r="M141" s="322">
        <f>M142+M143+M144+M145+M146+M147+M148+M149</f>
        <v>0</v>
      </c>
      <c r="N141" s="995">
        <f>SUM(N142:N149)</f>
        <v>752713.23</v>
      </c>
      <c r="O141" s="322">
        <f>O142</f>
        <v>312093.67</v>
      </c>
      <c r="P141" s="338">
        <v>0</v>
      </c>
      <c r="Q141" s="338">
        <v>0</v>
      </c>
      <c r="R141" s="338">
        <v>0</v>
      </c>
      <c r="S141" s="323">
        <f>M141+N141+O141+P141+Q141+R141</f>
        <v>1064806.8999999999</v>
      </c>
      <c r="T141" s="322">
        <f>T143+T142</f>
        <v>108857.97</v>
      </c>
      <c r="U141" s="995">
        <f>U142</f>
        <v>311077.58</v>
      </c>
      <c r="V141" s="1004">
        <f>+T141+U141</f>
        <v>419935.55000000005</v>
      </c>
      <c r="W141" s="995">
        <f>SUM(W142:W149)</f>
        <v>5003.24</v>
      </c>
      <c r="X141" s="995">
        <f t="shared" ref="X141" si="55">SUM(X142:X149)</f>
        <v>0</v>
      </c>
      <c r="Y141" s="995">
        <f>SUM(Y142:Y149)</f>
        <v>16508.849999999999</v>
      </c>
      <c r="Z141" s="1005">
        <f>W141+X141+Y141</f>
        <v>21512.089999999997</v>
      </c>
      <c r="AA141" s="995">
        <f>SUM(AA142:AA149)</f>
        <v>26365.969799999999</v>
      </c>
      <c r="AB141" s="995">
        <f>SUM(AB142:AB149)</f>
        <v>258473.63</v>
      </c>
      <c r="AC141" s="995">
        <f>SUM(AA141:AB141)</f>
        <v>284839.59980000003</v>
      </c>
      <c r="AD141" s="995">
        <f>SUM(AD142:AD149)</f>
        <v>58064.15</v>
      </c>
      <c r="AE141" s="995">
        <f>AE142+AE143+AE144+AE145+AE146+AE147+AE148+AE149</f>
        <v>0</v>
      </c>
      <c r="AF141" s="1006">
        <f>SUM(AD141:AE141)</f>
        <v>58064.15</v>
      </c>
      <c r="AG141" s="1006">
        <f>AG142+AG143+AG144+AG145+AG146+AG147+AG148+AG149</f>
        <v>691105.89000000013</v>
      </c>
      <c r="AH141" s="1006">
        <f>AH142+AH143+AH144+AH145+AH146+AH147+AH148+AH149</f>
        <v>299172.06</v>
      </c>
      <c r="AI141" s="1007">
        <f>+AG141+AH141</f>
        <v>990277.95000000019</v>
      </c>
      <c r="AJ141" s="1006">
        <f>AJ142+AJ143+AJ144+AJ145+AJ146+AJ147+AJ148+AJ149</f>
        <v>0</v>
      </c>
      <c r="AK141" s="1008">
        <f>SUM(M141:S141)</f>
        <v>2129613.7999999998</v>
      </c>
      <c r="AL141" s="992"/>
      <c r="AM141" s="1009"/>
      <c r="AN141" s="1010"/>
      <c r="AO141" s="992"/>
      <c r="AP141" s="1011"/>
      <c r="AQ141" s="1008"/>
      <c r="AR141" s="992"/>
      <c r="AS141" s="1011"/>
      <c r="AT141" s="1012">
        <f>AI141+AF141+AC141+Z141+V141+S141+L141+G141</f>
        <v>2839436.2398000006</v>
      </c>
      <c r="AU141" s="998"/>
      <c r="AV141" s="999"/>
    </row>
    <row r="142" spans="1:48" s="311" customFormat="1" ht="18" customHeight="1" x14ac:dyDescent="0.25">
      <c r="A142" s="237">
        <v>61601</v>
      </c>
      <c r="B142" s="902" t="s">
        <v>200</v>
      </c>
      <c r="C142" s="362">
        <v>0</v>
      </c>
      <c r="D142" s="331">
        <v>0</v>
      </c>
      <c r="E142" s="331">
        <v>0</v>
      </c>
      <c r="F142" s="331">
        <v>0</v>
      </c>
      <c r="G142" s="363">
        <v>0</v>
      </c>
      <c r="H142" s="344">
        <v>0</v>
      </c>
      <c r="I142" s="334">
        <v>0</v>
      </c>
      <c r="J142" s="334">
        <v>0</v>
      </c>
      <c r="K142" s="334">
        <v>0</v>
      </c>
      <c r="L142" s="882">
        <f t="shared" si="47"/>
        <v>0</v>
      </c>
      <c r="M142" s="338">
        <v>0</v>
      </c>
      <c r="N142" s="883"/>
      <c r="O142" s="338">
        <f>'AG4'!E14+'AG4'!E17+'AG4'!E45+'AG4'!E48+'AG4'!E52</f>
        <v>312093.67</v>
      </c>
      <c r="P142" s="338">
        <v>0</v>
      </c>
      <c r="Q142" s="338">
        <v>0</v>
      </c>
      <c r="R142" s="338">
        <v>0</v>
      </c>
      <c r="S142" s="323">
        <f t="shared" si="51"/>
        <v>312093.67</v>
      </c>
      <c r="T142" s="338"/>
      <c r="U142" s="992">
        <f>'AG4'!F51</f>
        <v>311077.58</v>
      </c>
      <c r="V142" s="367">
        <f>+T142+U142</f>
        <v>311077.58</v>
      </c>
      <c r="W142" s="338"/>
      <c r="X142" s="338"/>
      <c r="Y142" s="339"/>
      <c r="Z142" s="328">
        <f t="shared" si="54"/>
        <v>0</v>
      </c>
      <c r="AA142" s="338"/>
      <c r="AB142" s="338"/>
      <c r="AC142" s="338"/>
      <c r="AD142" s="338"/>
      <c r="AE142" s="338">
        <v>0</v>
      </c>
      <c r="AF142" s="321">
        <f t="shared" ref="AF142:AF148" si="56">SUM(AD142:AE142)</f>
        <v>0</v>
      </c>
      <c r="AG142" s="337">
        <v>0</v>
      </c>
      <c r="AH142" s="337">
        <f>'AG4'!H20+'AG4'!H24+'AG4'!H27+'AG4'!H30</f>
        <v>299172.06</v>
      </c>
      <c r="AI142" s="340">
        <f t="shared" si="36"/>
        <v>299172.06</v>
      </c>
      <c r="AJ142" s="337"/>
      <c r="AK142" s="341"/>
      <c r="AL142" s="338"/>
      <c r="AM142" s="327"/>
      <c r="AN142" s="337"/>
      <c r="AO142" s="338"/>
      <c r="AP142" s="328"/>
      <c r="AQ142" s="341"/>
      <c r="AR142" s="338"/>
      <c r="AS142" s="328"/>
      <c r="AT142" s="391">
        <f>AI142+AF142+AC142+Z142+V142+S142+L142+G142</f>
        <v>922343.31</v>
      </c>
      <c r="AU142" s="310"/>
    </row>
    <row r="143" spans="1:48" s="311" customFormat="1" ht="18" customHeight="1" x14ac:dyDescent="0.25">
      <c r="A143" s="237">
        <v>61602</v>
      </c>
      <c r="B143" s="902" t="s">
        <v>201</v>
      </c>
      <c r="C143" s="345">
        <v>0</v>
      </c>
      <c r="D143" s="331">
        <v>0</v>
      </c>
      <c r="E143" s="331">
        <v>0</v>
      </c>
      <c r="F143" s="331">
        <v>0</v>
      </c>
      <c r="G143" s="363">
        <v>0</v>
      </c>
      <c r="H143" s="344">
        <v>0</v>
      </c>
      <c r="I143" s="334">
        <v>0</v>
      </c>
      <c r="J143" s="334">
        <v>0</v>
      </c>
      <c r="K143" s="334">
        <v>0</v>
      </c>
      <c r="L143" s="320">
        <f>K143</f>
        <v>0</v>
      </c>
      <c r="M143" s="339">
        <v>0</v>
      </c>
      <c r="N143" s="338">
        <f>'AG3'!E51+'AG3'!E61+'AG3'!E64+'AG3'!E67+'AG3'!E71+'AG3'!E74+'AG3'!E80+'AG3'!E83+'AG3'!E87</f>
        <v>542804.42999999993</v>
      </c>
      <c r="O143" s="338"/>
      <c r="P143" s="338">
        <v>0</v>
      </c>
      <c r="Q143" s="338">
        <v>0</v>
      </c>
      <c r="R143" s="338">
        <v>0</v>
      </c>
      <c r="S143" s="323">
        <f t="shared" si="51"/>
        <v>542804.42999999993</v>
      </c>
      <c r="T143" s="338">
        <f>'AG3'!F78</f>
        <v>108857.97</v>
      </c>
      <c r="U143" s="338">
        <v>0</v>
      </c>
      <c r="V143" s="367">
        <f>+T143+U143</f>
        <v>108857.97</v>
      </c>
      <c r="W143" s="338">
        <f>'AG3'!N78</f>
        <v>0</v>
      </c>
      <c r="X143" s="338"/>
      <c r="Y143" s="339"/>
      <c r="Z143" s="328">
        <f t="shared" si="54"/>
        <v>0</v>
      </c>
      <c r="AA143" s="338"/>
      <c r="AB143" s="338"/>
      <c r="AC143" s="338"/>
      <c r="AD143" s="338"/>
      <c r="AE143" s="338">
        <v>0</v>
      </c>
      <c r="AF143" s="321">
        <f t="shared" si="56"/>
        <v>0</v>
      </c>
      <c r="AG143" s="337">
        <v>0</v>
      </c>
      <c r="AH143" s="337">
        <v>0</v>
      </c>
      <c r="AI143" s="340">
        <f t="shared" si="36"/>
        <v>0</v>
      </c>
      <c r="AJ143" s="337"/>
      <c r="AK143" s="341"/>
      <c r="AL143" s="338"/>
      <c r="AM143" s="327"/>
      <c r="AN143" s="337"/>
      <c r="AO143" s="338"/>
      <c r="AP143" s="328"/>
      <c r="AQ143" s="341"/>
      <c r="AR143" s="338"/>
      <c r="AS143" s="328"/>
      <c r="AT143" s="391">
        <f t="shared" ref="AT143" si="57">AI143+AF143+AC143+Z143+V143+S143+L143+G143</f>
        <v>651662.39999999991</v>
      </c>
      <c r="AU143" s="310"/>
    </row>
    <row r="144" spans="1:48" s="311" customFormat="1" ht="18" customHeight="1" x14ac:dyDescent="0.25">
      <c r="A144" s="237">
        <v>61603</v>
      </c>
      <c r="B144" s="902" t="s">
        <v>202</v>
      </c>
      <c r="C144" s="362">
        <v>0</v>
      </c>
      <c r="D144" s="331">
        <v>0</v>
      </c>
      <c r="E144" s="331">
        <v>0</v>
      </c>
      <c r="F144" s="331">
        <v>0</v>
      </c>
      <c r="G144" s="363">
        <v>0</v>
      </c>
      <c r="H144" s="344">
        <v>0</v>
      </c>
      <c r="I144" s="334">
        <v>0</v>
      </c>
      <c r="J144" s="334">
        <v>0</v>
      </c>
      <c r="K144" s="334">
        <v>0</v>
      </c>
      <c r="L144" s="320">
        <f t="shared" si="47"/>
        <v>0</v>
      </c>
      <c r="M144" s="339">
        <v>0</v>
      </c>
      <c r="N144" s="338">
        <f>'AG3'!E140</f>
        <v>1000</v>
      </c>
      <c r="O144" s="338">
        <v>0</v>
      </c>
      <c r="P144" s="338">
        <v>0</v>
      </c>
      <c r="Q144" s="338">
        <v>0</v>
      </c>
      <c r="R144" s="338">
        <v>0</v>
      </c>
      <c r="S144" s="323">
        <f>M144+N144+O144+P144+Q144+R144</f>
        <v>1000</v>
      </c>
      <c r="T144" s="338"/>
      <c r="U144" s="338"/>
      <c r="V144" s="367">
        <f t="shared" si="53"/>
        <v>0</v>
      </c>
      <c r="W144" s="338"/>
      <c r="X144" s="338"/>
      <c r="Y144" s="339"/>
      <c r="Z144" s="328">
        <f t="shared" si="54"/>
        <v>0</v>
      </c>
      <c r="AA144" s="338"/>
      <c r="AB144" s="338"/>
      <c r="AC144" s="338"/>
      <c r="AD144" s="338"/>
      <c r="AE144" s="338">
        <v>0</v>
      </c>
      <c r="AF144" s="321">
        <f t="shared" si="56"/>
        <v>0</v>
      </c>
      <c r="AG144" s="1010">
        <f>'AG3'!O48</f>
        <v>454086.71</v>
      </c>
      <c r="AH144" s="337">
        <v>0</v>
      </c>
      <c r="AI144" s="340">
        <f>+AG144+AH144</f>
        <v>454086.71</v>
      </c>
      <c r="AJ144" s="337"/>
      <c r="AK144" s="341"/>
      <c r="AL144" s="338"/>
      <c r="AM144" s="327"/>
      <c r="AN144" s="337"/>
      <c r="AO144" s="338"/>
      <c r="AP144" s="328"/>
      <c r="AQ144" s="341"/>
      <c r="AR144" s="338"/>
      <c r="AS144" s="328"/>
      <c r="AT144" s="391">
        <f>AI144+AF144+AC144+Z144+V144+S144+L144+G144</f>
        <v>455086.71</v>
      </c>
      <c r="AU144" s="310"/>
    </row>
    <row r="145" spans="1:47" s="311" customFormat="1" ht="18" customHeight="1" x14ac:dyDescent="0.25">
      <c r="A145" s="237">
        <v>61604</v>
      </c>
      <c r="B145" s="902" t="s">
        <v>203</v>
      </c>
      <c r="C145" s="362">
        <v>0</v>
      </c>
      <c r="D145" s="331">
        <v>0</v>
      </c>
      <c r="E145" s="331">
        <v>0</v>
      </c>
      <c r="F145" s="331">
        <v>0</v>
      </c>
      <c r="G145" s="363">
        <v>0</v>
      </c>
      <c r="H145" s="344">
        <v>0</v>
      </c>
      <c r="I145" s="334">
        <v>0</v>
      </c>
      <c r="J145" s="334">
        <v>0</v>
      </c>
      <c r="K145" s="334">
        <v>0</v>
      </c>
      <c r="L145" s="320">
        <f t="shared" si="47"/>
        <v>0</v>
      </c>
      <c r="M145" s="337">
        <v>0</v>
      </c>
      <c r="N145" s="338"/>
      <c r="O145" s="338">
        <v>0</v>
      </c>
      <c r="P145" s="338">
        <v>0</v>
      </c>
      <c r="Q145" s="338">
        <v>0</v>
      </c>
      <c r="R145" s="338">
        <v>0</v>
      </c>
      <c r="S145" s="323">
        <f t="shared" si="51"/>
        <v>0</v>
      </c>
      <c r="T145" s="338"/>
      <c r="U145" s="338"/>
      <c r="V145" s="367">
        <f t="shared" si="53"/>
        <v>0</v>
      </c>
      <c r="W145" s="338"/>
      <c r="X145" s="338"/>
      <c r="Y145" s="339"/>
      <c r="Z145" s="328">
        <f t="shared" si="54"/>
        <v>0</v>
      </c>
      <c r="AA145" s="338"/>
      <c r="AB145" s="338"/>
      <c r="AC145" s="338"/>
      <c r="AD145" s="338"/>
      <c r="AE145" s="338">
        <v>0</v>
      </c>
      <c r="AF145" s="321">
        <f t="shared" si="56"/>
        <v>0</v>
      </c>
      <c r="AG145" s="337">
        <v>0</v>
      </c>
      <c r="AH145" s="337">
        <v>0</v>
      </c>
      <c r="AI145" s="340">
        <f t="shared" ref="AI145:AI153" si="58">+AG145+AH145</f>
        <v>0</v>
      </c>
      <c r="AJ145" s="337"/>
      <c r="AK145" s="341"/>
      <c r="AL145" s="338"/>
      <c r="AM145" s="327"/>
      <c r="AN145" s="337"/>
      <c r="AO145" s="338"/>
      <c r="AP145" s="328"/>
      <c r="AQ145" s="341"/>
      <c r="AR145" s="338"/>
      <c r="AS145" s="328"/>
      <c r="AT145" s="391">
        <f t="shared" ref="AT145:AT149" si="59">AI145+AF145+AC145+Z145+V145+S145+L145+G145</f>
        <v>0</v>
      </c>
      <c r="AU145" s="310"/>
    </row>
    <row r="146" spans="1:47" s="311" customFormat="1" ht="18" customHeight="1" x14ac:dyDescent="0.25">
      <c r="A146" s="237">
        <v>61606</v>
      </c>
      <c r="B146" s="902" t="s">
        <v>204</v>
      </c>
      <c r="C146" s="362">
        <v>0</v>
      </c>
      <c r="D146" s="331">
        <v>0</v>
      </c>
      <c r="E146" s="331">
        <v>0</v>
      </c>
      <c r="F146" s="331">
        <v>0</v>
      </c>
      <c r="G146" s="363">
        <v>0</v>
      </c>
      <c r="H146" s="344">
        <v>0</v>
      </c>
      <c r="I146" s="334">
        <v>0</v>
      </c>
      <c r="J146" s="334">
        <v>0</v>
      </c>
      <c r="K146" s="334">
        <v>0</v>
      </c>
      <c r="L146" s="320">
        <f t="shared" si="47"/>
        <v>0</v>
      </c>
      <c r="M146" s="337">
        <v>0</v>
      </c>
      <c r="N146" s="338">
        <f>'AG3'!E151</f>
        <v>21144.639999999999</v>
      </c>
      <c r="O146" s="338"/>
      <c r="P146" s="338">
        <v>0</v>
      </c>
      <c r="Q146" s="338">
        <v>0</v>
      </c>
      <c r="R146" s="338">
        <v>0</v>
      </c>
      <c r="S146" s="323">
        <f t="shared" si="51"/>
        <v>21144.639999999999</v>
      </c>
      <c r="T146" s="338"/>
      <c r="U146" s="338"/>
      <c r="V146" s="367">
        <f t="shared" si="53"/>
        <v>0</v>
      </c>
      <c r="W146" s="338"/>
      <c r="X146" s="338"/>
      <c r="Y146" s="339"/>
      <c r="Z146" s="328">
        <f t="shared" si="54"/>
        <v>0</v>
      </c>
      <c r="AA146" s="338"/>
      <c r="AB146" s="338"/>
      <c r="AC146" s="338"/>
      <c r="AD146" s="338"/>
      <c r="AE146" s="338">
        <v>0</v>
      </c>
      <c r="AF146" s="321">
        <f t="shared" si="56"/>
        <v>0</v>
      </c>
      <c r="AG146" s="1010">
        <f>'AG3'!O153</f>
        <v>182403.12</v>
      </c>
      <c r="AH146" s="337">
        <v>0</v>
      </c>
      <c r="AI146" s="340">
        <f t="shared" si="58"/>
        <v>182403.12</v>
      </c>
      <c r="AJ146" s="337"/>
      <c r="AK146" s="341"/>
      <c r="AL146" s="338"/>
      <c r="AM146" s="327"/>
      <c r="AN146" s="337"/>
      <c r="AO146" s="338"/>
      <c r="AP146" s="328"/>
      <c r="AQ146" s="341"/>
      <c r="AR146" s="338"/>
      <c r="AS146" s="328"/>
      <c r="AT146" s="391">
        <f t="shared" si="59"/>
        <v>203547.76</v>
      </c>
      <c r="AU146" s="310"/>
    </row>
    <row r="147" spans="1:47" s="311" customFormat="1" ht="18" hidden="1" customHeight="1" x14ac:dyDescent="0.25">
      <c r="A147" s="237">
        <v>61607</v>
      </c>
      <c r="B147" s="903" t="s">
        <v>205</v>
      </c>
      <c r="C147" s="362">
        <v>0</v>
      </c>
      <c r="D147" s="331">
        <v>0</v>
      </c>
      <c r="E147" s="331">
        <v>0</v>
      </c>
      <c r="F147" s="331">
        <v>0</v>
      </c>
      <c r="G147" s="363">
        <v>0</v>
      </c>
      <c r="H147" s="344">
        <v>0</v>
      </c>
      <c r="I147" s="334">
        <v>0</v>
      </c>
      <c r="J147" s="334">
        <v>0</v>
      </c>
      <c r="K147" s="334">
        <v>0</v>
      </c>
      <c r="L147" s="320">
        <f t="shared" si="47"/>
        <v>0</v>
      </c>
      <c r="M147" s="337">
        <v>0</v>
      </c>
      <c r="N147" s="338">
        <v>0</v>
      </c>
      <c r="O147" s="338">
        <v>0</v>
      </c>
      <c r="P147" s="338">
        <v>0</v>
      </c>
      <c r="Q147" s="338">
        <v>0</v>
      </c>
      <c r="R147" s="338">
        <v>0</v>
      </c>
      <c r="S147" s="323">
        <f t="shared" si="51"/>
        <v>0</v>
      </c>
      <c r="T147" s="338"/>
      <c r="U147" s="338"/>
      <c r="V147" s="367">
        <f t="shared" si="53"/>
        <v>0</v>
      </c>
      <c r="W147" s="338"/>
      <c r="X147" s="338"/>
      <c r="Y147" s="339"/>
      <c r="Z147" s="328">
        <f t="shared" si="54"/>
        <v>0</v>
      </c>
      <c r="AA147" s="338"/>
      <c r="AB147" s="338"/>
      <c r="AC147" s="338"/>
      <c r="AD147" s="338"/>
      <c r="AE147" s="338">
        <v>0</v>
      </c>
      <c r="AF147" s="321">
        <f t="shared" si="56"/>
        <v>0</v>
      </c>
      <c r="AG147" s="337">
        <v>0</v>
      </c>
      <c r="AH147" s="337">
        <v>0</v>
      </c>
      <c r="AI147" s="340">
        <f t="shared" si="58"/>
        <v>0</v>
      </c>
      <c r="AJ147" s="337"/>
      <c r="AK147" s="341"/>
      <c r="AL147" s="338"/>
      <c r="AM147" s="327"/>
      <c r="AN147" s="337"/>
      <c r="AO147" s="338"/>
      <c r="AP147" s="328"/>
      <c r="AQ147" s="341"/>
      <c r="AR147" s="338"/>
      <c r="AS147" s="328"/>
      <c r="AT147" s="391">
        <f t="shared" si="59"/>
        <v>0</v>
      </c>
      <c r="AU147" s="310"/>
    </row>
    <row r="148" spans="1:47" s="311" customFormat="1" ht="18" hidden="1" customHeight="1" x14ac:dyDescent="0.25">
      <c r="A148" s="237">
        <v>61608</v>
      </c>
      <c r="B148" s="903" t="s">
        <v>206</v>
      </c>
      <c r="C148" s="362">
        <v>0</v>
      </c>
      <c r="D148" s="331">
        <v>0</v>
      </c>
      <c r="E148" s="331">
        <v>0</v>
      </c>
      <c r="F148" s="331">
        <v>0</v>
      </c>
      <c r="G148" s="363">
        <v>0</v>
      </c>
      <c r="H148" s="344">
        <v>0</v>
      </c>
      <c r="I148" s="334">
        <v>0</v>
      </c>
      <c r="J148" s="334">
        <v>0</v>
      </c>
      <c r="K148" s="334">
        <v>0</v>
      </c>
      <c r="L148" s="320">
        <f t="shared" si="47"/>
        <v>0</v>
      </c>
      <c r="M148" s="337">
        <v>0</v>
      </c>
      <c r="N148" s="338">
        <v>0</v>
      </c>
      <c r="O148" s="338">
        <v>0</v>
      </c>
      <c r="P148" s="338">
        <v>0</v>
      </c>
      <c r="Q148" s="338">
        <v>0</v>
      </c>
      <c r="R148" s="338">
        <v>0</v>
      </c>
      <c r="S148" s="323">
        <f t="shared" si="51"/>
        <v>0</v>
      </c>
      <c r="T148" s="338"/>
      <c r="U148" s="338"/>
      <c r="V148" s="367">
        <f t="shared" si="53"/>
        <v>0</v>
      </c>
      <c r="W148" s="338"/>
      <c r="X148" s="338"/>
      <c r="Y148" s="339"/>
      <c r="Z148" s="328">
        <f t="shared" si="54"/>
        <v>0</v>
      </c>
      <c r="AA148" s="338"/>
      <c r="AB148" s="338"/>
      <c r="AC148" s="338"/>
      <c r="AD148" s="338"/>
      <c r="AE148" s="338">
        <v>0</v>
      </c>
      <c r="AF148" s="321">
        <f t="shared" si="56"/>
        <v>0</v>
      </c>
      <c r="AG148" s="337">
        <v>0</v>
      </c>
      <c r="AH148" s="337">
        <v>0</v>
      </c>
      <c r="AI148" s="340">
        <f t="shared" si="58"/>
        <v>0</v>
      </c>
      <c r="AJ148" s="337"/>
      <c r="AK148" s="341"/>
      <c r="AL148" s="338"/>
      <c r="AM148" s="327"/>
      <c r="AN148" s="337"/>
      <c r="AO148" s="338"/>
      <c r="AP148" s="328"/>
      <c r="AQ148" s="341"/>
      <c r="AR148" s="338"/>
      <c r="AS148" s="328"/>
      <c r="AT148" s="391">
        <f t="shared" si="59"/>
        <v>0</v>
      </c>
      <c r="AU148" s="310"/>
    </row>
    <row r="149" spans="1:47" s="311" customFormat="1" ht="18" customHeight="1" x14ac:dyDescent="0.25">
      <c r="A149" s="237">
        <v>61699</v>
      </c>
      <c r="B149" s="903" t="s">
        <v>207</v>
      </c>
      <c r="C149" s="362">
        <v>0</v>
      </c>
      <c r="D149" s="331">
        <v>0</v>
      </c>
      <c r="E149" s="331">
        <v>0</v>
      </c>
      <c r="F149" s="331">
        <v>0</v>
      </c>
      <c r="G149" s="363">
        <v>0</v>
      </c>
      <c r="H149" s="344">
        <v>0</v>
      </c>
      <c r="I149" s="334">
        <v>0</v>
      </c>
      <c r="J149" s="334">
        <v>0</v>
      </c>
      <c r="K149" s="334">
        <v>0</v>
      </c>
      <c r="L149" s="320">
        <f t="shared" si="47"/>
        <v>0</v>
      </c>
      <c r="M149" s="337">
        <v>0</v>
      </c>
      <c r="N149" s="992">
        <f>'AG3'!E156+'AG3'!E161+'AG3'!E164+'AG3'!E167+'AG3'!E170+'AG3'!E179+'AG3'!E201</f>
        <v>187764.16</v>
      </c>
      <c r="O149" s="338"/>
      <c r="P149" s="338">
        <v>0</v>
      </c>
      <c r="Q149" s="338">
        <v>0</v>
      </c>
      <c r="R149" s="338">
        <v>0</v>
      </c>
      <c r="S149" s="323">
        <f t="shared" si="51"/>
        <v>187764.16</v>
      </c>
      <c r="T149" s="338"/>
      <c r="U149" s="338"/>
      <c r="V149" s="367">
        <f t="shared" si="53"/>
        <v>0</v>
      </c>
      <c r="W149" s="338">
        <f>'AG3'!H182+'AG3'!H185</f>
        <v>5003.24</v>
      </c>
      <c r="X149" s="338"/>
      <c r="Y149" s="338">
        <f>'AG3'!J187</f>
        <v>16508.849999999999</v>
      </c>
      <c r="Z149" s="328">
        <f>+W149+X149+Y149</f>
        <v>21512.089999999997</v>
      </c>
      <c r="AA149" s="992">
        <f>'AG3'!K190</f>
        <v>26365.969799999999</v>
      </c>
      <c r="AB149" s="992">
        <f>'AG3'!L193+'AG3'!L196+'AG3'!L199</f>
        <v>258473.63</v>
      </c>
      <c r="AC149" s="992">
        <f>SUM(AA149:AB149)</f>
        <v>284839.59980000003</v>
      </c>
      <c r="AD149" s="992">
        <f>'AG3'!M173+'AG3'!M176+'AG3'!M179</f>
        <v>58064.15</v>
      </c>
      <c r="AE149" s="338">
        <f>'AG4'!G60</f>
        <v>0</v>
      </c>
      <c r="AF149" s="1006">
        <f>SUM(AD149:AE149)</f>
        <v>58064.15</v>
      </c>
      <c r="AG149" s="337">
        <f>'AG3'!O179</f>
        <v>54616.06</v>
      </c>
      <c r="AH149" s="337">
        <f>'AG4'!H59</f>
        <v>0</v>
      </c>
      <c r="AI149" s="340">
        <f t="shared" si="58"/>
        <v>54616.06</v>
      </c>
      <c r="AJ149" s="337"/>
      <c r="AK149" s="341"/>
      <c r="AL149" s="338"/>
      <c r="AM149" s="327"/>
      <c r="AN149" s="337"/>
      <c r="AO149" s="338"/>
      <c r="AP149" s="328"/>
      <c r="AQ149" s="341"/>
      <c r="AR149" s="338"/>
      <c r="AS149" s="328"/>
      <c r="AT149" s="391">
        <f t="shared" si="59"/>
        <v>606796.05980000005</v>
      </c>
      <c r="AU149" s="310"/>
    </row>
    <row r="150" spans="1:47" s="311" customFormat="1" ht="23.25" customHeight="1" x14ac:dyDescent="0.25">
      <c r="A150" s="235">
        <v>71</v>
      </c>
      <c r="B150" s="1003" t="s">
        <v>215</v>
      </c>
      <c r="C150" s="361">
        <v>0</v>
      </c>
      <c r="D150" s="315">
        <v>0</v>
      </c>
      <c r="E150" s="315">
        <v>0</v>
      </c>
      <c r="F150" s="315">
        <v>0</v>
      </c>
      <c r="G150" s="364">
        <v>0</v>
      </c>
      <c r="H150" s="343">
        <v>0</v>
      </c>
      <c r="I150" s="318">
        <v>0</v>
      </c>
      <c r="J150" s="318">
        <v>0</v>
      </c>
      <c r="K150" s="318">
        <v>0</v>
      </c>
      <c r="L150" s="320">
        <f t="shared" si="47"/>
        <v>0</v>
      </c>
      <c r="M150" s="321">
        <f>M151</f>
        <v>0</v>
      </c>
      <c r="N150" s="322">
        <v>0</v>
      </c>
      <c r="O150" s="322">
        <v>0</v>
      </c>
      <c r="P150" s="322">
        <f>P151</f>
        <v>187095</v>
      </c>
      <c r="Q150" s="322">
        <f>Q151</f>
        <v>0</v>
      </c>
      <c r="R150" s="322">
        <f>R151</f>
        <v>0</v>
      </c>
      <c r="S150" s="349">
        <f>M150+N150+O150+P150+R150+Q150</f>
        <v>187095</v>
      </c>
      <c r="T150" s="322"/>
      <c r="U150" s="322"/>
      <c r="V150" s="897">
        <f t="shared" si="53"/>
        <v>0</v>
      </c>
      <c r="W150" s="322"/>
      <c r="X150" s="322"/>
      <c r="Y150" s="324"/>
      <c r="Z150" s="360">
        <f t="shared" si="54"/>
        <v>0</v>
      </c>
      <c r="AA150" s="322"/>
      <c r="AB150" s="322"/>
      <c r="AC150" s="322"/>
      <c r="AD150" s="322"/>
      <c r="AE150" s="322">
        <v>0</v>
      </c>
      <c r="AF150" s="321"/>
      <c r="AG150" s="321">
        <v>0</v>
      </c>
      <c r="AH150" s="321">
        <v>0</v>
      </c>
      <c r="AI150" s="325">
        <f>+AG150+AH150</f>
        <v>0</v>
      </c>
      <c r="AJ150" s="321"/>
      <c r="AK150" s="326"/>
      <c r="AL150" s="322"/>
      <c r="AM150" s="359"/>
      <c r="AN150" s="321"/>
      <c r="AO150" s="322"/>
      <c r="AP150" s="360"/>
      <c r="AQ150" s="326"/>
      <c r="AR150" s="322"/>
      <c r="AS150" s="360"/>
      <c r="AT150" s="368">
        <f>+L150+S150+G150+AM150+AP150+AS150+V150+AF150+AI150+AJ150</f>
        <v>187095</v>
      </c>
      <c r="AU150" s="310"/>
    </row>
    <row r="151" spans="1:47" s="311" customFormat="1" ht="18" customHeight="1" x14ac:dyDescent="0.25">
      <c r="A151" s="235">
        <v>713</v>
      </c>
      <c r="B151" s="905" t="s">
        <v>216</v>
      </c>
      <c r="C151" s="361">
        <v>0</v>
      </c>
      <c r="D151" s="315">
        <v>0</v>
      </c>
      <c r="E151" s="315">
        <v>0</v>
      </c>
      <c r="F151" s="315">
        <v>0</v>
      </c>
      <c r="G151" s="364">
        <v>0</v>
      </c>
      <c r="H151" s="343">
        <v>0</v>
      </c>
      <c r="I151" s="318">
        <v>0</v>
      </c>
      <c r="J151" s="318">
        <v>0</v>
      </c>
      <c r="K151" s="318">
        <v>0</v>
      </c>
      <c r="L151" s="320">
        <f t="shared" si="47"/>
        <v>0</v>
      </c>
      <c r="M151" s="321">
        <v>0</v>
      </c>
      <c r="N151" s="322"/>
      <c r="O151" s="322">
        <v>0</v>
      </c>
      <c r="P151" s="322">
        <f>SUM(P152:P154)</f>
        <v>187095</v>
      </c>
      <c r="Q151" s="322">
        <f>SUM(Q152:Q154)</f>
        <v>0</v>
      </c>
      <c r="R151" s="322">
        <f>SUM(R152:R154)</f>
        <v>0</v>
      </c>
      <c r="S151" s="349">
        <f>M151+N151+O151+P151+R151+Q151</f>
        <v>187095</v>
      </c>
      <c r="T151" s="322"/>
      <c r="U151" s="322"/>
      <c r="V151" s="897">
        <f t="shared" si="53"/>
        <v>0</v>
      </c>
      <c r="W151" s="322"/>
      <c r="X151" s="322"/>
      <c r="Y151" s="324"/>
      <c r="Z151" s="360">
        <f t="shared" si="54"/>
        <v>0</v>
      </c>
      <c r="AA151" s="322"/>
      <c r="AB151" s="322"/>
      <c r="AC151" s="322"/>
      <c r="AD151" s="322"/>
      <c r="AE151" s="338">
        <v>0</v>
      </c>
      <c r="AF151" s="337"/>
      <c r="AG151" s="337">
        <v>0</v>
      </c>
      <c r="AH151" s="337">
        <v>0</v>
      </c>
      <c r="AI151" s="325">
        <f t="shared" si="58"/>
        <v>0</v>
      </c>
      <c r="AJ151" s="337"/>
      <c r="AK151" s="341"/>
      <c r="AL151" s="338"/>
      <c r="AM151" s="327"/>
      <c r="AN151" s="337"/>
      <c r="AO151" s="338"/>
      <c r="AP151" s="328"/>
      <c r="AQ151" s="341"/>
      <c r="AR151" s="338"/>
      <c r="AS151" s="328"/>
      <c r="AT151" s="368">
        <f t="shared" si="52"/>
        <v>187095</v>
      </c>
      <c r="AU151" s="310"/>
    </row>
    <row r="152" spans="1:47" s="311" customFormat="1" ht="18" hidden="1" customHeight="1" x14ac:dyDescent="0.25">
      <c r="A152" s="237">
        <v>71303</v>
      </c>
      <c r="B152" s="903" t="s">
        <v>85</v>
      </c>
      <c r="C152" s="362"/>
      <c r="D152" s="331"/>
      <c r="E152" s="331"/>
      <c r="F152" s="331"/>
      <c r="G152" s="363"/>
      <c r="H152" s="344">
        <v>0</v>
      </c>
      <c r="I152" s="334">
        <v>0</v>
      </c>
      <c r="J152" s="334">
        <v>0</v>
      </c>
      <c r="K152" s="334">
        <v>0</v>
      </c>
      <c r="L152" s="320">
        <f t="shared" si="47"/>
        <v>0</v>
      </c>
      <c r="M152" s="337">
        <v>0</v>
      </c>
      <c r="N152" s="338">
        <v>0</v>
      </c>
      <c r="O152" s="338">
        <v>0</v>
      </c>
      <c r="P152" s="338">
        <v>0</v>
      </c>
      <c r="Q152" s="338">
        <v>0</v>
      </c>
      <c r="R152" s="338">
        <v>0</v>
      </c>
      <c r="S152" s="349">
        <f>M152+N152+O152+P152+R152</f>
        <v>0</v>
      </c>
      <c r="T152" s="338"/>
      <c r="U152" s="338"/>
      <c r="V152" s="367">
        <f t="shared" si="53"/>
        <v>0</v>
      </c>
      <c r="W152" s="338"/>
      <c r="X152" s="338"/>
      <c r="Y152" s="339"/>
      <c r="Z152" s="328">
        <f t="shared" si="54"/>
        <v>0</v>
      </c>
      <c r="AA152" s="338"/>
      <c r="AB152" s="338"/>
      <c r="AC152" s="338"/>
      <c r="AD152" s="338"/>
      <c r="AE152" s="338">
        <v>0</v>
      </c>
      <c r="AF152" s="337"/>
      <c r="AG152" s="337">
        <v>0</v>
      </c>
      <c r="AH152" s="337">
        <v>0</v>
      </c>
      <c r="AI152" s="325">
        <f t="shared" si="58"/>
        <v>0</v>
      </c>
      <c r="AJ152" s="337"/>
      <c r="AK152" s="341"/>
      <c r="AL152" s="338"/>
      <c r="AM152" s="327"/>
      <c r="AN152" s="337"/>
      <c r="AO152" s="338"/>
      <c r="AP152" s="328"/>
      <c r="AQ152" s="341"/>
      <c r="AR152" s="338"/>
      <c r="AS152" s="328"/>
      <c r="AT152" s="368">
        <f t="shared" si="52"/>
        <v>0</v>
      </c>
      <c r="AU152" s="310"/>
    </row>
    <row r="153" spans="1:47" s="311" customFormat="1" ht="18" customHeight="1" x14ac:dyDescent="0.25">
      <c r="A153" s="237">
        <v>71304</v>
      </c>
      <c r="B153" s="903" t="s">
        <v>86</v>
      </c>
      <c r="C153" s="362">
        <v>0</v>
      </c>
      <c r="D153" s="331">
        <v>0</v>
      </c>
      <c r="E153" s="331">
        <v>0</v>
      </c>
      <c r="F153" s="331">
        <v>0</v>
      </c>
      <c r="G153" s="363">
        <v>0</v>
      </c>
      <c r="H153" s="344">
        <v>0</v>
      </c>
      <c r="I153" s="334">
        <v>0</v>
      </c>
      <c r="J153" s="334">
        <v>0</v>
      </c>
      <c r="K153" s="334">
        <v>0</v>
      </c>
      <c r="L153" s="320">
        <f t="shared" si="47"/>
        <v>0</v>
      </c>
      <c r="M153" s="337">
        <v>0</v>
      </c>
      <c r="N153" s="338">
        <v>0</v>
      </c>
      <c r="O153" s="338">
        <v>0</v>
      </c>
      <c r="P153" s="338">
        <f>'AG5'!H28</f>
        <v>187095</v>
      </c>
      <c r="Q153" s="338"/>
      <c r="R153" s="338"/>
      <c r="S153" s="323">
        <f>M153+N153+O153+P153+Q153+R153</f>
        <v>187095</v>
      </c>
      <c r="T153" s="338"/>
      <c r="U153" s="338"/>
      <c r="V153" s="367">
        <f t="shared" si="53"/>
        <v>0</v>
      </c>
      <c r="W153" s="338"/>
      <c r="X153" s="338"/>
      <c r="Y153" s="339"/>
      <c r="Z153" s="328">
        <f t="shared" si="54"/>
        <v>0</v>
      </c>
      <c r="AA153" s="338"/>
      <c r="AB153" s="338"/>
      <c r="AC153" s="338"/>
      <c r="AD153" s="338"/>
      <c r="AE153" s="338">
        <v>0</v>
      </c>
      <c r="AF153" s="337"/>
      <c r="AG153" s="337">
        <v>0</v>
      </c>
      <c r="AH153" s="337">
        <v>0</v>
      </c>
      <c r="AI153" s="340">
        <f t="shared" si="58"/>
        <v>0</v>
      </c>
      <c r="AJ153" s="337"/>
      <c r="AK153" s="341"/>
      <c r="AL153" s="338"/>
      <c r="AM153" s="327"/>
      <c r="AN153" s="337"/>
      <c r="AO153" s="338"/>
      <c r="AP153" s="328"/>
      <c r="AQ153" s="341"/>
      <c r="AR153" s="338"/>
      <c r="AS153" s="328"/>
      <c r="AT153" s="391">
        <f t="shared" si="52"/>
        <v>187095</v>
      </c>
      <c r="AU153" s="310"/>
    </row>
    <row r="154" spans="1:47" s="311" customFormat="1" ht="18" hidden="1" customHeight="1" x14ac:dyDescent="0.25">
      <c r="A154" s="237">
        <v>71308</v>
      </c>
      <c r="B154" s="903" t="s">
        <v>237</v>
      </c>
      <c r="C154" s="362">
        <v>0</v>
      </c>
      <c r="D154" s="331">
        <v>0</v>
      </c>
      <c r="E154" s="331">
        <v>0</v>
      </c>
      <c r="F154" s="331">
        <v>0</v>
      </c>
      <c r="G154" s="363">
        <v>0</v>
      </c>
      <c r="H154" s="333">
        <v>0</v>
      </c>
      <c r="I154" s="334">
        <v>0</v>
      </c>
      <c r="J154" s="365">
        <v>0</v>
      </c>
      <c r="K154" s="334">
        <v>0</v>
      </c>
      <c r="L154" s="366">
        <f t="shared" si="47"/>
        <v>0</v>
      </c>
      <c r="M154" s="337">
        <v>0</v>
      </c>
      <c r="N154" s="337">
        <v>0</v>
      </c>
      <c r="O154" s="338">
        <v>0</v>
      </c>
      <c r="P154" s="338">
        <v>0</v>
      </c>
      <c r="Q154" s="328">
        <v>0</v>
      </c>
      <c r="R154" s="328">
        <v>0</v>
      </c>
      <c r="S154" s="323">
        <f t="shared" ref="S154:S162" si="60">M154+N154+O154+P154</f>
        <v>0</v>
      </c>
      <c r="T154" s="338"/>
      <c r="U154" s="338"/>
      <c r="V154" s="367">
        <f t="shared" si="53"/>
        <v>0</v>
      </c>
      <c r="W154" s="338"/>
      <c r="X154" s="338"/>
      <c r="Y154" s="339"/>
      <c r="Z154" s="328">
        <f t="shared" si="54"/>
        <v>0</v>
      </c>
      <c r="AA154" s="338"/>
      <c r="AB154" s="338"/>
      <c r="AC154" s="338"/>
      <c r="AD154" s="338"/>
      <c r="AE154" s="338">
        <v>0</v>
      </c>
      <c r="AF154" s="337"/>
      <c r="AG154" s="337">
        <v>0</v>
      </c>
      <c r="AH154" s="337">
        <v>0</v>
      </c>
      <c r="AI154" s="367">
        <v>0</v>
      </c>
      <c r="AJ154" s="337"/>
      <c r="AK154" s="341"/>
      <c r="AL154" s="338"/>
      <c r="AM154" s="327"/>
      <c r="AN154" s="337"/>
      <c r="AO154" s="338"/>
      <c r="AP154" s="328"/>
      <c r="AQ154" s="341"/>
      <c r="AR154" s="338"/>
      <c r="AS154" s="328"/>
      <c r="AT154" s="391">
        <f t="shared" si="52"/>
        <v>0</v>
      </c>
      <c r="AU154" s="310"/>
    </row>
    <row r="155" spans="1:47" s="311" customFormat="1" ht="18" customHeight="1" x14ac:dyDescent="0.25">
      <c r="A155" s="235">
        <v>72</v>
      </c>
      <c r="B155" s="905" t="s">
        <v>13</v>
      </c>
      <c r="C155" s="361">
        <f>C156</f>
        <v>87265.680000000022</v>
      </c>
      <c r="D155" s="315">
        <f t="shared" ref="D155:F156" si="61">D156</f>
        <v>0</v>
      </c>
      <c r="E155" s="315">
        <f t="shared" si="61"/>
        <v>0</v>
      </c>
      <c r="F155" s="315">
        <f t="shared" si="61"/>
        <v>35.229999999999997</v>
      </c>
      <c r="G155" s="364">
        <f>C155+D155+E155+F155</f>
        <v>87300.910000000018</v>
      </c>
      <c r="H155" s="317">
        <f>H156</f>
        <v>225199.12999999998</v>
      </c>
      <c r="I155" s="334">
        <f t="shared" ref="I155:I156" si="62">I156</f>
        <v>0</v>
      </c>
      <c r="J155" s="365">
        <f t="shared" ref="J155:J156" si="63">J156</f>
        <v>0</v>
      </c>
      <c r="K155" s="334">
        <f t="shared" ref="K155:K156" si="64">K156</f>
        <v>0</v>
      </c>
      <c r="L155" s="366">
        <f>H155+I155+J155+K155</f>
        <v>225199.12999999998</v>
      </c>
      <c r="M155" s="321">
        <f>M156</f>
        <v>0</v>
      </c>
      <c r="N155" s="321">
        <f>N156</f>
        <v>72969</v>
      </c>
      <c r="O155" s="322">
        <f>O156</f>
        <v>199.46</v>
      </c>
      <c r="P155" s="338">
        <v>0</v>
      </c>
      <c r="Q155" s="328">
        <v>0</v>
      </c>
      <c r="R155" s="328">
        <v>0</v>
      </c>
      <c r="S155" s="349">
        <f t="shared" si="60"/>
        <v>73168.460000000006</v>
      </c>
      <c r="T155" s="338"/>
      <c r="U155" s="338"/>
      <c r="V155" s="367">
        <f t="shared" si="53"/>
        <v>0</v>
      </c>
      <c r="W155" s="338">
        <f>W156</f>
        <v>566.47</v>
      </c>
      <c r="X155" s="338"/>
      <c r="Y155" s="339">
        <f>Y156</f>
        <v>209.15</v>
      </c>
      <c r="Z155" s="984">
        <f>W155+X155+Y155</f>
        <v>775.62</v>
      </c>
      <c r="AA155" s="338"/>
      <c r="AB155" s="338"/>
      <c r="AC155" s="338"/>
      <c r="AD155" s="338">
        <f>AD156</f>
        <v>146.01</v>
      </c>
      <c r="AE155" s="322">
        <f>AE156</f>
        <v>0</v>
      </c>
      <c r="AF155" s="321">
        <f>+AD155+AE155</f>
        <v>146.01</v>
      </c>
      <c r="AG155" s="321">
        <f>AG156</f>
        <v>0</v>
      </c>
      <c r="AH155" s="337">
        <f>AH156</f>
        <v>200.38</v>
      </c>
      <c r="AI155" s="325">
        <f>+AG155+AH155</f>
        <v>200.38</v>
      </c>
      <c r="AJ155" s="337"/>
      <c r="AK155" s="341"/>
      <c r="AL155" s="338"/>
      <c r="AM155" s="327"/>
      <c r="AN155" s="337"/>
      <c r="AO155" s="338"/>
      <c r="AP155" s="328"/>
      <c r="AQ155" s="341"/>
      <c r="AR155" s="338"/>
      <c r="AS155" s="328"/>
      <c r="AT155" s="368">
        <f>+L155+S155+G155+AM155+AP155+AS155+V155+AF155+AI155+AJ155+Z155</f>
        <v>386790.51</v>
      </c>
      <c r="AU155" s="310"/>
    </row>
    <row r="156" spans="1:47" s="311" customFormat="1" ht="25.5" x14ac:dyDescent="0.2">
      <c r="A156" s="235">
        <v>721</v>
      </c>
      <c r="B156" s="906" t="s">
        <v>617</v>
      </c>
      <c r="C156" s="361">
        <f>C157</f>
        <v>87265.680000000022</v>
      </c>
      <c r="D156" s="315">
        <f t="shared" si="61"/>
        <v>0</v>
      </c>
      <c r="E156" s="315">
        <f t="shared" si="61"/>
        <v>0</v>
      </c>
      <c r="F156" s="315">
        <f t="shared" si="61"/>
        <v>35.229999999999997</v>
      </c>
      <c r="G156" s="364">
        <f t="shared" ref="G156" si="65">C156+D156+E156+F156</f>
        <v>87300.910000000018</v>
      </c>
      <c r="H156" s="333">
        <f>H157</f>
        <v>225199.12999999998</v>
      </c>
      <c r="I156" s="334">
        <f t="shared" si="62"/>
        <v>0</v>
      </c>
      <c r="J156" s="365">
        <f t="shared" si="63"/>
        <v>0</v>
      </c>
      <c r="K156" s="334">
        <f t="shared" si="64"/>
        <v>0</v>
      </c>
      <c r="L156" s="366">
        <f t="shared" ref="L156" si="66">H156+I156+J156+K156</f>
        <v>225199.12999999998</v>
      </c>
      <c r="M156" s="321">
        <f>M157</f>
        <v>0</v>
      </c>
      <c r="N156" s="321">
        <f>SUM(N157:N158)</f>
        <v>72969</v>
      </c>
      <c r="O156" s="338">
        <f>O158</f>
        <v>199.46</v>
      </c>
      <c r="P156" s="338">
        <v>0</v>
      </c>
      <c r="Q156" s="328">
        <v>0</v>
      </c>
      <c r="R156" s="328">
        <v>0</v>
      </c>
      <c r="S156" s="349">
        <f t="shared" si="60"/>
        <v>73168.460000000006</v>
      </c>
      <c r="T156" s="338"/>
      <c r="U156" s="338"/>
      <c r="V156" s="367">
        <f t="shared" si="53"/>
        <v>0</v>
      </c>
      <c r="W156" s="338">
        <f>W157</f>
        <v>566.47</v>
      </c>
      <c r="X156" s="338"/>
      <c r="Y156" s="339">
        <f>Y157</f>
        <v>209.15</v>
      </c>
      <c r="Z156" s="328">
        <f>W156+X156+Y156</f>
        <v>775.62</v>
      </c>
      <c r="AA156" s="338"/>
      <c r="AB156" s="338"/>
      <c r="AC156" s="338"/>
      <c r="AD156" s="338">
        <f>AD157</f>
        <v>146.01</v>
      </c>
      <c r="AE156" s="322">
        <f>AE157</f>
        <v>0</v>
      </c>
      <c r="AF156" s="321">
        <f>SUM(AD156:AE156)</f>
        <v>146.01</v>
      </c>
      <c r="AG156" s="321">
        <f>SUM(AG157:AG158)</f>
        <v>0</v>
      </c>
      <c r="AH156" s="321">
        <f>SUM(AH157:AH158)</f>
        <v>200.38</v>
      </c>
      <c r="AI156" s="325">
        <f>+AG156+AH156</f>
        <v>200.38</v>
      </c>
      <c r="AJ156" s="337"/>
      <c r="AK156" s="341"/>
      <c r="AL156" s="338"/>
      <c r="AM156" s="327"/>
      <c r="AN156" s="337"/>
      <c r="AO156" s="338"/>
      <c r="AP156" s="328"/>
      <c r="AQ156" s="341"/>
      <c r="AR156" s="338"/>
      <c r="AS156" s="328"/>
      <c r="AT156" s="368">
        <f>+L156+S156+G156+AM156+AP156+AS156+V156+AF156+AI156+AJ156</f>
        <v>386014.89</v>
      </c>
      <c r="AU156" s="310"/>
    </row>
    <row r="157" spans="1:47" s="311" customFormat="1" ht="30.75" customHeight="1" x14ac:dyDescent="0.25">
      <c r="A157" s="237">
        <v>72101</v>
      </c>
      <c r="B157" s="1003" t="s">
        <v>617</v>
      </c>
      <c r="C157" s="362">
        <f>'egresos 25% y F.P'!C203</f>
        <v>87265.680000000022</v>
      </c>
      <c r="D157" s="331">
        <v>0</v>
      </c>
      <c r="E157" s="331">
        <v>0</v>
      </c>
      <c r="F157" s="331">
        <v>35.229999999999997</v>
      </c>
      <c r="G157" s="363">
        <f>C157+D157+E157+F157</f>
        <v>87300.910000000018</v>
      </c>
      <c r="H157" s="333">
        <f>'egresos 25% y F.P'!C95</f>
        <v>225199.12999999998</v>
      </c>
      <c r="I157" s="334">
        <v>0</v>
      </c>
      <c r="J157" s="365">
        <v>0</v>
      </c>
      <c r="K157" s="334">
        <v>0</v>
      </c>
      <c r="L157" s="366">
        <f t="shared" si="47"/>
        <v>225199.12999999998</v>
      </c>
      <c r="M157" s="337">
        <v>0</v>
      </c>
      <c r="N157" s="337">
        <v>0</v>
      </c>
      <c r="O157" s="338"/>
      <c r="P157" s="338">
        <v>0</v>
      </c>
      <c r="Q157" s="328">
        <v>0</v>
      </c>
      <c r="R157" s="328">
        <v>0</v>
      </c>
      <c r="S157" s="323">
        <f t="shared" si="60"/>
        <v>0</v>
      </c>
      <c r="T157" s="338"/>
      <c r="U157" s="338"/>
      <c r="V157" s="367">
        <f t="shared" si="53"/>
        <v>0</v>
      </c>
      <c r="W157" s="338">
        <f>'AG3'!H204</f>
        <v>566.47</v>
      </c>
      <c r="X157" s="338"/>
      <c r="Y157" s="339">
        <f>'AG3'!J203</f>
        <v>209.15</v>
      </c>
      <c r="Z157" s="328">
        <f>W157+X157+Y157</f>
        <v>775.62</v>
      </c>
      <c r="AA157" s="338"/>
      <c r="AB157" s="338"/>
      <c r="AC157" s="338"/>
      <c r="AD157" s="338">
        <f>'AG3'!M203</f>
        <v>146.01</v>
      </c>
      <c r="AE157" s="338">
        <f>'AG4'!G63</f>
        <v>0</v>
      </c>
      <c r="AF157" s="321">
        <f>SUM(AD157:AE157)</f>
        <v>146.01</v>
      </c>
      <c r="AG157" s="337">
        <v>0</v>
      </c>
      <c r="AH157" s="337">
        <v>0</v>
      </c>
      <c r="AI157" s="340">
        <f t="shared" ref="AI157:AI158" si="67">+AG157+AH157</f>
        <v>0</v>
      </c>
      <c r="AJ157" s="337"/>
      <c r="AK157" s="341"/>
      <c r="AL157" s="338"/>
      <c r="AM157" s="327"/>
      <c r="AN157" s="337"/>
      <c r="AO157" s="338"/>
      <c r="AP157" s="328"/>
      <c r="AQ157" s="341"/>
      <c r="AR157" s="338"/>
      <c r="AS157" s="328"/>
      <c r="AT157" s="368">
        <f>AI157+AF157+AC157+Z157+V157+S157+L157+G157</f>
        <v>313421.67</v>
      </c>
      <c r="AU157" s="310"/>
    </row>
    <row r="158" spans="1:47" s="311" customFormat="1" ht="21" customHeight="1" thickBot="1" x14ac:dyDescent="0.25">
      <c r="A158" s="370">
        <v>72201</v>
      </c>
      <c r="B158" s="393" t="s">
        <v>683</v>
      </c>
      <c r="C158" s="362">
        <f>'egresos 25% y F.P'!C204</f>
        <v>0</v>
      </c>
      <c r="D158" s="331">
        <v>0</v>
      </c>
      <c r="E158" s="331">
        <v>0</v>
      </c>
      <c r="F158" s="331">
        <v>0</v>
      </c>
      <c r="G158" s="363">
        <f t="shared" ref="G158" si="68">C158+D158+E158+F158</f>
        <v>0</v>
      </c>
      <c r="H158" s="333">
        <f>'egresos 25% y F.P'!C96</f>
        <v>0</v>
      </c>
      <c r="I158" s="334">
        <v>0</v>
      </c>
      <c r="J158" s="365">
        <v>0</v>
      </c>
      <c r="K158" s="334">
        <v>0</v>
      </c>
      <c r="L158" s="366">
        <f t="shared" ref="L158" si="69">SUM(H158:J158)</f>
        <v>0</v>
      </c>
      <c r="M158" s="337">
        <f>'AG3'!E205</f>
        <v>0</v>
      </c>
      <c r="N158" s="337">
        <f>'AG3'!E204</f>
        <v>72969</v>
      </c>
      <c r="O158" s="338">
        <f>'AG4'!E63</f>
        <v>199.46</v>
      </c>
      <c r="P158" s="338">
        <v>0</v>
      </c>
      <c r="Q158" s="328">
        <v>0</v>
      </c>
      <c r="R158" s="328">
        <v>0</v>
      </c>
      <c r="S158" s="323">
        <f t="shared" si="60"/>
        <v>73168.460000000006</v>
      </c>
      <c r="T158" s="338"/>
      <c r="U158" s="338"/>
      <c r="V158" s="367">
        <f t="shared" si="53"/>
        <v>0</v>
      </c>
      <c r="W158" s="338"/>
      <c r="X158" s="338"/>
      <c r="Y158" s="339"/>
      <c r="Z158" s="328">
        <f t="shared" si="54"/>
        <v>0</v>
      </c>
      <c r="AA158" s="338"/>
      <c r="AB158" s="338"/>
      <c r="AC158" s="338"/>
      <c r="AD158" s="338"/>
      <c r="AE158" s="338">
        <v>0</v>
      </c>
      <c r="AF158" s="337"/>
      <c r="AG158" s="337">
        <v>0</v>
      </c>
      <c r="AH158" s="337">
        <f>'AG4'!H62</f>
        <v>200.38</v>
      </c>
      <c r="AI158" s="340">
        <f t="shared" si="67"/>
        <v>200.38</v>
      </c>
      <c r="AJ158" s="337"/>
      <c r="AK158" s="341"/>
      <c r="AL158" s="338"/>
      <c r="AM158" s="327"/>
      <c r="AN158" s="337"/>
      <c r="AO158" s="338"/>
      <c r="AP158" s="328"/>
      <c r="AQ158" s="341"/>
      <c r="AR158" s="338"/>
      <c r="AS158" s="328"/>
      <c r="AT158" s="368">
        <f>+L158+S158+G158+AM158+AP158+AS158+V158+AE158+AI158+AJ158</f>
        <v>73368.840000000011</v>
      </c>
      <c r="AU158" s="310"/>
    </row>
    <row r="159" spans="1:47" s="311" customFormat="1" ht="18" customHeight="1" thickTop="1" thickBot="1" x14ac:dyDescent="0.25">
      <c r="A159" s="1031">
        <v>99</v>
      </c>
      <c r="B159" s="1032"/>
      <c r="C159" s="362"/>
      <c r="D159" s="331"/>
      <c r="E159" s="331"/>
      <c r="F159" s="331"/>
      <c r="G159" s="363"/>
      <c r="H159" s="333"/>
      <c r="I159" s="334"/>
      <c r="J159" s="365"/>
      <c r="K159" s="334"/>
      <c r="L159" s="366">
        <f t="shared" si="47"/>
        <v>0</v>
      </c>
      <c r="M159" s="337"/>
      <c r="N159" s="337"/>
      <c r="O159" s="338"/>
      <c r="P159" s="338"/>
      <c r="Q159" s="328"/>
      <c r="R159" s="328"/>
      <c r="S159" s="323">
        <f t="shared" si="60"/>
        <v>0</v>
      </c>
      <c r="T159" s="338"/>
      <c r="U159" s="338"/>
      <c r="V159" s="367">
        <f t="shared" si="53"/>
        <v>0</v>
      </c>
      <c r="W159" s="338"/>
      <c r="X159" s="338"/>
      <c r="Y159" s="339"/>
      <c r="Z159" s="328">
        <f t="shared" si="54"/>
        <v>0</v>
      </c>
      <c r="AA159" s="338"/>
      <c r="AB159" s="338"/>
      <c r="AC159" s="338"/>
      <c r="AD159" s="338"/>
      <c r="AE159" s="338"/>
      <c r="AF159" s="337"/>
      <c r="AG159" s="337"/>
      <c r="AH159" s="337"/>
      <c r="AI159" s="367"/>
      <c r="AJ159" s="337"/>
      <c r="AK159" s="341"/>
      <c r="AL159" s="338"/>
      <c r="AM159" s="327"/>
      <c r="AN159" s="337"/>
      <c r="AO159" s="338"/>
      <c r="AP159" s="328"/>
      <c r="AQ159" s="341"/>
      <c r="AR159" s="338"/>
      <c r="AS159" s="328"/>
      <c r="AT159" s="368">
        <f t="shared" si="52"/>
        <v>0</v>
      </c>
      <c r="AU159" s="310"/>
    </row>
    <row r="160" spans="1:47" s="311" customFormat="1" ht="18" hidden="1" customHeight="1" thickBot="1" x14ac:dyDescent="0.25">
      <c r="A160" s="1031">
        <v>991</v>
      </c>
      <c r="B160" s="1033" t="s">
        <v>183</v>
      </c>
      <c r="C160" s="329"/>
      <c r="D160" s="331"/>
      <c r="E160" s="369"/>
      <c r="F160" s="369"/>
      <c r="G160" s="356"/>
      <c r="H160" s="333"/>
      <c r="I160" s="334"/>
      <c r="J160" s="365"/>
      <c r="K160" s="334"/>
      <c r="L160" s="366">
        <f t="shared" si="47"/>
        <v>0</v>
      </c>
      <c r="M160" s="337"/>
      <c r="N160" s="337"/>
      <c r="O160" s="338"/>
      <c r="P160" s="338"/>
      <c r="Q160" s="328"/>
      <c r="R160" s="328"/>
      <c r="S160" s="323">
        <f t="shared" si="60"/>
        <v>0</v>
      </c>
      <c r="T160" s="338"/>
      <c r="U160" s="338"/>
      <c r="V160" s="367"/>
      <c r="W160" s="338"/>
      <c r="X160" s="338"/>
      <c r="Y160" s="339"/>
      <c r="Z160" s="339"/>
      <c r="AA160" s="338"/>
      <c r="AB160" s="338"/>
      <c r="AC160" s="338"/>
      <c r="AD160" s="338"/>
      <c r="AE160" s="338"/>
      <c r="AF160" s="337"/>
      <c r="AG160" s="337"/>
      <c r="AH160" s="337"/>
      <c r="AI160" s="367"/>
      <c r="AJ160" s="337"/>
      <c r="AK160" s="341"/>
      <c r="AL160" s="338"/>
      <c r="AM160" s="327"/>
      <c r="AN160" s="337"/>
      <c r="AO160" s="338"/>
      <c r="AP160" s="328"/>
      <c r="AQ160" s="341"/>
      <c r="AR160" s="338"/>
      <c r="AS160" s="328"/>
      <c r="AT160" s="368">
        <f t="shared" si="52"/>
        <v>0</v>
      </c>
      <c r="AU160" s="310"/>
    </row>
    <row r="161" spans="1:47" s="311" customFormat="1" ht="18" hidden="1" customHeight="1" thickTop="1" thickBot="1" x14ac:dyDescent="0.25">
      <c r="A161" s="1034">
        <v>99101</v>
      </c>
      <c r="B161" s="1033" t="s">
        <v>184</v>
      </c>
      <c r="C161" s="329"/>
      <c r="D161" s="331"/>
      <c r="E161" s="369"/>
      <c r="F161" s="369"/>
      <c r="G161" s="356"/>
      <c r="H161" s="333"/>
      <c r="I161" s="334"/>
      <c r="J161" s="365"/>
      <c r="K161" s="334"/>
      <c r="L161" s="366">
        <f t="shared" si="47"/>
        <v>0</v>
      </c>
      <c r="M161" s="337"/>
      <c r="N161" s="337"/>
      <c r="O161" s="338"/>
      <c r="P161" s="338"/>
      <c r="Q161" s="328"/>
      <c r="R161" s="328"/>
      <c r="S161" s="323">
        <f t="shared" si="60"/>
        <v>0</v>
      </c>
      <c r="T161" s="338"/>
      <c r="U161" s="338"/>
      <c r="V161" s="367"/>
      <c r="W161" s="338"/>
      <c r="X161" s="338"/>
      <c r="Y161" s="339"/>
      <c r="Z161" s="339"/>
      <c r="AA161" s="338"/>
      <c r="AB161" s="338"/>
      <c r="AC161" s="338"/>
      <c r="AD161" s="338"/>
      <c r="AE161" s="338"/>
      <c r="AF161" s="337"/>
      <c r="AG161" s="337"/>
      <c r="AH161" s="337"/>
      <c r="AI161" s="367"/>
      <c r="AJ161" s="337"/>
      <c r="AK161" s="341"/>
      <c r="AL161" s="338"/>
      <c r="AM161" s="327"/>
      <c r="AN161" s="337"/>
      <c r="AO161" s="338"/>
      <c r="AP161" s="328"/>
      <c r="AQ161" s="341"/>
      <c r="AR161" s="338"/>
      <c r="AS161" s="328"/>
      <c r="AT161" s="368">
        <f t="shared" si="52"/>
        <v>0</v>
      </c>
      <c r="AU161" s="310"/>
    </row>
    <row r="162" spans="1:47" s="311" customFormat="1" ht="18" hidden="1" customHeight="1" thickTop="1" thickBot="1" x14ac:dyDescent="0.25">
      <c r="A162" s="1035"/>
      <c r="B162" s="1032" t="s">
        <v>184</v>
      </c>
      <c r="C162" s="371"/>
      <c r="D162" s="372"/>
      <c r="E162" s="373"/>
      <c r="F162" s="373"/>
      <c r="G162" s="374"/>
      <c r="H162" s="375"/>
      <c r="I162" s="376"/>
      <c r="J162" s="377"/>
      <c r="K162" s="377"/>
      <c r="L162" s="378">
        <f t="shared" si="47"/>
        <v>0</v>
      </c>
      <c r="M162" s="379"/>
      <c r="N162" s="379"/>
      <c r="O162" s="380"/>
      <c r="P162" s="380"/>
      <c r="Q162" s="381"/>
      <c r="R162" s="381"/>
      <c r="S162" s="382">
        <f t="shared" si="60"/>
        <v>0</v>
      </c>
      <c r="T162" s="380"/>
      <c r="U162" s="380"/>
      <c r="V162" s="384"/>
      <c r="W162" s="380"/>
      <c r="X162" s="380"/>
      <c r="Y162" s="383"/>
      <c r="Z162" s="383"/>
      <c r="AA162" s="380"/>
      <c r="AB162" s="380"/>
      <c r="AC162" s="380"/>
      <c r="AD162" s="380"/>
      <c r="AE162" s="380"/>
      <c r="AF162" s="379"/>
      <c r="AG162" s="379"/>
      <c r="AH162" s="379"/>
      <c r="AI162" s="384"/>
      <c r="AJ162" s="379"/>
      <c r="AK162" s="385"/>
      <c r="AL162" s="380"/>
      <c r="AM162" s="386"/>
      <c r="AN162" s="379"/>
      <c r="AO162" s="380"/>
      <c r="AP162" s="381"/>
      <c r="AQ162" s="385"/>
      <c r="AR162" s="380"/>
      <c r="AS162" s="381"/>
      <c r="AT162" s="1049">
        <f t="shared" si="52"/>
        <v>0</v>
      </c>
      <c r="AU162" s="310"/>
    </row>
    <row r="163" spans="1:47" s="311" customFormat="1" ht="18" customHeight="1" thickTop="1" thickBot="1" x14ac:dyDescent="0.3">
      <c r="A163" s="1036"/>
      <c r="B163" s="495" t="s">
        <v>25</v>
      </c>
      <c r="C163" s="496">
        <f>C9+C43+C94+C112+C120+C150+C155</f>
        <v>260209.64</v>
      </c>
      <c r="D163" s="497">
        <f>D9+D43+D94+D112+D120+D150</f>
        <v>51407.18</v>
      </c>
      <c r="E163" s="497">
        <f>E9+E43+E94+E112+E120+E150</f>
        <v>24800.04</v>
      </c>
      <c r="F163" s="497">
        <f>F9+F43+F94+F112+F120+F150+F155</f>
        <v>143210.6</v>
      </c>
      <c r="G163" s="498">
        <f>G9+G43+G94+G112+G120+G150+G155</f>
        <v>479627.46</v>
      </c>
      <c r="H163" s="499">
        <f>H9+H150+H120+H112+H94+H43+H155</f>
        <v>374459.86</v>
      </c>
      <c r="I163" s="500">
        <f>I9+I150+I120+I112+I94+I43</f>
        <v>35950</v>
      </c>
      <c r="J163" s="500">
        <f>J9+J150+J120+J112+J94+J43</f>
        <v>27958.38</v>
      </c>
      <c r="K163" s="500">
        <f>K9+K150+K120+K112+K94+K43</f>
        <v>210412.88</v>
      </c>
      <c r="L163" s="501">
        <f>L9+L43+L94+L112+L120+L155</f>
        <v>648781.12</v>
      </c>
      <c r="M163" s="502">
        <f t="shared" ref="M163:R163" si="70">M9+M43+M94+M112+M120+M150+M155</f>
        <v>152123.5</v>
      </c>
      <c r="N163" s="994">
        <f>N9+N43+N94+N112+N120+N150+N155</f>
        <v>1159760.48</v>
      </c>
      <c r="O163" s="503">
        <f>O9+O43+O94+O112+O120+O150+O155</f>
        <v>358333.13</v>
      </c>
      <c r="P163" s="503">
        <f t="shared" si="70"/>
        <v>187095</v>
      </c>
      <c r="Q163" s="503">
        <f t="shared" si="70"/>
        <v>164509.92000000001</v>
      </c>
      <c r="R163" s="503">
        <f t="shared" si="70"/>
        <v>4460.1499999999996</v>
      </c>
      <c r="S163" s="503">
        <f>S9+S43+S94+S112+S120+S150+S155</f>
        <v>2026282.18</v>
      </c>
      <c r="T163" s="503">
        <f>T9+T43+T94+T112+T120+T150+T155</f>
        <v>108857.97</v>
      </c>
      <c r="U163" s="994">
        <f t="shared" ref="U163" si="71">U9+U43+U94+U112+U120+U150+U155</f>
        <v>311077.58</v>
      </c>
      <c r="V163" s="504">
        <f>V9+V43+V94+V112+V120+V150+V155</f>
        <v>419935.55000000005</v>
      </c>
      <c r="W163" s="503">
        <f>W155+W120+W112+W94+W43+W9</f>
        <v>5569.71</v>
      </c>
      <c r="X163" s="503">
        <f>X155+X120+X112+X94+X43+X9</f>
        <v>0</v>
      </c>
      <c r="Y163" s="1048">
        <f>Y155+Y120+Y112+Y94+Y43+Y9</f>
        <v>16718</v>
      </c>
      <c r="Z163" s="322">
        <f>Z9+Z43+Z94+Z112+Z120+Z150+Z155</f>
        <v>22287.709999999995</v>
      </c>
      <c r="AA163" s="995">
        <f t="shared" ref="AA163:AB163" si="72">AA9+AA43+AA94+AA112+AA120+AA150+AA155</f>
        <v>26365.969799999999</v>
      </c>
      <c r="AB163" s="995">
        <f t="shared" si="72"/>
        <v>258473.63</v>
      </c>
      <c r="AC163" s="995">
        <f>AC9+AC43+AC94+AC112+AC120+AC150+AC155</f>
        <v>284839.59980000003</v>
      </c>
      <c r="AD163" s="995">
        <f>AD9+AD43+AD94+AD112+AD120+AD150+AD155</f>
        <v>58210.16</v>
      </c>
      <c r="AE163" s="322">
        <f>AE9+AE43+AE94+AE112+AE120+AE150+AE155</f>
        <v>0</v>
      </c>
      <c r="AF163" s="995">
        <f>AF9+AF43+AF94+AF112+AF120+AF150+AF155</f>
        <v>58210.16</v>
      </c>
      <c r="AG163" s="995">
        <f>AG9+AG43+AG94+AG112+AG120+AG150+AG155</f>
        <v>807382.89000000013</v>
      </c>
      <c r="AH163" s="322">
        <f>AH9+AH43+AH94+AH112+AH120+AH150+AH156</f>
        <v>299372.44</v>
      </c>
      <c r="AI163" s="322">
        <f>AI9+AI43+AI94+AI112+AI120+AI150+AI156</f>
        <v>1106755.33</v>
      </c>
      <c r="AJ163" s="322">
        <f>AJ9+AJ43+AJ94+AJ112+AJ120+AJ150</f>
        <v>0</v>
      </c>
      <c r="AK163" s="338">
        <f t="shared" ref="AK163:AS163" si="73">SUM(AK9:AK162)</f>
        <v>4533314.22</v>
      </c>
      <c r="AL163" s="338">
        <f t="shared" si="73"/>
        <v>0</v>
      </c>
      <c r="AM163" s="338">
        <f t="shared" si="73"/>
        <v>0</v>
      </c>
      <c r="AN163" s="338">
        <f t="shared" si="73"/>
        <v>0</v>
      </c>
      <c r="AO163" s="338">
        <f t="shared" si="73"/>
        <v>0</v>
      </c>
      <c r="AP163" s="338">
        <f t="shared" si="73"/>
        <v>0</v>
      </c>
      <c r="AQ163" s="322">
        <f>AQ43+AQ94+AQ112+AQ120+AQ150</f>
        <v>0</v>
      </c>
      <c r="AR163" s="338">
        <f t="shared" si="73"/>
        <v>0</v>
      </c>
      <c r="AS163" s="338">
        <f t="shared" si="73"/>
        <v>0</v>
      </c>
      <c r="AT163" s="322">
        <f>AI163+AF163+AC163+Z163+V163+S163+L163+G163</f>
        <v>5046719.1097999997</v>
      </c>
      <c r="AU163" s="310"/>
    </row>
    <row r="164" spans="1:47" s="393" customFormat="1" ht="12" thickTop="1" x14ac:dyDescent="0.2">
      <c r="A164" s="506"/>
      <c r="C164" s="434"/>
      <c r="D164" s="434"/>
      <c r="E164" s="434"/>
      <c r="F164" s="434"/>
      <c r="G164" s="434"/>
      <c r="H164" s="433"/>
      <c r="I164" s="433"/>
      <c r="J164" s="433"/>
      <c r="K164" s="433"/>
      <c r="L164" s="433"/>
      <c r="S164" s="432"/>
      <c r="AU164" s="507"/>
    </row>
    <row r="165" spans="1:47" s="393" customFormat="1" ht="26.25" customHeight="1" x14ac:dyDescent="0.2">
      <c r="A165" s="506"/>
      <c r="C165" s="434"/>
      <c r="D165" s="434"/>
      <c r="E165" s="434"/>
      <c r="F165" s="434"/>
      <c r="G165" s="434"/>
      <c r="H165" s="433"/>
      <c r="I165" s="433"/>
      <c r="J165" s="433"/>
      <c r="K165" s="433"/>
      <c r="L165" s="433"/>
      <c r="S165" s="432"/>
      <c r="AU165" s="507"/>
    </row>
    <row r="166" spans="1:47" s="393" customFormat="1" ht="11.25" x14ac:dyDescent="0.2">
      <c r="A166" s="506"/>
      <c r="C166" s="434"/>
      <c r="D166" s="434"/>
      <c r="E166" s="434"/>
      <c r="F166" s="434"/>
      <c r="G166" s="434"/>
      <c r="H166" s="433"/>
      <c r="I166" s="433"/>
      <c r="J166" s="433"/>
      <c r="K166" s="433"/>
      <c r="L166" s="433"/>
      <c r="S166" s="432"/>
      <c r="AU166" s="507"/>
    </row>
    <row r="167" spans="1:47" s="393" customFormat="1" ht="15" customHeight="1" x14ac:dyDescent="0.2">
      <c r="A167" s="506"/>
      <c r="C167" s="434"/>
      <c r="D167" s="434"/>
      <c r="E167" s="434"/>
      <c r="F167" s="434"/>
      <c r="G167" s="434"/>
      <c r="H167" s="433"/>
      <c r="I167" s="433"/>
      <c r="J167" s="433"/>
      <c r="K167" s="433"/>
      <c r="L167" s="433"/>
      <c r="N167" s="393">
        <f>M163+N163</f>
        <v>1311883.98</v>
      </c>
      <c r="S167" s="432"/>
      <c r="AT167" s="393">
        <f>'ING. REALES'!L73-CONSOLIDADO!AT163</f>
        <v>1.9999966025352478E-4</v>
      </c>
      <c r="AU167" s="507"/>
    </row>
    <row r="168" spans="1:47" s="393" customFormat="1" ht="11.25" x14ac:dyDescent="0.2">
      <c r="A168" s="506"/>
      <c r="C168" s="434"/>
      <c r="D168" s="434"/>
      <c r="E168" s="434"/>
      <c r="F168" s="434"/>
      <c r="G168" s="434"/>
      <c r="H168" s="433"/>
      <c r="I168" s="433"/>
      <c r="J168" s="433"/>
      <c r="R168" s="1308"/>
      <c r="S168" s="1308"/>
      <c r="AG168" s="432"/>
      <c r="AT168" s="517"/>
      <c r="AU168" s="507"/>
    </row>
    <row r="169" spans="1:47" s="393" customFormat="1" ht="11.25" x14ac:dyDescent="0.2">
      <c r="A169" s="506"/>
      <c r="C169" s="434"/>
      <c r="D169" s="434"/>
      <c r="E169" s="434"/>
      <c r="F169" s="434"/>
      <c r="G169" s="434">
        <v>479627.46</v>
      </c>
      <c r="H169" s="433"/>
      <c r="I169" s="433"/>
      <c r="J169" s="433"/>
      <c r="M169" s="208"/>
      <c r="O169" s="208"/>
      <c r="P169" s="208"/>
      <c r="Q169" s="208"/>
      <c r="T169" s="208"/>
      <c r="U169" s="1308"/>
      <c r="V169" s="1308"/>
      <c r="W169" s="208"/>
      <c r="X169" s="1308"/>
      <c r="Y169" s="1308"/>
      <c r="Z169" s="1308"/>
      <c r="AA169" s="967"/>
      <c r="AB169" s="967"/>
      <c r="AC169" s="967"/>
      <c r="AD169" s="979"/>
      <c r="AE169" s="208"/>
      <c r="AF169" s="208"/>
      <c r="AG169" s="208"/>
      <c r="AH169" s="208"/>
      <c r="AJ169" s="208"/>
      <c r="AU169" s="507"/>
    </row>
    <row r="170" spans="1:47" s="393" customFormat="1" ht="11.25" x14ac:dyDescent="0.2">
      <c r="A170" s="506"/>
      <c r="C170" s="434"/>
      <c r="D170" s="434"/>
      <c r="E170" s="434"/>
      <c r="F170" s="434"/>
      <c r="G170" s="434"/>
      <c r="H170" s="433"/>
      <c r="I170" s="433"/>
      <c r="J170" s="433"/>
      <c r="K170" s="433"/>
      <c r="L170" s="434"/>
      <c r="R170" s="1308"/>
      <c r="S170" s="1308"/>
      <c r="AT170" s="432"/>
      <c r="AU170" s="507"/>
    </row>
    <row r="171" spans="1:47" s="393" customFormat="1" ht="11.25" x14ac:dyDescent="0.2">
      <c r="A171" s="506"/>
      <c r="C171" s="434"/>
      <c r="D171" s="434"/>
      <c r="E171" s="434"/>
      <c r="F171" s="434"/>
      <c r="G171" s="434">
        <f>G163-G169</f>
        <v>0</v>
      </c>
      <c r="H171" s="433"/>
      <c r="I171" s="433"/>
      <c r="J171" s="433"/>
      <c r="K171" s="433"/>
      <c r="L171" s="433"/>
      <c r="AU171" s="507"/>
    </row>
    <row r="172" spans="1:47" s="393" customFormat="1" ht="12.75" x14ac:dyDescent="0.2">
      <c r="A172" s="14"/>
      <c r="C172" s="434"/>
      <c r="D172" s="434"/>
      <c r="E172" s="434"/>
      <c r="F172" s="434"/>
      <c r="G172" s="434"/>
      <c r="H172" s="433"/>
      <c r="I172" s="433"/>
      <c r="J172" s="433"/>
      <c r="K172" s="433"/>
      <c r="L172" s="433"/>
      <c r="T172" s="393">
        <f>S163+V163</f>
        <v>2446217.73</v>
      </c>
      <c r="W172" s="393">
        <f>V163+Z163</f>
        <v>442223.26000000007</v>
      </c>
      <c r="AU172" s="507"/>
    </row>
    <row r="173" spans="1:47" ht="12.75" x14ac:dyDescent="0.2">
      <c r="F173" s="13"/>
      <c r="G173" s="13"/>
    </row>
    <row r="174" spans="1:47" ht="12.75" x14ac:dyDescent="0.2">
      <c r="F174" s="433" t="s">
        <v>612</v>
      </c>
      <c r="G174" s="434">
        <f>'ING. REALES'!I73</f>
        <v>479627.45999999996</v>
      </c>
      <c r="K174" s="433" t="s">
        <v>612</v>
      </c>
      <c r="L174" s="434">
        <f>'ING. REALES'!C73</f>
        <v>648781.12</v>
      </c>
      <c r="R174" s="433" t="s">
        <v>612</v>
      </c>
      <c r="S174" s="434">
        <f>'ING. REALES'!D73</f>
        <v>1741413.7200000002</v>
      </c>
      <c r="U174" s="433" t="s">
        <v>612</v>
      </c>
      <c r="V174" s="434">
        <f>'ING. REALES'!E73</f>
        <v>704804.01</v>
      </c>
      <c r="X174" s="433" t="s">
        <v>612</v>
      </c>
      <c r="Y174" s="433"/>
      <c r="Z174" s="990">
        <f>'ING. REALES'!G73</f>
        <v>307127.31</v>
      </c>
      <c r="AA174" s="434"/>
      <c r="AB174" s="434"/>
      <c r="AC174" s="434"/>
      <c r="AD174" s="434"/>
      <c r="AE174" s="990">
        <f>'AG3'!M206+'AG4'!G66</f>
        <v>58210.16</v>
      </c>
      <c r="AF174" s="434"/>
      <c r="AH174" s="433" t="s">
        <v>612</v>
      </c>
      <c r="AI174" s="434">
        <f>'ING. REALES'!K73</f>
        <v>1106755.33</v>
      </c>
      <c r="AT174" s="434">
        <f>'ING. REALES'!L73</f>
        <v>5046719.1099999994</v>
      </c>
    </row>
    <row r="175" spans="1:47" ht="12.75" x14ac:dyDescent="0.2">
      <c r="F175" s="453" t="s">
        <v>646</v>
      </c>
      <c r="G175" s="434">
        <f>G174-G163</f>
        <v>0</v>
      </c>
      <c r="K175" s="453" t="s">
        <v>646</v>
      </c>
      <c r="L175" s="434">
        <f>L174-L163</f>
        <v>0</v>
      </c>
      <c r="R175" s="453" t="s">
        <v>646</v>
      </c>
      <c r="S175" s="434">
        <f>S174-S163</f>
        <v>-284868.45999999973</v>
      </c>
      <c r="U175" s="453" t="s">
        <v>646</v>
      </c>
      <c r="V175" s="434">
        <f>V174-V163</f>
        <v>284868.45999999996</v>
      </c>
      <c r="X175" s="453" t="s">
        <v>646</v>
      </c>
      <c r="Y175" s="453"/>
      <c r="Z175" s="990">
        <f>Z174-Z163-AC163</f>
        <v>1.9999995129182935E-4</v>
      </c>
      <c r="AA175" s="434"/>
      <c r="AB175" s="434"/>
      <c r="AC175" s="434"/>
      <c r="AD175" s="434"/>
      <c r="AE175" s="990">
        <f>AE174-AF163</f>
        <v>0</v>
      </c>
      <c r="AF175" s="434"/>
      <c r="AH175" s="453" t="s">
        <v>646</v>
      </c>
      <c r="AI175" s="434">
        <f>AI174-AI163</f>
        <v>0</v>
      </c>
      <c r="AT175" s="434">
        <f>AT174-AT163</f>
        <v>1.9999966025352478E-4</v>
      </c>
    </row>
    <row r="176" spans="1:47" ht="12.75" x14ac:dyDescent="0.2">
      <c r="U176" s="433"/>
      <c r="V176" s="434"/>
      <c r="X176" s="433"/>
      <c r="Y176" s="433"/>
      <c r="Z176" s="434"/>
      <c r="AA176" s="434"/>
      <c r="AB176" s="434"/>
      <c r="AC176" s="434"/>
      <c r="AD176" s="434"/>
    </row>
    <row r="177" spans="22:22" ht="12.75" x14ac:dyDescent="0.2"/>
    <row r="178" spans="22:22" ht="12.75" x14ac:dyDescent="0.2">
      <c r="V178" s="393">
        <f>V175+S175</f>
        <v>0</v>
      </c>
    </row>
    <row r="179" spans="22:22" ht="12.75" x14ac:dyDescent="0.2"/>
    <row r="180" spans="22:22" ht="12.75" x14ac:dyDescent="0.2"/>
    <row r="181" spans="22:22" ht="12.75" x14ac:dyDescent="0.2"/>
    <row r="182" spans="22:22" ht="12.75" x14ac:dyDescent="0.2"/>
    <row r="183" spans="22:22" ht="12.75" x14ac:dyDescent="0.2"/>
  </sheetData>
  <autoFilter ref="A3:G163">
    <filterColumn colId="2" showButton="0"/>
    <filterColumn colId="3" showButton="0"/>
    <filterColumn colId="4" showButton="0"/>
    <filterColumn colId="5" showButton="0"/>
  </autoFilter>
  <mergeCells count="56">
    <mergeCell ref="A3:A8"/>
    <mergeCell ref="B3:B8"/>
    <mergeCell ref="H5:L5"/>
    <mergeCell ref="P6:R6"/>
    <mergeCell ref="E7:E8"/>
    <mergeCell ref="M5:N5"/>
    <mergeCell ref="H4:L4"/>
    <mergeCell ref="C5:G5"/>
    <mergeCell ref="F7:F8"/>
    <mergeCell ref="C7:C8"/>
    <mergeCell ref="P5:R5"/>
    <mergeCell ref="C3:G4"/>
    <mergeCell ref="M4:S4"/>
    <mergeCell ref="H3:V3"/>
    <mergeCell ref="C6:G6"/>
    <mergeCell ref="L7:L8"/>
    <mergeCell ref="M6:N6"/>
    <mergeCell ref="I7:I8"/>
    <mergeCell ref="J7:J8"/>
    <mergeCell ref="K7:K8"/>
    <mergeCell ref="D7:D8"/>
    <mergeCell ref="H6:L6"/>
    <mergeCell ref="H7:H8"/>
    <mergeCell ref="G7:G8"/>
    <mergeCell ref="AD5:AE6"/>
    <mergeCell ref="AI4:AI8"/>
    <mergeCell ref="AT3:AT8"/>
    <mergeCell ref="AS5:AS8"/>
    <mergeCell ref="AQ4:AR4"/>
    <mergeCell ref="AK4:AL4"/>
    <mergeCell ref="AQ3:AS3"/>
    <mergeCell ref="AP5:AP8"/>
    <mergeCell ref="AK3:AM3"/>
    <mergeCell ref="AM5:AM8"/>
    <mergeCell ref="AN4:AO4"/>
    <mergeCell ref="AN3:AP3"/>
    <mergeCell ref="AG3:AI3"/>
    <mergeCell ref="AJ3:AJ4"/>
    <mergeCell ref="AH4:AH5"/>
    <mergeCell ref="AG4:AG5"/>
    <mergeCell ref="A1:AT2"/>
    <mergeCell ref="W3:Z3"/>
    <mergeCell ref="AA3:AC3"/>
    <mergeCell ref="AF4:AF8"/>
    <mergeCell ref="R170:S170"/>
    <mergeCell ref="AA4:AC4"/>
    <mergeCell ref="AC5:AC8"/>
    <mergeCell ref="Z5:Z8"/>
    <mergeCell ref="X169:Z169"/>
    <mergeCell ref="U169:V169"/>
    <mergeCell ref="R168:S168"/>
    <mergeCell ref="S5:S8"/>
    <mergeCell ref="T4:V4"/>
    <mergeCell ref="V5:V8"/>
    <mergeCell ref="W4:Z4"/>
    <mergeCell ref="AD3:AE4"/>
  </mergeCells>
  <phoneticPr fontId="0" type="noConversion"/>
  <pageMargins left="0" right="0" top="0.43307086614173229" bottom="0.31496062992125984" header="0" footer="0"/>
  <pageSetup paperSize="5" scale="4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48"/>
  </sheetPr>
  <dimension ref="A1:G169"/>
  <sheetViews>
    <sheetView showGridLines="0" topLeftCell="A137" zoomScale="80" workbookViewId="0">
      <selection activeCell="O173" sqref="O173"/>
    </sheetView>
  </sheetViews>
  <sheetFormatPr baseColWidth="10" defaultRowHeight="18" customHeight="1" x14ac:dyDescent="0.2"/>
  <cols>
    <col min="1" max="1" width="7.5703125" style="14" customWidth="1"/>
    <col min="2" max="2" width="58.140625" style="13" customWidth="1"/>
    <col min="3" max="5" width="15.42578125" style="234" customWidth="1"/>
    <col min="6" max="6" width="11.5703125" style="13" bestFit="1" customWidth="1"/>
    <col min="7" max="7" width="15" style="13" customWidth="1"/>
    <col min="8" max="16384" width="11.42578125" style="13"/>
  </cols>
  <sheetData>
    <row r="1" spans="1:7" ht="18" customHeight="1" x14ac:dyDescent="0.25">
      <c r="A1" s="1319" t="s">
        <v>325</v>
      </c>
      <c r="B1" s="1319"/>
      <c r="C1" s="1319"/>
      <c r="D1" s="1319"/>
      <c r="E1" s="1319"/>
    </row>
    <row r="2" spans="1:7" ht="18" customHeight="1" x14ac:dyDescent="0.25">
      <c r="A2" s="1319" t="s">
        <v>247</v>
      </c>
      <c r="B2" s="1319"/>
      <c r="C2" s="1319"/>
      <c r="D2" s="1319"/>
      <c r="E2" s="1319"/>
    </row>
    <row r="3" spans="1:7" ht="18" customHeight="1" x14ac:dyDescent="0.25">
      <c r="A3" s="1319" t="s">
        <v>465</v>
      </c>
      <c r="B3" s="1319"/>
      <c r="C3" s="1319"/>
      <c r="D3" s="1319"/>
      <c r="E3" s="1319"/>
    </row>
    <row r="4" spans="1:7" ht="18" customHeight="1" x14ac:dyDescent="0.25">
      <c r="A4" s="1320" t="s">
        <v>505</v>
      </c>
      <c r="B4" s="1320"/>
      <c r="C4" s="1320"/>
      <c r="D4" s="1320"/>
      <c r="E4" s="1320"/>
    </row>
    <row r="5" spans="1:7" ht="18" customHeight="1" x14ac:dyDescent="0.25">
      <c r="A5" s="1319" t="s">
        <v>852</v>
      </c>
      <c r="B5" s="1319"/>
      <c r="C5" s="1319"/>
      <c r="D5" s="1319"/>
      <c r="E5" s="1319"/>
    </row>
    <row r="6" spans="1:7" ht="18" customHeight="1" thickBot="1" x14ac:dyDescent="0.3">
      <c r="A6" s="189"/>
      <c r="B6" s="189"/>
      <c r="C6" s="241"/>
      <c r="D6" s="241"/>
      <c r="E6" s="241"/>
    </row>
    <row r="7" spans="1:7" ht="18" customHeight="1" thickBot="1" x14ac:dyDescent="0.25">
      <c r="A7" s="26" t="s">
        <v>331</v>
      </c>
      <c r="B7" s="25" t="s">
        <v>248</v>
      </c>
      <c r="C7" s="242" t="s">
        <v>249</v>
      </c>
      <c r="D7" s="242" t="s">
        <v>250</v>
      </c>
      <c r="E7" s="242" t="s">
        <v>25</v>
      </c>
    </row>
    <row r="8" spans="1:7" s="5" customFormat="1" ht="18" customHeight="1" x14ac:dyDescent="0.25">
      <c r="A8" s="211">
        <v>51</v>
      </c>
      <c r="B8" s="216" t="s">
        <v>122</v>
      </c>
      <c r="C8" s="1044"/>
      <c r="D8" s="243"/>
      <c r="E8" s="107">
        <f>SUM(D9:D40)</f>
        <v>568009.07999999996</v>
      </c>
    </row>
    <row r="9" spans="1:7" s="5" customFormat="1" ht="18" customHeight="1" x14ac:dyDescent="0.2">
      <c r="A9" s="211">
        <v>511</v>
      </c>
      <c r="B9" s="217" t="s">
        <v>123</v>
      </c>
      <c r="C9" s="1045"/>
      <c r="D9" s="103">
        <f>SUM(C10:C15)</f>
        <v>395697.42000000004</v>
      </c>
      <c r="E9" s="107"/>
    </row>
    <row r="10" spans="1:7" ht="18" customHeight="1" x14ac:dyDescent="0.2">
      <c r="A10" s="212" t="s">
        <v>124</v>
      </c>
      <c r="B10" s="218" t="s">
        <v>125</v>
      </c>
      <c r="C10" s="1046">
        <f>CONSOLIDADO!AT11</f>
        <v>280762.08</v>
      </c>
      <c r="D10" s="110"/>
      <c r="E10" s="244"/>
    </row>
    <row r="11" spans="1:7" ht="12.75" hidden="1" customHeight="1" x14ac:dyDescent="0.2">
      <c r="A11" s="398" t="s">
        <v>620</v>
      </c>
      <c r="B11" s="399" t="s">
        <v>126</v>
      </c>
      <c r="C11" s="1046"/>
      <c r="D11" s="110"/>
      <c r="E11" s="244"/>
    </row>
    <row r="12" spans="1:7" ht="18" customHeight="1" x14ac:dyDescent="0.2">
      <c r="A12" s="213">
        <v>51103</v>
      </c>
      <c r="B12" s="218" t="s">
        <v>127</v>
      </c>
      <c r="C12" s="1046">
        <f>CONSOLIDADO!AT13</f>
        <v>23396.84</v>
      </c>
      <c r="D12" s="103"/>
      <c r="E12" s="244"/>
    </row>
    <row r="13" spans="1:7" s="5" customFormat="1" ht="12.75" hidden="1" customHeight="1" x14ac:dyDescent="0.2">
      <c r="A13" s="213">
        <v>51104</v>
      </c>
      <c r="B13" s="218" t="s">
        <v>128</v>
      </c>
      <c r="C13" s="1046"/>
      <c r="D13" s="103"/>
      <c r="E13" s="107"/>
      <c r="G13" s="13"/>
    </row>
    <row r="14" spans="1:7" ht="18" customHeight="1" x14ac:dyDescent="0.2">
      <c r="A14" s="212" t="s">
        <v>129</v>
      </c>
      <c r="B14" s="218" t="s">
        <v>130</v>
      </c>
      <c r="C14" s="1046">
        <f>CONSOLIDADO!AT15</f>
        <v>75600</v>
      </c>
      <c r="D14" s="110"/>
      <c r="E14" s="244"/>
    </row>
    <row r="15" spans="1:7" s="5" customFormat="1" ht="18" customHeight="1" x14ac:dyDescent="0.2">
      <c r="A15" s="212" t="s">
        <v>131</v>
      </c>
      <c r="B15" s="218" t="s">
        <v>132</v>
      </c>
      <c r="C15" s="1046">
        <f>CONSOLIDADO!AT16</f>
        <v>15938.5</v>
      </c>
      <c r="D15" s="103"/>
      <c r="E15" s="107"/>
      <c r="G15" s="13"/>
    </row>
    <row r="16" spans="1:7" ht="12.75" x14ac:dyDescent="0.2">
      <c r="A16" s="214" t="s">
        <v>133</v>
      </c>
      <c r="B16" s="219" t="s">
        <v>134</v>
      </c>
      <c r="C16" s="1046"/>
      <c r="D16" s="103">
        <f>SUM(C17:C20)</f>
        <v>105154.31000000001</v>
      </c>
      <c r="E16" s="244"/>
    </row>
    <row r="17" spans="1:5" ht="12.75" customHeight="1" x14ac:dyDescent="0.2">
      <c r="A17" s="212" t="s">
        <v>135</v>
      </c>
      <c r="B17" s="218" t="s">
        <v>125</v>
      </c>
      <c r="C17" s="1046">
        <f>CONSOLIDADO!AT18</f>
        <v>88909.310000000012</v>
      </c>
      <c r="D17" s="110"/>
      <c r="E17" s="244"/>
    </row>
    <row r="18" spans="1:5" ht="18" customHeight="1" x14ac:dyDescent="0.2">
      <c r="A18" s="213">
        <v>51202</v>
      </c>
      <c r="B18" s="220" t="s">
        <v>136</v>
      </c>
      <c r="C18" s="1046">
        <f>CONSOLIDADO!AT19</f>
        <v>16245</v>
      </c>
      <c r="D18" s="103"/>
      <c r="E18" s="244"/>
    </row>
    <row r="19" spans="1:5" s="5" customFormat="1" ht="12.75" customHeight="1" x14ac:dyDescent="0.2">
      <c r="A19" s="212" t="s">
        <v>137</v>
      </c>
      <c r="B19" s="218" t="s">
        <v>127</v>
      </c>
      <c r="C19" s="1046"/>
      <c r="D19" s="103"/>
      <c r="E19" s="107"/>
    </row>
    <row r="20" spans="1:5" s="5" customFormat="1" ht="12.75" customHeight="1" x14ac:dyDescent="0.2">
      <c r="A20" s="212" t="s">
        <v>138</v>
      </c>
      <c r="B20" s="218" t="s">
        <v>132</v>
      </c>
      <c r="C20" s="1046"/>
      <c r="D20" s="103"/>
      <c r="E20" s="107"/>
    </row>
    <row r="21" spans="1:5" ht="18" customHeight="1" x14ac:dyDescent="0.2">
      <c r="A21" s="214" t="s">
        <v>139</v>
      </c>
      <c r="B21" s="219" t="s">
        <v>140</v>
      </c>
      <c r="C21" s="1046"/>
      <c r="D21" s="103">
        <f>SUM(C22:C23)</f>
        <v>0</v>
      </c>
      <c r="E21" s="244"/>
    </row>
    <row r="22" spans="1:5" ht="18" customHeight="1" x14ac:dyDescent="0.2">
      <c r="A22" s="213">
        <v>51301</v>
      </c>
      <c r="B22" s="220" t="s">
        <v>141</v>
      </c>
      <c r="C22" s="1046">
        <f>+CONSOLIDADO!AT23</f>
        <v>0</v>
      </c>
      <c r="D22" s="103"/>
      <c r="E22" s="244"/>
    </row>
    <row r="23" spans="1:5" s="5" customFormat="1" ht="12.75" hidden="1" customHeight="1" x14ac:dyDescent="0.2">
      <c r="A23" s="213">
        <v>51302</v>
      </c>
      <c r="B23" s="220" t="s">
        <v>142</v>
      </c>
      <c r="C23" s="1046"/>
      <c r="D23" s="103"/>
      <c r="E23" s="107"/>
    </row>
    <row r="24" spans="1:5" ht="12.75" x14ac:dyDescent="0.2">
      <c r="A24" s="211">
        <v>514</v>
      </c>
      <c r="B24" s="221" t="s">
        <v>143</v>
      </c>
      <c r="C24" s="1046"/>
      <c r="D24" s="103">
        <f>SUM(C25:C26)</f>
        <v>25600.83</v>
      </c>
      <c r="E24" s="244"/>
    </row>
    <row r="25" spans="1:5" ht="18" customHeight="1" x14ac:dyDescent="0.2">
      <c r="A25" s="212" t="s">
        <v>144</v>
      </c>
      <c r="B25" s="218" t="s">
        <v>145</v>
      </c>
      <c r="C25" s="1046">
        <f>CONSOLIDADO!AT26</f>
        <v>25600.83</v>
      </c>
      <c r="D25" s="103"/>
      <c r="E25" s="244"/>
    </row>
    <row r="26" spans="1:5" ht="12.75" hidden="1" customHeight="1" x14ac:dyDescent="0.2">
      <c r="A26" s="212" t="s">
        <v>146</v>
      </c>
      <c r="B26" s="218" t="s">
        <v>147</v>
      </c>
      <c r="C26" s="1046"/>
      <c r="D26" s="110"/>
      <c r="E26" s="244"/>
    </row>
    <row r="27" spans="1:5" s="5" customFormat="1" ht="12.75" x14ac:dyDescent="0.2">
      <c r="A27" s="211">
        <v>515</v>
      </c>
      <c r="B27" s="221" t="s">
        <v>148</v>
      </c>
      <c r="C27" s="1046"/>
      <c r="D27" s="103">
        <f>SUM(C28:C29)</f>
        <v>22223.200000000001</v>
      </c>
      <c r="E27" s="107"/>
    </row>
    <row r="28" spans="1:5" s="5" customFormat="1" ht="18" customHeight="1" x14ac:dyDescent="0.2">
      <c r="A28" s="212" t="s">
        <v>149</v>
      </c>
      <c r="B28" s="218" t="s">
        <v>145</v>
      </c>
      <c r="C28" s="1046">
        <f>CONSOLIDADO!AT29</f>
        <v>22223.200000000001</v>
      </c>
      <c r="D28" s="103"/>
      <c r="E28" s="107"/>
    </row>
    <row r="29" spans="1:5" ht="12.75" hidden="1" customHeight="1" x14ac:dyDescent="0.2">
      <c r="A29" s="212" t="s">
        <v>150</v>
      </c>
      <c r="B29" s="218" t="s">
        <v>147</v>
      </c>
      <c r="C29" s="1046"/>
      <c r="D29" s="103"/>
      <c r="E29" s="244"/>
    </row>
    <row r="30" spans="1:5" s="5" customFormat="1" ht="18" customHeight="1" x14ac:dyDescent="0.2">
      <c r="A30" s="214" t="s">
        <v>151</v>
      </c>
      <c r="B30" s="219" t="s">
        <v>152</v>
      </c>
      <c r="C30" s="1046"/>
      <c r="D30" s="103">
        <f>SUM(C31:C32)</f>
        <v>7200</v>
      </c>
      <c r="E30" s="107"/>
    </row>
    <row r="31" spans="1:5" s="5" customFormat="1" ht="18" customHeight="1" x14ac:dyDescent="0.2">
      <c r="A31" s="213">
        <v>51601</v>
      </c>
      <c r="B31" s="220" t="s">
        <v>153</v>
      </c>
      <c r="C31" s="1046">
        <f>CONSOLIDADO!AT32</f>
        <v>7200</v>
      </c>
      <c r="D31" s="103"/>
      <c r="E31" s="107"/>
    </row>
    <row r="32" spans="1:5" ht="18" customHeight="1" x14ac:dyDescent="0.2">
      <c r="A32" s="213">
        <v>51602</v>
      </c>
      <c r="B32" s="220" t="s">
        <v>154</v>
      </c>
      <c r="C32" s="1046"/>
      <c r="D32" s="110"/>
      <c r="E32" s="244"/>
    </row>
    <row r="33" spans="1:6" ht="18" customHeight="1" x14ac:dyDescent="0.2">
      <c r="A33" s="211">
        <v>517</v>
      </c>
      <c r="B33" s="222" t="s">
        <v>155</v>
      </c>
      <c r="C33" s="1046"/>
      <c r="D33" s="103">
        <f>SUM(C34:C35)</f>
        <v>0</v>
      </c>
      <c r="E33" s="244"/>
    </row>
    <row r="34" spans="1:6" s="5" customFormat="1" ht="18" customHeight="1" x14ac:dyDescent="0.2">
      <c r="A34" s="213">
        <v>51701</v>
      </c>
      <c r="B34" s="220" t="s">
        <v>156</v>
      </c>
      <c r="C34" s="1046"/>
      <c r="D34" s="103"/>
      <c r="E34" s="107"/>
    </row>
    <row r="35" spans="1:6" s="5" customFormat="1" ht="12.75" hidden="1" customHeight="1" x14ac:dyDescent="0.2">
      <c r="A35" s="213">
        <v>51702</v>
      </c>
      <c r="B35" s="220" t="s">
        <v>157</v>
      </c>
      <c r="C35" s="1046"/>
      <c r="D35" s="103"/>
      <c r="E35" s="107"/>
    </row>
    <row r="36" spans="1:6" ht="12.75" hidden="1" customHeight="1" x14ac:dyDescent="0.2">
      <c r="A36" s="211">
        <v>518</v>
      </c>
      <c r="B36" s="222" t="s">
        <v>158</v>
      </c>
      <c r="C36" s="1046"/>
      <c r="D36" s="103">
        <f>SUM(C37)</f>
        <v>0</v>
      </c>
      <c r="E36" s="244"/>
    </row>
    <row r="37" spans="1:6" ht="12.75" hidden="1" customHeight="1" x14ac:dyDescent="0.2">
      <c r="A37" s="213">
        <v>51803</v>
      </c>
      <c r="B37" s="220" t="s">
        <v>159</v>
      </c>
      <c r="C37" s="1046"/>
      <c r="D37" s="110"/>
      <c r="E37" s="244"/>
    </row>
    <row r="38" spans="1:6" s="5" customFormat="1" ht="18" customHeight="1" x14ac:dyDescent="0.2">
      <c r="A38" s="211">
        <v>519</v>
      </c>
      <c r="B38" s="222" t="s">
        <v>160</v>
      </c>
      <c r="C38" s="1046"/>
      <c r="D38" s="103">
        <f>SUM(C39:C40)</f>
        <v>12133.32</v>
      </c>
      <c r="E38" s="107"/>
    </row>
    <row r="39" spans="1:6" s="5" customFormat="1" ht="18" customHeight="1" x14ac:dyDescent="0.2">
      <c r="A39" s="213">
        <v>51901</v>
      </c>
      <c r="B39" s="220" t="s">
        <v>161</v>
      </c>
      <c r="C39" s="1046">
        <f>CONSOLIDADO!AT40</f>
        <v>12133.32</v>
      </c>
      <c r="D39" s="103"/>
      <c r="E39" s="107"/>
    </row>
    <row r="40" spans="1:6" ht="18" hidden="1" customHeight="1" x14ac:dyDescent="0.2">
      <c r="A40" s="213">
        <v>51999</v>
      </c>
      <c r="B40" s="220" t="s">
        <v>160</v>
      </c>
      <c r="C40" s="1046">
        <f>CONSOLIDADO!AT41</f>
        <v>0</v>
      </c>
      <c r="D40" s="110"/>
      <c r="E40" s="244"/>
    </row>
    <row r="41" spans="1:6" s="5" customFormat="1" ht="7.5" customHeight="1" x14ac:dyDescent="0.2">
      <c r="A41" s="213"/>
      <c r="B41" s="220"/>
      <c r="C41" s="1046"/>
      <c r="D41" s="103"/>
      <c r="E41" s="107"/>
    </row>
    <row r="42" spans="1:6" ht="12.75" x14ac:dyDescent="0.2">
      <c r="A42" s="211">
        <v>54</v>
      </c>
      <c r="B42" s="222" t="s">
        <v>27</v>
      </c>
      <c r="C42" s="1046"/>
      <c r="D42" s="110"/>
      <c r="E42" s="996">
        <f>SUM(D43:D85)</f>
        <v>496289.86</v>
      </c>
      <c r="F42" s="5"/>
    </row>
    <row r="43" spans="1:6" s="5" customFormat="1" ht="12.75" x14ac:dyDescent="0.2">
      <c r="A43" s="211">
        <v>541</v>
      </c>
      <c r="B43" s="222" t="s">
        <v>28</v>
      </c>
      <c r="C43" s="1046"/>
      <c r="D43" s="103">
        <f>SUM(C44:C62)</f>
        <v>146366.65</v>
      </c>
      <c r="E43" s="107"/>
    </row>
    <row r="44" spans="1:6" ht="18" customHeight="1" x14ac:dyDescent="0.2">
      <c r="A44" s="213">
        <v>54101</v>
      </c>
      <c r="B44" s="220" t="s">
        <v>29</v>
      </c>
      <c r="C44" s="1046">
        <f>CONSOLIDADO!AT45</f>
        <v>1150</v>
      </c>
      <c r="D44" s="110"/>
      <c r="E44" s="244"/>
    </row>
    <row r="45" spans="1:6" ht="12.75" customHeight="1" x14ac:dyDescent="0.2">
      <c r="A45" s="213">
        <v>54103</v>
      </c>
      <c r="B45" s="220" t="s">
        <v>30</v>
      </c>
      <c r="C45" s="1046">
        <f>CONSOLIDADO!AT46</f>
        <v>4800</v>
      </c>
      <c r="D45" s="110"/>
      <c r="E45" s="244"/>
    </row>
    <row r="46" spans="1:6" ht="18" customHeight="1" x14ac:dyDescent="0.2">
      <c r="A46" s="213">
        <v>54104</v>
      </c>
      <c r="B46" s="220" t="s">
        <v>31</v>
      </c>
      <c r="C46" s="1046">
        <f>CONSOLIDADO!AT47</f>
        <v>11783</v>
      </c>
      <c r="D46" s="110"/>
      <c r="E46" s="244"/>
    </row>
    <row r="47" spans="1:6" ht="18" customHeight="1" x14ac:dyDescent="0.2">
      <c r="A47" s="213">
        <v>54105</v>
      </c>
      <c r="B47" s="220" t="s">
        <v>32</v>
      </c>
      <c r="C47" s="1046">
        <f>CONSOLIDADO!AT48</f>
        <v>5811</v>
      </c>
      <c r="D47" s="110"/>
      <c r="E47" s="244"/>
    </row>
    <row r="48" spans="1:6" s="5" customFormat="1" ht="12.75" customHeight="1" x14ac:dyDescent="0.2">
      <c r="A48" s="213">
        <v>54106</v>
      </c>
      <c r="B48" s="220" t="s">
        <v>33</v>
      </c>
      <c r="C48" s="1046">
        <f>CONSOLIDADO!AT49</f>
        <v>50</v>
      </c>
      <c r="D48" s="103"/>
      <c r="E48" s="107"/>
    </row>
    <row r="49" spans="1:5" s="5" customFormat="1" ht="18" customHeight="1" x14ac:dyDescent="0.2">
      <c r="A49" s="213">
        <v>54107</v>
      </c>
      <c r="B49" s="220" t="s">
        <v>34</v>
      </c>
      <c r="C49" s="1046">
        <f>CONSOLIDADO!AT50</f>
        <v>30158.03</v>
      </c>
      <c r="D49" s="103"/>
      <c r="E49" s="107"/>
    </row>
    <row r="50" spans="1:5" ht="18" hidden="1" customHeight="1" x14ac:dyDescent="0.2">
      <c r="A50" s="213">
        <v>54108</v>
      </c>
      <c r="B50" s="220" t="s">
        <v>35</v>
      </c>
      <c r="C50" s="1046">
        <f>CONSOLIDADO!AT51</f>
        <v>0</v>
      </c>
      <c r="D50" s="110"/>
      <c r="E50" s="244"/>
    </row>
    <row r="51" spans="1:5" ht="18" customHeight="1" x14ac:dyDescent="0.2">
      <c r="A51" s="213">
        <v>54109</v>
      </c>
      <c r="B51" s="220" t="s">
        <v>36</v>
      </c>
      <c r="C51" s="1046">
        <f>CONSOLIDADO!AT52</f>
        <v>3100</v>
      </c>
      <c r="D51" s="110"/>
      <c r="E51" s="244"/>
    </row>
    <row r="52" spans="1:5" s="5" customFormat="1" ht="18" customHeight="1" x14ac:dyDescent="0.2">
      <c r="A52" s="213">
        <v>54110</v>
      </c>
      <c r="B52" s="220" t="s">
        <v>37</v>
      </c>
      <c r="C52" s="1046">
        <f>CONSOLIDADO!AT53</f>
        <v>9600</v>
      </c>
      <c r="D52" s="103"/>
      <c r="E52" s="107"/>
    </row>
    <row r="53" spans="1:5" s="5" customFormat="1" ht="18" customHeight="1" x14ac:dyDescent="0.2">
      <c r="A53" s="213">
        <v>54111</v>
      </c>
      <c r="B53" s="220" t="s">
        <v>38</v>
      </c>
      <c r="C53" s="1046">
        <f>CONSOLIDADO!AT54</f>
        <v>8575.5499999999993</v>
      </c>
      <c r="D53" s="103"/>
      <c r="E53" s="107"/>
    </row>
    <row r="54" spans="1:5" ht="18" customHeight="1" x14ac:dyDescent="0.2">
      <c r="A54" s="213">
        <v>54112</v>
      </c>
      <c r="B54" s="220" t="s">
        <v>39</v>
      </c>
      <c r="C54" s="1046">
        <f>+CONSOLIDADO!AT55</f>
        <v>19477.25</v>
      </c>
      <c r="D54" s="103"/>
      <c r="E54" s="244"/>
    </row>
    <row r="55" spans="1:5" s="5" customFormat="1" ht="18" customHeight="1" x14ac:dyDescent="0.2">
      <c r="A55" s="213">
        <v>54114</v>
      </c>
      <c r="B55" s="220" t="s">
        <v>40</v>
      </c>
      <c r="C55" s="1046">
        <f>CONSOLIDADO!AT56</f>
        <v>1650</v>
      </c>
      <c r="D55" s="103"/>
      <c r="E55" s="107"/>
    </row>
    <row r="56" spans="1:5" s="5" customFormat="1" ht="18" customHeight="1" x14ac:dyDescent="0.2">
      <c r="A56" s="213">
        <v>54115</v>
      </c>
      <c r="B56" s="220" t="s">
        <v>41</v>
      </c>
      <c r="C56" s="1046">
        <f>CONSOLIDADO!AT57</f>
        <v>2775</v>
      </c>
      <c r="D56" s="103"/>
      <c r="E56" s="107"/>
    </row>
    <row r="57" spans="1:5" ht="18" customHeight="1" x14ac:dyDescent="0.2">
      <c r="A57" s="213">
        <v>54116</v>
      </c>
      <c r="B57" s="220" t="s">
        <v>42</v>
      </c>
      <c r="C57" s="1046">
        <f>CONSOLIDADO!AT58</f>
        <v>7023.25</v>
      </c>
      <c r="D57" s="110"/>
      <c r="E57" s="244"/>
    </row>
    <row r="58" spans="1:5" ht="12.75" hidden="1" customHeight="1" x14ac:dyDescent="0.2">
      <c r="A58" s="213">
        <v>54117</v>
      </c>
      <c r="B58" s="220" t="s">
        <v>43</v>
      </c>
      <c r="C58" s="1046">
        <f>CONSOLIDADO!AT59</f>
        <v>0</v>
      </c>
      <c r="D58" s="110"/>
      <c r="E58" s="244"/>
    </row>
    <row r="59" spans="1:5" ht="18" customHeight="1" x14ac:dyDescent="0.2">
      <c r="A59" s="213">
        <v>54118</v>
      </c>
      <c r="B59" s="220" t="s">
        <v>44</v>
      </c>
      <c r="C59" s="1046">
        <f>CONSOLIDADO!AT60</f>
        <v>4933</v>
      </c>
      <c r="D59" s="110"/>
      <c r="E59" s="244"/>
    </row>
    <row r="60" spans="1:5" ht="18" customHeight="1" x14ac:dyDescent="0.2">
      <c r="A60" s="213">
        <v>54119</v>
      </c>
      <c r="B60" s="220" t="s">
        <v>45</v>
      </c>
      <c r="C60" s="1046">
        <f>CONSOLIDADO!AT61</f>
        <v>3733.76</v>
      </c>
      <c r="D60" s="110"/>
      <c r="E60" s="244"/>
    </row>
    <row r="61" spans="1:5" ht="18" customHeight="1" x14ac:dyDescent="0.2">
      <c r="A61" s="829">
        <v>54121</v>
      </c>
      <c r="B61" s="830" t="s">
        <v>46</v>
      </c>
      <c r="C61" s="1047">
        <f>CONSOLIDADO!AT62</f>
        <v>3650</v>
      </c>
      <c r="D61" s="279"/>
      <c r="E61" s="828"/>
    </row>
    <row r="62" spans="1:5" ht="18" customHeight="1" x14ac:dyDescent="0.2">
      <c r="A62" s="213">
        <v>54199</v>
      </c>
      <c r="B62" s="220" t="s">
        <v>47</v>
      </c>
      <c r="C62" s="1046">
        <f>CONSOLIDADO!AT63</f>
        <v>28096.81</v>
      </c>
      <c r="D62" s="110"/>
      <c r="E62" s="244"/>
    </row>
    <row r="63" spans="1:5" ht="12.75" x14ac:dyDescent="0.2">
      <c r="A63" s="211">
        <v>542</v>
      </c>
      <c r="B63" s="222" t="s">
        <v>48</v>
      </c>
      <c r="C63" s="1046"/>
      <c r="D63" s="103">
        <f>SUM(C64:C68)</f>
        <v>249597.28</v>
      </c>
      <c r="E63" s="244"/>
    </row>
    <row r="64" spans="1:5" ht="12.75" x14ac:dyDescent="0.2">
      <c r="A64" s="213">
        <v>54201</v>
      </c>
      <c r="B64" s="220" t="s">
        <v>49</v>
      </c>
      <c r="C64" s="1046">
        <f>CONSOLIDADO!AT65</f>
        <v>204018.01</v>
      </c>
      <c r="D64" s="110"/>
      <c r="E64" s="244"/>
    </row>
    <row r="65" spans="1:5" ht="18" customHeight="1" x14ac:dyDescent="0.2">
      <c r="A65" s="213">
        <v>54202</v>
      </c>
      <c r="B65" s="220" t="s">
        <v>50</v>
      </c>
      <c r="C65" s="1046">
        <f>CONSOLIDADO!AT66</f>
        <v>3096.5</v>
      </c>
      <c r="D65" s="110"/>
      <c r="E65" s="244"/>
    </row>
    <row r="66" spans="1:5" ht="18" customHeight="1" x14ac:dyDescent="0.2">
      <c r="A66" s="213">
        <v>54203</v>
      </c>
      <c r="B66" s="220" t="s">
        <v>51</v>
      </c>
      <c r="C66" s="1046">
        <f>CONSOLIDADO!AT67</f>
        <v>11100</v>
      </c>
      <c r="D66" s="110"/>
      <c r="E66" s="244"/>
    </row>
    <row r="67" spans="1:5" ht="12.75" hidden="1" customHeight="1" x14ac:dyDescent="0.2">
      <c r="A67" s="213">
        <v>54204</v>
      </c>
      <c r="B67" s="220" t="s">
        <v>52</v>
      </c>
      <c r="C67" s="1046">
        <f>CONSOLIDADO!AT68</f>
        <v>0</v>
      </c>
      <c r="D67" s="110"/>
      <c r="E67" s="244"/>
    </row>
    <row r="68" spans="1:5" ht="18" customHeight="1" x14ac:dyDescent="0.2">
      <c r="A68" s="213">
        <v>54205</v>
      </c>
      <c r="B68" s="220" t="s">
        <v>53</v>
      </c>
      <c r="C68" s="1046">
        <f>CONSOLIDADO!AT69</f>
        <v>31382.77</v>
      </c>
      <c r="D68" s="103"/>
      <c r="E68" s="244"/>
    </row>
    <row r="69" spans="1:5" ht="18" customHeight="1" x14ac:dyDescent="0.2">
      <c r="A69" s="211">
        <v>543</v>
      </c>
      <c r="B69" s="222" t="s">
        <v>54</v>
      </c>
      <c r="C69" s="1046"/>
      <c r="D69" s="103">
        <f>SUM(C70:C84)</f>
        <v>97625.930000000008</v>
      </c>
      <c r="E69" s="244"/>
    </row>
    <row r="70" spans="1:5" ht="18" customHeight="1" x14ac:dyDescent="0.2">
      <c r="A70" s="213">
        <v>54301</v>
      </c>
      <c r="B70" s="220" t="s">
        <v>55</v>
      </c>
      <c r="C70" s="1046">
        <f>CONSOLIDADO!AT71</f>
        <v>3505</v>
      </c>
      <c r="D70" s="110"/>
      <c r="E70" s="244"/>
    </row>
    <row r="71" spans="1:5" ht="18" customHeight="1" x14ac:dyDescent="0.2">
      <c r="A71" s="213">
        <v>54302</v>
      </c>
      <c r="B71" s="220" t="s">
        <v>56</v>
      </c>
      <c r="C71" s="1046">
        <f>CONSOLIDADO!AT72</f>
        <v>4000</v>
      </c>
      <c r="D71" s="110"/>
      <c r="E71" s="244"/>
    </row>
    <row r="72" spans="1:5" ht="18" hidden="1" customHeight="1" x14ac:dyDescent="0.2">
      <c r="A72" s="213">
        <v>54303</v>
      </c>
      <c r="B72" s="220" t="s">
        <v>57</v>
      </c>
      <c r="C72" s="1046">
        <f>CONSOLIDADO!AT73</f>
        <v>0</v>
      </c>
      <c r="D72" s="110"/>
      <c r="E72" s="244"/>
    </row>
    <row r="73" spans="1:5" ht="18" customHeight="1" x14ac:dyDescent="0.2">
      <c r="A73" s="213">
        <v>54304</v>
      </c>
      <c r="B73" s="220" t="s">
        <v>58</v>
      </c>
      <c r="C73" s="1046">
        <f>CONSOLIDADO!AT74</f>
        <v>4650</v>
      </c>
      <c r="D73" s="110"/>
      <c r="E73" s="244"/>
    </row>
    <row r="74" spans="1:5" ht="18" customHeight="1" x14ac:dyDescent="0.2">
      <c r="A74" s="213">
        <v>54305</v>
      </c>
      <c r="B74" s="220" t="s">
        <v>59</v>
      </c>
      <c r="C74" s="1046">
        <f>CONSOLIDADO!AT75</f>
        <v>720</v>
      </c>
      <c r="D74" s="110"/>
      <c r="E74" s="244"/>
    </row>
    <row r="75" spans="1:5" ht="18" hidden="1" customHeight="1" x14ac:dyDescent="0.2">
      <c r="A75" s="213">
        <v>54306</v>
      </c>
      <c r="B75" s="220" t="s">
        <v>60</v>
      </c>
      <c r="C75" s="1046"/>
      <c r="D75" s="110"/>
      <c r="E75" s="244"/>
    </row>
    <row r="76" spans="1:5" ht="18" customHeight="1" x14ac:dyDescent="0.2">
      <c r="A76" s="213">
        <v>54307</v>
      </c>
      <c r="B76" s="220" t="s">
        <v>61</v>
      </c>
      <c r="C76" s="1046">
        <f>CONSOLIDADO!AT77</f>
        <v>1200</v>
      </c>
      <c r="D76" s="110"/>
      <c r="E76" s="107"/>
    </row>
    <row r="77" spans="1:5" ht="12.75" hidden="1" customHeight="1" x14ac:dyDescent="0.2">
      <c r="A77" s="213">
        <v>54309</v>
      </c>
      <c r="B77" s="220" t="s">
        <v>62</v>
      </c>
      <c r="C77" s="1046"/>
      <c r="D77" s="103"/>
      <c r="E77" s="244"/>
    </row>
    <row r="78" spans="1:5" ht="12.75" hidden="1" customHeight="1" x14ac:dyDescent="0.2">
      <c r="A78" s="213">
        <v>54310</v>
      </c>
      <c r="B78" s="220" t="s">
        <v>63</v>
      </c>
      <c r="C78" s="1046"/>
      <c r="D78" s="110"/>
      <c r="E78" s="244"/>
    </row>
    <row r="79" spans="1:5" ht="12.75" hidden="1" customHeight="1" x14ac:dyDescent="0.2">
      <c r="A79" s="213">
        <v>54311</v>
      </c>
      <c r="B79" s="220" t="s">
        <v>64</v>
      </c>
      <c r="C79" s="1046"/>
      <c r="D79" s="110"/>
      <c r="E79" s="244"/>
    </row>
    <row r="80" spans="1:5" ht="12.75" customHeight="1" x14ac:dyDescent="0.2">
      <c r="A80" s="213">
        <v>54313</v>
      </c>
      <c r="B80" s="220" t="s">
        <v>65</v>
      </c>
      <c r="C80" s="1046">
        <f>CONSOLIDADO!AT81</f>
        <v>200</v>
      </c>
      <c r="D80" s="103"/>
      <c r="E80" s="244"/>
    </row>
    <row r="81" spans="1:7" ht="18" customHeight="1" x14ac:dyDescent="0.2">
      <c r="A81" s="213">
        <v>54314</v>
      </c>
      <c r="B81" s="220" t="s">
        <v>66</v>
      </c>
      <c r="C81" s="1046">
        <f>CONSOLIDADO!AT82</f>
        <v>45514.11</v>
      </c>
      <c r="D81" s="110"/>
      <c r="E81" s="244"/>
    </row>
    <row r="82" spans="1:7" ht="12.75" hidden="1" customHeight="1" x14ac:dyDescent="0.2">
      <c r="A82" s="213">
        <v>54316</v>
      </c>
      <c r="B82" s="220" t="s">
        <v>67</v>
      </c>
      <c r="C82" s="1046"/>
      <c r="D82" s="110"/>
      <c r="E82" s="244"/>
    </row>
    <row r="83" spans="1:7" ht="18" customHeight="1" x14ac:dyDescent="0.2">
      <c r="A83" s="213">
        <v>54317</v>
      </c>
      <c r="B83" s="220" t="s">
        <v>68</v>
      </c>
      <c r="C83" s="1046">
        <f>CONSOLIDADO!AT84</f>
        <v>5700</v>
      </c>
      <c r="D83" s="110"/>
      <c r="E83" s="107"/>
    </row>
    <row r="84" spans="1:7" ht="18" customHeight="1" x14ac:dyDescent="0.2">
      <c r="A84" s="213">
        <v>54399</v>
      </c>
      <c r="B84" s="220" t="s">
        <v>69</v>
      </c>
      <c r="C84" s="1046">
        <f>CONSOLIDADO!AT85</f>
        <v>32136.820000000003</v>
      </c>
      <c r="D84" s="103"/>
      <c r="E84" s="244"/>
    </row>
    <row r="85" spans="1:7" ht="12.75" x14ac:dyDescent="0.2">
      <c r="A85" s="211">
        <v>544</v>
      </c>
      <c r="B85" s="222" t="s">
        <v>70</v>
      </c>
      <c r="C85" s="1046"/>
      <c r="D85" s="103">
        <f>SUM(C86:C89)</f>
        <v>2700</v>
      </c>
      <c r="E85" s="244"/>
    </row>
    <row r="86" spans="1:7" ht="18" customHeight="1" x14ac:dyDescent="0.2">
      <c r="A86" s="213">
        <v>54401</v>
      </c>
      <c r="B86" s="220" t="s">
        <v>71</v>
      </c>
      <c r="C86" s="1046">
        <f>CONSOLIDADO!AT87</f>
        <v>250</v>
      </c>
      <c r="D86" s="110"/>
      <c r="E86" s="244"/>
    </row>
    <row r="87" spans="1:7" ht="12.75" hidden="1" customHeight="1" x14ac:dyDescent="0.2">
      <c r="A87" s="213">
        <v>54402</v>
      </c>
      <c r="B87" s="220" t="s">
        <v>72</v>
      </c>
      <c r="C87" s="1046">
        <f>CONSOLIDADO!AT88</f>
        <v>0</v>
      </c>
      <c r="D87" s="110"/>
      <c r="E87" s="244"/>
    </row>
    <row r="88" spans="1:7" ht="18" customHeight="1" x14ac:dyDescent="0.2">
      <c r="A88" s="213">
        <v>54403</v>
      </c>
      <c r="B88" s="220" t="s">
        <v>73</v>
      </c>
      <c r="C88" s="1046">
        <f>CONSOLIDADO!AT89</f>
        <v>450</v>
      </c>
      <c r="D88" s="110"/>
      <c r="E88" s="244"/>
    </row>
    <row r="89" spans="1:7" ht="12.75" customHeight="1" x14ac:dyDescent="0.2">
      <c r="A89" s="213">
        <v>54404</v>
      </c>
      <c r="B89" s="220" t="s">
        <v>74</v>
      </c>
      <c r="C89" s="1046">
        <f>CONSOLIDADO!AT90</f>
        <v>2000</v>
      </c>
      <c r="D89" s="110"/>
      <c r="E89" s="244"/>
    </row>
    <row r="90" spans="1:7" ht="12.75" x14ac:dyDescent="0.2">
      <c r="A90" s="211">
        <v>545</v>
      </c>
      <c r="B90" s="222" t="s">
        <v>75</v>
      </c>
      <c r="C90" s="1046"/>
      <c r="D90" s="103">
        <f>C91+C92</f>
        <v>0</v>
      </c>
      <c r="E90" s="244"/>
    </row>
    <row r="91" spans="1:7" ht="18" customHeight="1" x14ac:dyDescent="0.2">
      <c r="A91" s="213">
        <v>54503</v>
      </c>
      <c r="B91" s="220" t="s">
        <v>77</v>
      </c>
      <c r="C91" s="1046">
        <f>+CONSOLIDADO!AT92</f>
        <v>0</v>
      </c>
      <c r="D91" s="110"/>
      <c r="E91" s="244"/>
    </row>
    <row r="92" spans="1:7" ht="18" customHeight="1" x14ac:dyDescent="0.2">
      <c r="A92" s="213">
        <v>54599</v>
      </c>
      <c r="B92" s="220" t="s">
        <v>488</v>
      </c>
      <c r="C92" s="1046">
        <f>CONSOLIDADO!AT93</f>
        <v>0</v>
      </c>
      <c r="D92" s="110"/>
      <c r="E92" s="244"/>
    </row>
    <row r="93" spans="1:7" ht="18" customHeight="1" x14ac:dyDescent="0.2">
      <c r="A93" s="211">
        <v>55</v>
      </c>
      <c r="B93" s="222" t="s">
        <v>83</v>
      </c>
      <c r="C93" s="1046"/>
      <c r="D93" s="103"/>
      <c r="E93" s="107">
        <f>SUM(D94:D109)</f>
        <v>174346.13</v>
      </c>
      <c r="G93" s="400"/>
    </row>
    <row r="94" spans="1:7" ht="15.75" customHeight="1" x14ac:dyDescent="0.2">
      <c r="A94" s="211">
        <v>553</v>
      </c>
      <c r="B94" s="221" t="s">
        <v>84</v>
      </c>
      <c r="C94" s="1046"/>
      <c r="D94" s="103">
        <f>SUM(C95:C99)</f>
        <v>168970.07</v>
      </c>
      <c r="E94" s="107"/>
    </row>
    <row r="95" spans="1:7" ht="18" customHeight="1" x14ac:dyDescent="0.2">
      <c r="A95" s="213">
        <v>55302</v>
      </c>
      <c r="B95" s="223" t="s">
        <v>502</v>
      </c>
      <c r="C95" s="1046">
        <f>CONSOLIDADO!AT96</f>
        <v>4460.1499999999996</v>
      </c>
      <c r="D95" s="103"/>
      <c r="E95" s="107"/>
    </row>
    <row r="96" spans="1:7" ht="12.75" hidden="1" customHeight="1" x14ac:dyDescent="0.2">
      <c r="A96" s="213">
        <v>55303</v>
      </c>
      <c r="B96" s="223" t="s">
        <v>85</v>
      </c>
      <c r="C96" s="1046"/>
      <c r="D96" s="103"/>
      <c r="E96" s="107"/>
    </row>
    <row r="97" spans="1:6" ht="18" customHeight="1" x14ac:dyDescent="0.2">
      <c r="A97" s="213">
        <v>55304</v>
      </c>
      <c r="B97" s="220" t="s">
        <v>86</v>
      </c>
      <c r="C97" s="1046">
        <f>CONSOLIDADO!AT98</f>
        <v>164509.92000000001</v>
      </c>
      <c r="D97" s="103"/>
      <c r="E97" s="107"/>
    </row>
    <row r="98" spans="1:6" ht="12.75" hidden="1" customHeight="1" x14ac:dyDescent="0.2">
      <c r="A98" s="213">
        <v>55306</v>
      </c>
      <c r="B98" s="220" t="s">
        <v>251</v>
      </c>
      <c r="C98" s="1046">
        <f>CONSOLIDADO!AT99</f>
        <v>0</v>
      </c>
      <c r="D98" s="102"/>
      <c r="E98" s="245"/>
      <c r="F98" s="15"/>
    </row>
    <row r="99" spans="1:6" ht="12.75" hidden="1" customHeight="1" x14ac:dyDescent="0.2">
      <c r="A99" s="213">
        <v>55308</v>
      </c>
      <c r="B99" s="220" t="s">
        <v>87</v>
      </c>
      <c r="C99" s="1046"/>
      <c r="D99" s="103"/>
      <c r="E99" s="107"/>
    </row>
    <row r="100" spans="1:6" ht="18" customHeight="1" x14ac:dyDescent="0.2">
      <c r="A100" s="211">
        <v>555</v>
      </c>
      <c r="B100" s="222" t="s">
        <v>481</v>
      </c>
      <c r="C100" s="1046"/>
      <c r="D100" s="103">
        <f>+C101</f>
        <v>318.88</v>
      </c>
      <c r="E100" s="107"/>
    </row>
    <row r="101" spans="1:6" ht="18" customHeight="1" x14ac:dyDescent="0.2">
      <c r="A101" s="213">
        <v>55508</v>
      </c>
      <c r="B101" s="223" t="s">
        <v>335</v>
      </c>
      <c r="C101" s="1046">
        <f>CONSOLIDADO!AT102</f>
        <v>318.88</v>
      </c>
      <c r="D101" s="103"/>
      <c r="E101" s="107"/>
    </row>
    <row r="102" spans="1:6" ht="18" customHeight="1" x14ac:dyDescent="0.2">
      <c r="A102" s="211">
        <v>556</v>
      </c>
      <c r="B102" s="222" t="s">
        <v>88</v>
      </c>
      <c r="C102" s="1046"/>
      <c r="D102" s="103">
        <f>SUM(C103:C105)</f>
        <v>5057.18</v>
      </c>
      <c r="E102" s="107"/>
    </row>
    <row r="103" spans="1:6" ht="12.75" customHeight="1" x14ac:dyDescent="0.2">
      <c r="A103" s="213">
        <v>55601</v>
      </c>
      <c r="B103" s="220" t="s">
        <v>89</v>
      </c>
      <c r="C103" s="1046">
        <f>CONSOLIDADO!AT104</f>
        <v>50</v>
      </c>
      <c r="D103" s="103"/>
      <c r="E103" s="107"/>
    </row>
    <row r="104" spans="1:6" ht="18" customHeight="1" x14ac:dyDescent="0.2">
      <c r="A104" s="213">
        <v>55602</v>
      </c>
      <c r="B104" s="220" t="s">
        <v>90</v>
      </c>
      <c r="C104" s="1046">
        <f>CONSOLIDADO!AT105</f>
        <v>4700</v>
      </c>
      <c r="D104" s="103"/>
      <c r="E104" s="107"/>
    </row>
    <row r="105" spans="1:6" ht="18" customHeight="1" x14ac:dyDescent="0.2">
      <c r="A105" s="213">
        <v>55603</v>
      </c>
      <c r="B105" s="220" t="s">
        <v>91</v>
      </c>
      <c r="C105" s="1046">
        <f>CONSOLIDADO!AT106</f>
        <v>307.18</v>
      </c>
      <c r="D105" s="103"/>
      <c r="E105" s="107"/>
    </row>
    <row r="106" spans="1:6" ht="12.75" hidden="1" customHeight="1" x14ac:dyDescent="0.2">
      <c r="A106" s="211">
        <v>557</v>
      </c>
      <c r="B106" s="222" t="s">
        <v>92</v>
      </c>
      <c r="C106" s="1046"/>
      <c r="D106" s="103">
        <f>SUM(C107:C109)</f>
        <v>0</v>
      </c>
      <c r="E106" s="107"/>
    </row>
    <row r="107" spans="1:6" ht="12.75" hidden="1" customHeight="1" x14ac:dyDescent="0.2">
      <c r="A107" s="213">
        <v>55701</v>
      </c>
      <c r="B107" s="220" t="s">
        <v>93</v>
      </c>
      <c r="C107" s="1046"/>
      <c r="D107" s="103"/>
      <c r="E107" s="107"/>
    </row>
    <row r="108" spans="1:6" ht="12.75" hidden="1" customHeight="1" x14ac:dyDescent="0.2">
      <c r="A108" s="213">
        <v>55702</v>
      </c>
      <c r="B108" s="220" t="s">
        <v>94</v>
      </c>
      <c r="C108" s="1046"/>
      <c r="D108" s="110"/>
      <c r="E108" s="244"/>
    </row>
    <row r="109" spans="1:6" ht="12.75" hidden="1" customHeight="1" x14ac:dyDescent="0.2">
      <c r="A109" s="213">
        <v>55799</v>
      </c>
      <c r="B109" s="220" t="s">
        <v>95</v>
      </c>
      <c r="C109" s="1046"/>
      <c r="D109" s="110"/>
      <c r="E109" s="244"/>
    </row>
    <row r="110" spans="1:6" ht="12.75" hidden="1" customHeight="1" x14ac:dyDescent="0.2">
      <c r="A110" s="213"/>
      <c r="B110" s="220"/>
      <c r="C110" s="1046"/>
      <c r="D110" s="110"/>
      <c r="E110" s="244"/>
    </row>
    <row r="111" spans="1:6" ht="18" customHeight="1" x14ac:dyDescent="0.2">
      <c r="A111" s="211">
        <v>56</v>
      </c>
      <c r="B111" s="222" t="s">
        <v>96</v>
      </c>
      <c r="C111" s="1046"/>
      <c r="D111" s="110"/>
      <c r="E111" s="107">
        <f>SUM(D112:D117)</f>
        <v>141431.98000000001</v>
      </c>
    </row>
    <row r="112" spans="1:6" ht="18" customHeight="1" x14ac:dyDescent="0.2">
      <c r="A112" s="211">
        <v>562</v>
      </c>
      <c r="B112" s="222" t="s">
        <v>97</v>
      </c>
      <c r="C112" s="1046"/>
      <c r="D112" s="103">
        <f>SUM(C113:C114)</f>
        <v>22346.98</v>
      </c>
      <c r="E112" s="244"/>
    </row>
    <row r="113" spans="1:5" ht="18" customHeight="1" x14ac:dyDescent="0.2">
      <c r="A113" s="213">
        <v>56201</v>
      </c>
      <c r="B113" s="220" t="s">
        <v>98</v>
      </c>
      <c r="C113" s="1046">
        <f>CONSOLIDADO!AT114</f>
        <v>22346.98</v>
      </c>
      <c r="D113" s="110"/>
      <c r="E113" s="244"/>
    </row>
    <row r="114" spans="1:5" ht="12.75" hidden="1" customHeight="1" x14ac:dyDescent="0.2">
      <c r="A114" s="213">
        <v>56202</v>
      </c>
      <c r="B114" s="220" t="s">
        <v>238</v>
      </c>
      <c r="C114" s="1046"/>
      <c r="D114" s="110"/>
      <c r="E114" s="244"/>
    </row>
    <row r="115" spans="1:5" ht="18" customHeight="1" x14ac:dyDescent="0.2">
      <c r="A115" s="211">
        <v>563</v>
      </c>
      <c r="B115" s="222" t="s">
        <v>99</v>
      </c>
      <c r="C115" s="1046"/>
      <c r="D115" s="103">
        <f>SUM(C116:C117)</f>
        <v>119085</v>
      </c>
      <c r="E115" s="244"/>
    </row>
    <row r="116" spans="1:5" ht="18" customHeight="1" x14ac:dyDescent="0.2">
      <c r="A116" s="213">
        <v>56304</v>
      </c>
      <c r="B116" s="220" t="s">
        <v>109</v>
      </c>
      <c r="C116" s="1046">
        <f>CONSOLIDADO!AT118</f>
        <v>34750</v>
      </c>
      <c r="D116" s="110"/>
      <c r="E116" s="244"/>
    </row>
    <row r="117" spans="1:5" ht="12.75" x14ac:dyDescent="0.2">
      <c r="A117" s="213">
        <v>56305</v>
      </c>
      <c r="B117" s="220" t="s">
        <v>252</v>
      </c>
      <c r="C117" s="1046">
        <f>CONSOLIDADO!AT119</f>
        <v>84335</v>
      </c>
      <c r="D117" s="110"/>
      <c r="E117" s="244"/>
    </row>
    <row r="118" spans="1:5" ht="11.25" customHeight="1" x14ac:dyDescent="0.2">
      <c r="A118" s="213"/>
      <c r="B118" s="220"/>
      <c r="C118" s="1046"/>
      <c r="D118" s="110"/>
      <c r="E118" s="244"/>
    </row>
    <row r="119" spans="1:5" ht="12.75" x14ac:dyDescent="0.2">
      <c r="A119" s="811" t="s">
        <v>162</v>
      </c>
      <c r="B119" s="812" t="s">
        <v>163</v>
      </c>
      <c r="C119" s="1047"/>
      <c r="D119" s="279"/>
      <c r="E119" s="813">
        <f>SUM(D120:D146)</f>
        <v>3092756.5497999997</v>
      </c>
    </row>
    <row r="120" spans="1:5" ht="18" customHeight="1" x14ac:dyDescent="0.2">
      <c r="A120" s="214" t="s">
        <v>164</v>
      </c>
      <c r="B120" s="219" t="s">
        <v>165</v>
      </c>
      <c r="C120" s="1046"/>
      <c r="D120" s="103">
        <f>SUM(C121:C128)</f>
        <v>186292</v>
      </c>
      <c r="E120" s="244"/>
    </row>
    <row r="121" spans="1:5" ht="18" customHeight="1" x14ac:dyDescent="0.2">
      <c r="A121" s="212" t="s">
        <v>166</v>
      </c>
      <c r="B121" s="218" t="s">
        <v>167</v>
      </c>
      <c r="C121" s="1046">
        <f>CONSOLIDADO!AT125</f>
        <v>8950</v>
      </c>
      <c r="D121" s="110"/>
      <c r="E121" s="244"/>
    </row>
    <row r="122" spans="1:5" ht="12.75" x14ac:dyDescent="0.2">
      <c r="A122" s="212" t="s">
        <v>168</v>
      </c>
      <c r="B122" s="218" t="s">
        <v>169</v>
      </c>
      <c r="C122" s="1046">
        <f>CONSOLIDADO!AT126</f>
        <v>9840</v>
      </c>
      <c r="D122" s="110"/>
      <c r="E122" s="244"/>
    </row>
    <row r="123" spans="1:5" ht="12.75" x14ac:dyDescent="0.2">
      <c r="A123" s="212" t="s">
        <v>170</v>
      </c>
      <c r="B123" s="218" t="s">
        <v>171</v>
      </c>
      <c r="C123" s="1046"/>
      <c r="D123" s="110"/>
      <c r="E123" s="244"/>
    </row>
    <row r="124" spans="1:5" ht="18" customHeight="1" x14ac:dyDescent="0.2">
      <c r="A124" s="212" t="s">
        <v>172</v>
      </c>
      <c r="B124" s="218" t="s">
        <v>173</v>
      </c>
      <c r="C124" s="1046">
        <f>CONSOLIDADO!AT127</f>
        <v>13500</v>
      </c>
      <c r="D124" s="110"/>
      <c r="E124" s="244"/>
    </row>
    <row r="125" spans="1:5" ht="18" customHeight="1" x14ac:dyDescent="0.2">
      <c r="A125" s="212" t="s">
        <v>174</v>
      </c>
      <c r="B125" s="218" t="s">
        <v>175</v>
      </c>
      <c r="C125" s="1046">
        <f>CONSOLIDADO!AT128</f>
        <v>146277</v>
      </c>
      <c r="D125" s="110"/>
      <c r="E125" s="244"/>
    </row>
    <row r="126" spans="1:5" ht="12.75" hidden="1" customHeight="1" x14ac:dyDescent="0.2">
      <c r="A126" s="212" t="s">
        <v>176</v>
      </c>
      <c r="B126" s="218" t="s">
        <v>177</v>
      </c>
      <c r="C126" s="1046"/>
      <c r="D126" s="110"/>
      <c r="E126" s="244"/>
    </row>
    <row r="127" spans="1:5" ht="12.75" hidden="1" customHeight="1" x14ac:dyDescent="0.2">
      <c r="A127" s="212" t="s">
        <v>178</v>
      </c>
      <c r="B127" s="218" t="s">
        <v>179</v>
      </c>
      <c r="C127" s="1046"/>
      <c r="D127" s="110"/>
      <c r="E127" s="244"/>
    </row>
    <row r="128" spans="1:5" ht="18" hidden="1" customHeight="1" x14ac:dyDescent="0.2">
      <c r="A128" s="212" t="s">
        <v>180</v>
      </c>
      <c r="B128" s="218" t="s">
        <v>181</v>
      </c>
      <c r="C128" s="1046">
        <f>+CONSOLIDADO!AT131</f>
        <v>7725</v>
      </c>
      <c r="D128" s="110"/>
      <c r="E128" s="244"/>
    </row>
    <row r="129" spans="1:5" ht="18" customHeight="1" x14ac:dyDescent="0.2">
      <c r="A129" s="214" t="s">
        <v>239</v>
      </c>
      <c r="B129" s="219" t="s">
        <v>193</v>
      </c>
      <c r="C129" s="1046"/>
      <c r="D129" s="103">
        <f>SUM(C130:C132)</f>
        <v>0</v>
      </c>
      <c r="E129" s="244"/>
    </row>
    <row r="130" spans="1:5" ht="12.75" customHeight="1" x14ac:dyDescent="0.2">
      <c r="A130" s="212" t="s">
        <v>240</v>
      </c>
      <c r="B130" s="218" t="s">
        <v>241</v>
      </c>
      <c r="C130" s="1046"/>
      <c r="D130" s="110"/>
      <c r="E130" s="244"/>
    </row>
    <row r="131" spans="1:5" ht="18" customHeight="1" x14ac:dyDescent="0.2">
      <c r="A131" s="212" t="s">
        <v>242</v>
      </c>
      <c r="B131" s="218" t="s">
        <v>243</v>
      </c>
      <c r="C131" s="1046">
        <f>CONSOLIDADO!AT134</f>
        <v>0</v>
      </c>
      <c r="D131" s="110"/>
      <c r="E131" s="244"/>
    </row>
    <row r="132" spans="1:5" ht="18" customHeight="1" x14ac:dyDescent="0.2">
      <c r="A132" s="212" t="s">
        <v>244</v>
      </c>
      <c r="B132" s="218" t="s">
        <v>245</v>
      </c>
      <c r="C132" s="1046"/>
      <c r="D132" s="110"/>
      <c r="E132" s="244"/>
    </row>
    <row r="133" spans="1:5" ht="18" customHeight="1" x14ac:dyDescent="0.2">
      <c r="A133" s="211">
        <v>615</v>
      </c>
      <c r="B133" s="219" t="s">
        <v>194</v>
      </c>
      <c r="C133" s="1046"/>
      <c r="D133" s="103">
        <f>SUM(C134:C137)</f>
        <v>67028.31</v>
      </c>
      <c r="E133" s="244"/>
    </row>
    <row r="134" spans="1:5" ht="18" hidden="1" customHeight="1" x14ac:dyDescent="0.2">
      <c r="A134" s="213">
        <v>61501</v>
      </c>
      <c r="B134" s="218" t="s">
        <v>195</v>
      </c>
      <c r="C134" s="1046"/>
      <c r="D134" s="110"/>
      <c r="E134" s="244"/>
    </row>
    <row r="135" spans="1:5" ht="18" hidden="1" customHeight="1" x14ac:dyDescent="0.2">
      <c r="A135" s="213">
        <v>61502</v>
      </c>
      <c r="B135" s="218" t="s">
        <v>196</v>
      </c>
      <c r="C135" s="1046"/>
      <c r="D135" s="110"/>
      <c r="E135" s="244"/>
    </row>
    <row r="136" spans="1:5" ht="18" hidden="1" customHeight="1" x14ac:dyDescent="0.2">
      <c r="A136" s="213">
        <v>61503</v>
      </c>
      <c r="B136" s="218" t="s">
        <v>197</v>
      </c>
      <c r="C136" s="1046"/>
      <c r="D136" s="110"/>
      <c r="E136" s="244"/>
    </row>
    <row r="137" spans="1:5" ht="18" customHeight="1" x14ac:dyDescent="0.2">
      <c r="A137" s="213">
        <v>61599</v>
      </c>
      <c r="B137" s="218" t="s">
        <v>198</v>
      </c>
      <c r="C137" s="1046">
        <f>CONSOLIDADO!AT140</f>
        <v>67028.31</v>
      </c>
      <c r="D137" s="110"/>
      <c r="E137" s="244"/>
    </row>
    <row r="138" spans="1:5" ht="18" customHeight="1" x14ac:dyDescent="0.2">
      <c r="A138" s="211">
        <v>616</v>
      </c>
      <c r="B138" s="219" t="s">
        <v>199</v>
      </c>
      <c r="C138" s="1046"/>
      <c r="D138" s="103">
        <f>SUM(C139:C146)</f>
        <v>2839436.2397999996</v>
      </c>
      <c r="E138" s="244"/>
    </row>
    <row r="139" spans="1:5" ht="18" customHeight="1" x14ac:dyDescent="0.2">
      <c r="A139" s="213">
        <v>61601</v>
      </c>
      <c r="B139" s="218" t="s">
        <v>200</v>
      </c>
      <c r="C139" s="1046">
        <f>CONSOLIDADO!AT142</f>
        <v>922343.31</v>
      </c>
      <c r="D139" s="110"/>
      <c r="E139" s="244"/>
    </row>
    <row r="140" spans="1:5" ht="18" customHeight="1" x14ac:dyDescent="0.2">
      <c r="A140" s="213">
        <v>61602</v>
      </c>
      <c r="B140" s="218" t="s">
        <v>201</v>
      </c>
      <c r="C140" s="1046">
        <f>CONSOLIDADO!AT143</f>
        <v>651662.39999999991</v>
      </c>
      <c r="D140" s="110"/>
      <c r="E140" s="244"/>
    </row>
    <row r="141" spans="1:5" ht="18" customHeight="1" x14ac:dyDescent="0.2">
      <c r="A141" s="213">
        <v>61603</v>
      </c>
      <c r="B141" s="218" t="s">
        <v>202</v>
      </c>
      <c r="C141" s="1046">
        <f>CONSOLIDADO!AT144</f>
        <v>455086.71</v>
      </c>
      <c r="D141" s="110"/>
      <c r="E141" s="244"/>
    </row>
    <row r="142" spans="1:5" ht="18" customHeight="1" x14ac:dyDescent="0.2">
      <c r="A142" s="213">
        <v>61604</v>
      </c>
      <c r="B142" s="218" t="s">
        <v>203</v>
      </c>
      <c r="C142" s="1046">
        <f>CONSOLIDADO!AT145</f>
        <v>0</v>
      </c>
      <c r="D142" s="110"/>
      <c r="E142" s="244"/>
    </row>
    <row r="143" spans="1:5" ht="18" customHeight="1" x14ac:dyDescent="0.2">
      <c r="A143" s="213">
        <v>61606</v>
      </c>
      <c r="B143" s="218" t="s">
        <v>204</v>
      </c>
      <c r="C143" s="1046">
        <f>CONSOLIDADO!AT146</f>
        <v>203547.76</v>
      </c>
      <c r="D143" s="110"/>
      <c r="E143" s="244"/>
    </row>
    <row r="144" spans="1:5" ht="18" hidden="1" customHeight="1" x14ac:dyDescent="0.2">
      <c r="A144" s="213">
        <v>61607</v>
      </c>
      <c r="B144" s="220" t="s">
        <v>205</v>
      </c>
      <c r="C144" s="1046">
        <f>CONSOLIDADO!AT147</f>
        <v>0</v>
      </c>
      <c r="D144" s="110"/>
      <c r="E144" s="244"/>
    </row>
    <row r="145" spans="1:5" ht="18" hidden="1" customHeight="1" x14ac:dyDescent="0.2">
      <c r="A145" s="213">
        <v>61608</v>
      </c>
      <c r="B145" s="220" t="s">
        <v>206</v>
      </c>
      <c r="C145" s="1046">
        <f>CONSOLIDADO!AT148</f>
        <v>0</v>
      </c>
      <c r="D145" s="110"/>
      <c r="E145" s="244"/>
    </row>
    <row r="146" spans="1:5" ht="18" customHeight="1" x14ac:dyDescent="0.2">
      <c r="A146" s="213">
        <v>61699</v>
      </c>
      <c r="B146" s="220" t="s">
        <v>207</v>
      </c>
      <c r="C146" s="1046">
        <f>CONSOLIDADO!AT149</f>
        <v>606796.05980000005</v>
      </c>
      <c r="D146" s="110"/>
      <c r="E146" s="244"/>
    </row>
    <row r="147" spans="1:5" ht="8.25" customHeight="1" x14ac:dyDescent="0.2">
      <c r="A147" s="213"/>
      <c r="B147" s="220"/>
      <c r="C147" s="1046"/>
      <c r="D147" s="110"/>
      <c r="E147" s="244"/>
    </row>
    <row r="148" spans="1:5" ht="12.75" x14ac:dyDescent="0.2">
      <c r="A148" s="211">
        <v>71</v>
      </c>
      <c r="B148" s="222" t="s">
        <v>215</v>
      </c>
      <c r="C148" s="1046"/>
      <c r="D148" s="110"/>
      <c r="E148" s="107">
        <f>SUM(D149:D152)</f>
        <v>187095</v>
      </c>
    </row>
    <row r="149" spans="1:5" ht="12.75" x14ac:dyDescent="0.2">
      <c r="A149" s="211">
        <v>713</v>
      </c>
      <c r="B149" s="222" t="s">
        <v>216</v>
      </c>
      <c r="C149" s="1046"/>
      <c r="D149" s="103">
        <f>SUM(C150:C152)</f>
        <v>187095</v>
      </c>
      <c r="E149" s="244"/>
    </row>
    <row r="150" spans="1:5" ht="12.75" hidden="1" customHeight="1" x14ac:dyDescent="0.2">
      <c r="A150" s="213">
        <v>71303</v>
      </c>
      <c r="B150" s="220" t="s">
        <v>85</v>
      </c>
      <c r="C150" s="1046" t="s">
        <v>482</v>
      </c>
      <c r="D150" s="110"/>
      <c r="E150" s="244"/>
    </row>
    <row r="151" spans="1:5" ht="18" customHeight="1" x14ac:dyDescent="0.2">
      <c r="A151" s="213">
        <v>71304</v>
      </c>
      <c r="B151" s="220" t="s">
        <v>86</v>
      </c>
      <c r="C151" s="1046">
        <f>CONSOLIDADO!AT153</f>
        <v>187095</v>
      </c>
      <c r="D151" s="110"/>
      <c r="E151" s="244"/>
    </row>
    <row r="152" spans="1:5" ht="12.75" hidden="1" customHeight="1" x14ac:dyDescent="0.2">
      <c r="A152" s="213">
        <v>71308</v>
      </c>
      <c r="B152" s="220" t="s">
        <v>237</v>
      </c>
      <c r="C152" s="1046">
        <f>CONSOLIDADO!P154</f>
        <v>0</v>
      </c>
      <c r="D152" s="110"/>
      <c r="E152" s="244"/>
    </row>
    <row r="153" spans="1:5" ht="12.75" hidden="1" customHeight="1" x14ac:dyDescent="0.2">
      <c r="A153" s="213"/>
      <c r="B153" s="220"/>
      <c r="C153" s="1046"/>
      <c r="D153" s="110"/>
      <c r="E153" s="244"/>
    </row>
    <row r="154" spans="1:5" ht="18" customHeight="1" x14ac:dyDescent="0.2">
      <c r="A154" s="211">
        <v>72</v>
      </c>
      <c r="B154" s="222" t="s">
        <v>13</v>
      </c>
      <c r="C154" s="1046"/>
      <c r="D154" s="103"/>
      <c r="E154" s="107">
        <f>+D155</f>
        <v>386790.51</v>
      </c>
    </row>
    <row r="155" spans="1:5" ht="27.75" customHeight="1" x14ac:dyDescent="0.2">
      <c r="A155" s="211">
        <v>721</v>
      </c>
      <c r="B155" s="233" t="s">
        <v>182</v>
      </c>
      <c r="C155" s="1046"/>
      <c r="D155" s="103">
        <f>SUM(C156:C157)</f>
        <v>386790.51</v>
      </c>
      <c r="E155" s="107"/>
    </row>
    <row r="156" spans="1:5" ht="18" customHeight="1" x14ac:dyDescent="0.2">
      <c r="A156" s="213">
        <v>72101</v>
      </c>
      <c r="B156" s="220" t="s">
        <v>182</v>
      </c>
      <c r="C156" s="1046">
        <f>CONSOLIDADO!AT157</f>
        <v>313421.67</v>
      </c>
      <c r="D156" s="110"/>
      <c r="E156" s="244"/>
    </row>
    <row r="157" spans="1:5" ht="18" customHeight="1" x14ac:dyDescent="0.2">
      <c r="A157" s="213">
        <v>72101</v>
      </c>
      <c r="B157" s="223" t="s">
        <v>698</v>
      </c>
      <c r="C157" s="1046">
        <f>CONSOLIDADO!AT158</f>
        <v>73368.840000000011</v>
      </c>
      <c r="D157" s="110"/>
      <c r="E157" s="244"/>
    </row>
    <row r="158" spans="1:5" ht="18" customHeight="1" thickBot="1" x14ac:dyDescent="0.25">
      <c r="A158" s="213"/>
      <c r="B158" s="220"/>
      <c r="C158" s="102"/>
      <c r="D158" s="110"/>
      <c r="E158" s="244"/>
    </row>
    <row r="159" spans="1:5" ht="18" hidden="1" customHeight="1" x14ac:dyDescent="0.2">
      <c r="A159" s="211">
        <v>99</v>
      </c>
      <c r="B159" s="222" t="s">
        <v>183</v>
      </c>
      <c r="C159" s="102"/>
      <c r="D159" s="103"/>
      <c r="E159" s="107">
        <f>+D160</f>
        <v>0</v>
      </c>
    </row>
    <row r="160" spans="1:5" ht="18" hidden="1" customHeight="1" x14ac:dyDescent="0.2">
      <c r="A160" s="211">
        <v>991</v>
      </c>
      <c r="B160" s="222" t="s">
        <v>184</v>
      </c>
      <c r="C160" s="102"/>
      <c r="D160" s="103">
        <f>+C161</f>
        <v>0</v>
      </c>
      <c r="E160" s="107"/>
    </row>
    <row r="161" spans="1:5" ht="18" hidden="1" customHeight="1" thickBot="1" x14ac:dyDescent="0.25">
      <c r="A161" s="213">
        <v>99101</v>
      </c>
      <c r="B161" s="220" t="s">
        <v>184</v>
      </c>
      <c r="C161" s="102"/>
      <c r="D161" s="110"/>
      <c r="E161" s="244"/>
    </row>
    <row r="162" spans="1:5" ht="18" customHeight="1" thickBot="1" x14ac:dyDescent="0.25">
      <c r="A162" s="215"/>
      <c r="B162" s="224" t="s">
        <v>185</v>
      </c>
      <c r="C162" s="111">
        <f>SUM(C10:C157)</f>
        <v>5046719.1097999997</v>
      </c>
      <c r="D162" s="111">
        <f>SUM(D9:D157)</f>
        <v>5046719.1097999997</v>
      </c>
      <c r="E162" s="111">
        <f>SUM(E8:E157)</f>
        <v>5046719.1097999997</v>
      </c>
    </row>
    <row r="163" spans="1:5" ht="18" customHeight="1" x14ac:dyDescent="0.2">
      <c r="E163" s="397"/>
    </row>
    <row r="164" spans="1:5" s="247" customFormat="1" ht="18" customHeight="1" x14ac:dyDescent="0.2">
      <c r="A164" s="246"/>
      <c r="C164" s="240"/>
      <c r="D164" s="240"/>
      <c r="E164" s="397">
        <f>'ING. REALES'!L73</f>
        <v>5046719.1099999994</v>
      </c>
    </row>
    <row r="165" spans="1:5" ht="18" customHeight="1" x14ac:dyDescent="0.2">
      <c r="E165" s="397">
        <f>+E162-E164</f>
        <v>-1.9999966025352478E-4</v>
      </c>
    </row>
    <row r="166" spans="1:5" ht="18" customHeight="1" x14ac:dyDescent="0.2">
      <c r="E166" s="397"/>
    </row>
    <row r="167" spans="1:5" ht="18" customHeight="1" x14ac:dyDescent="0.2">
      <c r="E167" s="397"/>
    </row>
    <row r="168" spans="1:5" ht="18" customHeight="1" x14ac:dyDescent="0.2">
      <c r="E168" s="397"/>
    </row>
    <row r="169" spans="1:5" ht="18" customHeight="1" x14ac:dyDescent="0.2">
      <c r="E169" s="397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74803149606299213" bottom="0.78740157480314965" header="0" footer="0"/>
  <pageSetup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G54"/>
  <sheetViews>
    <sheetView showGridLines="0" topLeftCell="B1" workbookViewId="0">
      <selection activeCell="H20" sqref="H20"/>
    </sheetView>
  </sheetViews>
  <sheetFormatPr baseColWidth="10" defaultRowHeight="12.75" x14ac:dyDescent="0.2"/>
  <cols>
    <col min="1" max="1" width="2" style="1076" customWidth="1"/>
    <col min="2" max="2" width="11.42578125" style="1076"/>
    <col min="3" max="3" width="53.42578125" style="1076" customWidth="1"/>
    <col min="4" max="4" width="18.7109375" style="17" customWidth="1"/>
    <col min="5" max="5" width="12.28515625" style="1076" bestFit="1" customWidth="1"/>
    <col min="6" max="6" width="12.5703125" style="1076" bestFit="1" customWidth="1"/>
    <col min="7" max="16384" width="11.42578125" style="1076"/>
  </cols>
  <sheetData>
    <row r="1" spans="2:5" ht="15" x14ac:dyDescent="0.2">
      <c r="B1" s="1333" t="s">
        <v>258</v>
      </c>
      <c r="C1" s="1333"/>
      <c r="D1" s="1333"/>
    </row>
    <row r="2" spans="2:5" ht="14.25" x14ac:dyDescent="0.2">
      <c r="B2" s="1331" t="s">
        <v>475</v>
      </c>
      <c r="C2" s="1331"/>
      <c r="D2" s="1331"/>
    </row>
    <row r="3" spans="2:5" ht="15" x14ac:dyDescent="0.2">
      <c r="B3" s="1333" t="s">
        <v>854</v>
      </c>
      <c r="C3" s="1333"/>
      <c r="D3" s="1333"/>
    </row>
    <row r="4" spans="2:5" ht="14.25" thickBot="1" x14ac:dyDescent="0.3">
      <c r="B4" s="1077"/>
      <c r="C4" s="1077"/>
      <c r="D4" s="99"/>
    </row>
    <row r="5" spans="2:5" ht="14.25" x14ac:dyDescent="0.2">
      <c r="B5" s="1324" t="s">
        <v>259</v>
      </c>
      <c r="C5" s="1325"/>
      <c r="D5" s="1326"/>
    </row>
    <row r="6" spans="2:5" ht="14.25" x14ac:dyDescent="0.2">
      <c r="B6" s="1327" t="s">
        <v>260</v>
      </c>
      <c r="C6" s="1328"/>
      <c r="D6" s="1329"/>
    </row>
    <row r="7" spans="2:5" ht="14.25" x14ac:dyDescent="0.2">
      <c r="B7" s="1330" t="s">
        <v>261</v>
      </c>
      <c r="C7" s="1331"/>
      <c r="D7" s="1332"/>
    </row>
    <row r="8" spans="2:5" ht="14.25" thickBot="1" x14ac:dyDescent="0.3">
      <c r="B8" s="1321" t="s">
        <v>465</v>
      </c>
      <c r="C8" s="1322"/>
      <c r="D8" s="1323"/>
    </row>
    <row r="9" spans="2:5" x14ac:dyDescent="0.2">
      <c r="B9" s="1078"/>
      <c r="C9" s="1078"/>
      <c r="D9" s="100"/>
    </row>
    <row r="10" spans="2:5" x14ac:dyDescent="0.2">
      <c r="B10" s="1079">
        <v>11</v>
      </c>
      <c r="C10" s="1080" t="s">
        <v>5</v>
      </c>
      <c r="D10" s="101">
        <f>'ING. REALES'!L8</f>
        <v>24179.8</v>
      </c>
      <c r="E10" s="1081"/>
    </row>
    <row r="11" spans="2:5" x14ac:dyDescent="0.2">
      <c r="B11" s="1082"/>
      <c r="C11" s="1083"/>
      <c r="D11" s="1084"/>
      <c r="E11" s="1085"/>
    </row>
    <row r="12" spans="2:5" x14ac:dyDescent="0.2">
      <c r="B12" s="1079">
        <v>12</v>
      </c>
      <c r="C12" s="1086" t="s">
        <v>6</v>
      </c>
      <c r="D12" s="103">
        <f>'ING. REALES'!L18</f>
        <v>109282.37</v>
      </c>
      <c r="E12" s="16"/>
    </row>
    <row r="13" spans="2:5" x14ac:dyDescent="0.2">
      <c r="B13" s="1082"/>
      <c r="C13" s="1083"/>
      <c r="D13" s="103"/>
      <c r="E13" s="1085"/>
    </row>
    <row r="14" spans="2:5" x14ac:dyDescent="0.2">
      <c r="B14" s="1079">
        <v>14</v>
      </c>
      <c r="C14" s="1086" t="s">
        <v>8</v>
      </c>
      <c r="D14" s="103">
        <f>'ING. REALES'!L35</f>
        <v>170238.56</v>
      </c>
      <c r="E14" s="1085"/>
    </row>
    <row r="15" spans="2:5" x14ac:dyDescent="0.2">
      <c r="B15" s="1082"/>
      <c r="C15" s="1083"/>
      <c r="D15" s="103"/>
      <c r="E15" s="1085"/>
    </row>
    <row r="16" spans="2:5" x14ac:dyDescent="0.2">
      <c r="B16" s="1079">
        <v>15</v>
      </c>
      <c r="C16" s="1086" t="s">
        <v>9</v>
      </c>
      <c r="D16" s="103">
        <f>'ING. REALES'!L39</f>
        <v>8505.7199999999993</v>
      </c>
      <c r="E16" s="16"/>
    </row>
    <row r="17" spans="2:6" x14ac:dyDescent="0.2">
      <c r="B17" s="1082"/>
      <c r="C17" s="1083"/>
      <c r="D17" s="103"/>
      <c r="E17" s="1085"/>
    </row>
    <row r="18" spans="2:6" x14ac:dyDescent="0.2">
      <c r="B18" s="1079">
        <v>16</v>
      </c>
      <c r="C18" s="1086" t="s">
        <v>11</v>
      </c>
      <c r="D18" s="103">
        <f>'ING. REALES'!L52</f>
        <v>419935.57</v>
      </c>
      <c r="E18" s="16"/>
    </row>
    <row r="19" spans="2:6" x14ac:dyDescent="0.2">
      <c r="B19" s="1082"/>
      <c r="C19" s="1083"/>
      <c r="D19" s="103"/>
      <c r="E19" s="1085"/>
    </row>
    <row r="20" spans="2:6" x14ac:dyDescent="0.2">
      <c r="B20" s="1079">
        <v>22</v>
      </c>
      <c r="C20" s="1086" t="s">
        <v>12</v>
      </c>
      <c r="D20" s="103">
        <f>'ING. REALES'!L60</f>
        <v>1679742.1400000001</v>
      </c>
      <c r="E20" s="16"/>
    </row>
    <row r="21" spans="2:6" x14ac:dyDescent="0.2">
      <c r="B21" s="1082"/>
      <c r="C21" s="1083"/>
      <c r="D21" s="103"/>
      <c r="E21" s="1085"/>
    </row>
    <row r="22" spans="2:6" x14ac:dyDescent="0.2">
      <c r="B22" s="1079">
        <v>31</v>
      </c>
      <c r="C22" s="1086" t="s">
        <v>262</v>
      </c>
      <c r="D22" s="103">
        <f>'ING. REALES'!L63</f>
        <v>0</v>
      </c>
      <c r="E22" s="1085"/>
    </row>
    <row r="23" spans="2:6" x14ac:dyDescent="0.2">
      <c r="B23" s="1082"/>
      <c r="C23" s="1083"/>
      <c r="D23" s="103"/>
      <c r="E23" s="1085"/>
    </row>
    <row r="24" spans="2:6" x14ac:dyDescent="0.2">
      <c r="B24" s="1079">
        <v>32</v>
      </c>
      <c r="C24" s="1086" t="s">
        <v>13</v>
      </c>
      <c r="D24" s="103">
        <f>'ING. REALES'!L66</f>
        <v>2634834.9500000002</v>
      </c>
      <c r="E24" s="16"/>
    </row>
    <row r="25" spans="2:6" ht="13.5" thickBot="1" x14ac:dyDescent="0.25">
      <c r="B25" s="1087"/>
      <c r="C25" s="1088"/>
      <c r="D25" s="104"/>
    </row>
    <row r="26" spans="2:6" ht="13.5" thickBot="1" x14ac:dyDescent="0.25">
      <c r="B26" s="1089"/>
      <c r="C26" s="1090" t="s">
        <v>25</v>
      </c>
      <c r="D26" s="105">
        <f>SUM(D10:D24)</f>
        <v>5046719.1100000003</v>
      </c>
      <c r="E26" s="17"/>
      <c r="F26" s="1091"/>
    </row>
    <row r="27" spans="2:6" x14ac:dyDescent="0.2">
      <c r="E27" s="1092"/>
    </row>
    <row r="28" spans="2:6" ht="13.5" thickBot="1" x14ac:dyDescent="0.25"/>
    <row r="29" spans="2:6" ht="14.25" x14ac:dyDescent="0.2">
      <c r="B29" s="1324" t="s">
        <v>259</v>
      </c>
      <c r="C29" s="1325"/>
      <c r="D29" s="1326"/>
    </row>
    <row r="30" spans="2:6" ht="14.25" x14ac:dyDescent="0.2">
      <c r="B30" s="1327" t="s">
        <v>263</v>
      </c>
      <c r="C30" s="1328"/>
      <c r="D30" s="1329"/>
    </row>
    <row r="31" spans="2:6" ht="14.25" x14ac:dyDescent="0.2">
      <c r="B31" s="1330" t="s">
        <v>264</v>
      </c>
      <c r="C31" s="1331"/>
      <c r="D31" s="1332"/>
    </row>
    <row r="32" spans="2:6" ht="14.25" thickBot="1" x14ac:dyDescent="0.3">
      <c r="B32" s="1321" t="s">
        <v>246</v>
      </c>
      <c r="C32" s="1322"/>
      <c r="D32" s="1323"/>
    </row>
    <row r="33" spans="2:7" x14ac:dyDescent="0.2">
      <c r="B33" s="1093"/>
      <c r="C33" s="1078"/>
      <c r="D33" s="106"/>
    </row>
    <row r="34" spans="2:7" x14ac:dyDescent="0.2">
      <c r="B34" s="1094">
        <v>51</v>
      </c>
      <c r="C34" s="1086" t="s">
        <v>122</v>
      </c>
      <c r="D34" s="107">
        <f>CONSOLIDADO!AT9</f>
        <v>568009.08000000007</v>
      </c>
      <c r="F34" s="1095"/>
    </row>
    <row r="35" spans="2:7" x14ac:dyDescent="0.2">
      <c r="B35" s="1094"/>
      <c r="C35" s="1086"/>
      <c r="D35" s="107"/>
      <c r="F35" s="1095"/>
    </row>
    <row r="36" spans="2:7" x14ac:dyDescent="0.2">
      <c r="B36" s="1094">
        <v>54</v>
      </c>
      <c r="C36" s="1086" t="s">
        <v>27</v>
      </c>
      <c r="D36" s="107">
        <f>CONSOLIDADO!AT43</f>
        <v>496289.86000000004</v>
      </c>
      <c r="F36" s="1095"/>
    </row>
    <row r="37" spans="2:7" x14ac:dyDescent="0.2">
      <c r="B37" s="1094"/>
      <c r="C37" s="1086"/>
      <c r="D37" s="107"/>
      <c r="F37" s="1095"/>
    </row>
    <row r="38" spans="2:7" x14ac:dyDescent="0.2">
      <c r="B38" s="1094">
        <v>55</v>
      </c>
      <c r="C38" s="1086" t="s">
        <v>83</v>
      </c>
      <c r="D38" s="107">
        <f>CONSOLIDADO!AT94</f>
        <v>174346.13</v>
      </c>
      <c r="F38" s="1095"/>
    </row>
    <row r="39" spans="2:7" x14ac:dyDescent="0.2">
      <c r="B39" s="1094"/>
      <c r="C39" s="1086"/>
      <c r="D39" s="107"/>
      <c r="F39" s="1095"/>
    </row>
    <row r="40" spans="2:7" x14ac:dyDescent="0.2">
      <c r="B40" s="1094">
        <v>56</v>
      </c>
      <c r="C40" s="1086" t="s">
        <v>96</v>
      </c>
      <c r="D40" s="107">
        <f>CONSOLIDADO!AT112</f>
        <v>141431.97999999998</v>
      </c>
      <c r="F40" s="1095"/>
    </row>
    <row r="41" spans="2:7" x14ac:dyDescent="0.2">
      <c r="B41" s="1094"/>
      <c r="C41" s="1086"/>
      <c r="D41" s="107"/>
      <c r="F41" s="1095"/>
      <c r="G41" s="1091"/>
    </row>
    <row r="42" spans="2:7" x14ac:dyDescent="0.2">
      <c r="B42" s="1094">
        <v>61</v>
      </c>
      <c r="C42" s="1086" t="s">
        <v>163</v>
      </c>
      <c r="D42" s="107">
        <f>+CONSOLIDADO!AT120</f>
        <v>3092756.5498000002</v>
      </c>
      <c r="F42" s="1095"/>
    </row>
    <row r="43" spans="2:7" x14ac:dyDescent="0.2">
      <c r="B43" s="1094"/>
      <c r="C43" s="1086"/>
      <c r="D43" s="107"/>
      <c r="F43" s="1095"/>
    </row>
    <row r="44" spans="2:7" x14ac:dyDescent="0.2">
      <c r="B44" s="1094">
        <v>71</v>
      </c>
      <c r="C44" s="1086" t="s">
        <v>215</v>
      </c>
      <c r="D44" s="107">
        <f>CONSOLIDADO!AT150</f>
        <v>187095</v>
      </c>
      <c r="F44" s="1095"/>
    </row>
    <row r="45" spans="2:7" x14ac:dyDescent="0.2">
      <c r="B45" s="1094"/>
      <c r="C45" s="1086"/>
      <c r="D45" s="107"/>
      <c r="F45" s="1095"/>
    </row>
    <row r="46" spans="2:7" x14ac:dyDescent="0.2">
      <c r="B46" s="1094">
        <v>72</v>
      </c>
      <c r="C46" s="1086" t="s">
        <v>13</v>
      </c>
      <c r="D46" s="107">
        <f>CONSOLIDADO!AT155</f>
        <v>386790.51</v>
      </c>
      <c r="F46" s="1095"/>
    </row>
    <row r="47" spans="2:7" ht="13.5" thickBot="1" x14ac:dyDescent="0.25">
      <c r="B47" s="1096"/>
      <c r="C47" s="1086"/>
      <c r="D47" s="107"/>
    </row>
    <row r="48" spans="2:7" ht="13.5" hidden="1" thickBot="1" x14ac:dyDescent="0.25">
      <c r="B48" s="1094">
        <v>99</v>
      </c>
      <c r="C48" s="1086" t="s">
        <v>183</v>
      </c>
      <c r="D48" s="107"/>
    </row>
    <row r="49" spans="2:6" ht="13.5" hidden="1" thickBot="1" x14ac:dyDescent="0.25">
      <c r="B49" s="1097"/>
      <c r="C49" s="1098"/>
      <c r="D49" s="108"/>
    </row>
    <row r="50" spans="2:6" ht="13.5" thickBot="1" x14ac:dyDescent="0.25">
      <c r="B50" s="1089"/>
      <c r="C50" s="1090" t="s">
        <v>25</v>
      </c>
      <c r="D50" s="105">
        <f>SUM(D34:D46)</f>
        <v>5046719.1097999997</v>
      </c>
      <c r="E50" s="1099"/>
      <c r="F50" s="1095"/>
    </row>
    <row r="54" spans="2:6" x14ac:dyDescent="0.2">
      <c r="F54" s="17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9:D29"/>
    <mergeCell ref="B30:D30"/>
    <mergeCell ref="B31:D31"/>
    <mergeCell ref="B32:D32"/>
  </mergeCells>
  <printOptions horizontalCentered="1"/>
  <pageMargins left="0.74803149606299213" right="0.35433070866141736" top="0.78740157480314965" bottom="0.78740157480314965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48"/>
  </sheetPr>
  <dimension ref="B2:H48"/>
  <sheetViews>
    <sheetView showGridLines="0" topLeftCell="C16" zoomScaleNormal="100" workbookViewId="0">
      <selection activeCell="F19" sqref="F19"/>
    </sheetView>
  </sheetViews>
  <sheetFormatPr baseColWidth="10" defaultRowHeight="12.75" x14ac:dyDescent="0.2"/>
  <cols>
    <col min="1" max="1" width="2.140625" customWidth="1"/>
    <col min="2" max="2" width="7" customWidth="1"/>
    <col min="3" max="3" width="6.42578125" style="24" customWidth="1"/>
    <col min="4" max="4" width="6.85546875" style="24" customWidth="1"/>
    <col min="5" max="5" width="44.28515625" customWidth="1"/>
    <col min="6" max="6" width="14.85546875" customWidth="1"/>
    <col min="7" max="8" width="14.28515625" customWidth="1"/>
  </cols>
  <sheetData>
    <row r="2" spans="2:8" ht="15" x14ac:dyDescent="0.2">
      <c r="B2" s="1292" t="s">
        <v>258</v>
      </c>
      <c r="C2" s="1292"/>
      <c r="D2" s="1292"/>
      <c r="E2" s="1292"/>
      <c r="F2" s="1292"/>
      <c r="G2" s="1292"/>
      <c r="H2" s="1292"/>
    </row>
    <row r="3" spans="2:8" ht="15" x14ac:dyDescent="0.2">
      <c r="B3" s="1334" t="s">
        <v>476</v>
      </c>
      <c r="C3" s="1334"/>
      <c r="D3" s="1334"/>
      <c r="E3" s="1334"/>
      <c r="F3" s="1334"/>
      <c r="G3" s="1334"/>
      <c r="H3" s="1334"/>
    </row>
    <row r="4" spans="2:8" ht="15" x14ac:dyDescent="0.2">
      <c r="B4" s="1334" t="s">
        <v>854</v>
      </c>
      <c r="C4" s="1334"/>
      <c r="D4" s="1334"/>
      <c r="E4" s="1334"/>
      <c r="F4" s="1334"/>
      <c r="G4" s="1334"/>
      <c r="H4" s="1334"/>
    </row>
    <row r="5" spans="2:8" ht="17.25" customHeight="1" x14ac:dyDescent="0.2">
      <c r="B5" s="1337" t="s">
        <v>259</v>
      </c>
      <c r="C5" s="1337"/>
      <c r="D5" s="1337"/>
      <c r="E5" s="1337"/>
      <c r="F5" s="1337"/>
      <c r="G5" s="1337"/>
      <c r="H5" s="1337"/>
    </row>
    <row r="6" spans="2:8" ht="19.5" customHeight="1" thickBot="1" x14ac:dyDescent="0.25">
      <c r="B6" s="1338" t="s">
        <v>265</v>
      </c>
      <c r="C6" s="1338"/>
      <c r="D6" s="1338"/>
      <c r="E6" s="1338"/>
      <c r="F6" s="1338"/>
      <c r="G6" s="1338"/>
      <c r="H6" s="1338"/>
    </row>
    <row r="7" spans="2:8" ht="12.75" customHeight="1" x14ac:dyDescent="0.25">
      <c r="B7" s="78" t="s">
        <v>266</v>
      </c>
      <c r="C7" s="79" t="s">
        <v>267</v>
      </c>
      <c r="D7" s="80" t="s">
        <v>268</v>
      </c>
      <c r="E7" s="1339" t="s">
        <v>103</v>
      </c>
      <c r="F7" s="1341" t="s">
        <v>250</v>
      </c>
      <c r="G7" s="1341" t="s">
        <v>250</v>
      </c>
      <c r="H7" s="1341" t="s">
        <v>25</v>
      </c>
    </row>
    <row r="8" spans="2:8" ht="16.5" customHeight="1" thickBot="1" x14ac:dyDescent="0.3">
      <c r="B8" s="81" t="s">
        <v>269</v>
      </c>
      <c r="C8" s="82" t="s">
        <v>270</v>
      </c>
      <c r="D8" s="83" t="s">
        <v>271</v>
      </c>
      <c r="E8" s="1340"/>
      <c r="F8" s="1342"/>
      <c r="G8" s="1342"/>
      <c r="H8" s="1342"/>
    </row>
    <row r="9" spans="2:8" ht="21" customHeight="1" x14ac:dyDescent="0.2">
      <c r="B9" s="20" t="s">
        <v>272</v>
      </c>
      <c r="C9" s="84"/>
      <c r="D9" s="821"/>
      <c r="E9" s="814" t="s">
        <v>273</v>
      </c>
      <c r="F9" s="114"/>
      <c r="G9" s="114"/>
      <c r="H9" s="114">
        <f>+G10+G13</f>
        <v>1128408.5799999998</v>
      </c>
    </row>
    <row r="10" spans="2:8" ht="21" customHeight="1" x14ac:dyDescent="0.2">
      <c r="B10" s="195"/>
      <c r="C10" s="196" t="s">
        <v>274</v>
      </c>
      <c r="D10" s="196"/>
      <c r="E10" s="815" t="s">
        <v>275</v>
      </c>
      <c r="F10" s="116"/>
      <c r="G10" s="116">
        <f>+F11+F12</f>
        <v>722026.67999999993</v>
      </c>
      <c r="H10" s="115"/>
    </row>
    <row r="11" spans="2:8" ht="21" customHeight="1" x14ac:dyDescent="0.2">
      <c r="B11" s="195"/>
      <c r="C11" s="196"/>
      <c r="D11" s="196" t="s">
        <v>20</v>
      </c>
      <c r="E11" s="815" t="s">
        <v>276</v>
      </c>
      <c r="F11" s="116">
        <f>+CONSOLIDADO!C163+CONSOLIDADO!H163</f>
        <v>634669.5</v>
      </c>
      <c r="G11" s="116"/>
      <c r="H11" s="115"/>
    </row>
    <row r="12" spans="2:8" ht="21" customHeight="1" x14ac:dyDescent="0.2">
      <c r="B12" s="195"/>
      <c r="C12" s="196"/>
      <c r="D12" s="196" t="s">
        <v>21</v>
      </c>
      <c r="E12" s="815" t="s">
        <v>468</v>
      </c>
      <c r="F12" s="116">
        <f>+CONSOLIDADO!D163+CONSOLIDADO!I163</f>
        <v>87357.18</v>
      </c>
      <c r="G12" s="116"/>
      <c r="H12" s="115"/>
    </row>
    <row r="13" spans="2:8" ht="21" customHeight="1" x14ac:dyDescent="0.2">
      <c r="B13" s="195"/>
      <c r="C13" s="196" t="s">
        <v>278</v>
      </c>
      <c r="D13" s="196"/>
      <c r="E13" s="815" t="s">
        <v>279</v>
      </c>
      <c r="F13" s="116"/>
      <c r="G13" s="116">
        <f>F14+F15</f>
        <v>406381.89999999997</v>
      </c>
      <c r="H13" s="115"/>
    </row>
    <row r="14" spans="2:8" ht="21" customHeight="1" x14ac:dyDescent="0.2">
      <c r="B14" s="195"/>
      <c r="C14" s="196"/>
      <c r="D14" s="196" t="s">
        <v>24</v>
      </c>
      <c r="E14" s="816" t="s">
        <v>469</v>
      </c>
      <c r="F14" s="116">
        <f>+CONSOLIDADO!E163+CONSOLIDADO!J163</f>
        <v>52758.42</v>
      </c>
      <c r="G14" s="116"/>
      <c r="H14" s="115"/>
    </row>
    <row r="15" spans="2:8" ht="21" customHeight="1" thickBot="1" x14ac:dyDescent="0.25">
      <c r="B15" s="197"/>
      <c r="C15" s="198"/>
      <c r="D15" s="198" t="s">
        <v>253</v>
      </c>
      <c r="E15" s="817" t="s">
        <v>470</v>
      </c>
      <c r="F15" s="117">
        <f>+CONSOLIDADO!F163+CONSOLIDADO!K163</f>
        <v>353623.48</v>
      </c>
      <c r="G15" s="117"/>
      <c r="H15" s="118"/>
    </row>
    <row r="16" spans="2:8" ht="21" customHeight="1" x14ac:dyDescent="0.2">
      <c r="B16" s="1037">
        <v>3</v>
      </c>
      <c r="C16" s="821"/>
      <c r="D16" s="821"/>
      <c r="E16" s="1038" t="s">
        <v>280</v>
      </c>
      <c r="F16" s="114"/>
      <c r="G16" s="114"/>
      <c r="H16" s="114">
        <f>+G17</f>
        <v>2593462.3097999999</v>
      </c>
    </row>
    <row r="17" spans="2:8" ht="21" customHeight="1" x14ac:dyDescent="0.2">
      <c r="B17" s="75"/>
      <c r="C17" s="196" t="s">
        <v>281</v>
      </c>
      <c r="D17" s="196"/>
      <c r="E17" s="1039" t="s">
        <v>282</v>
      </c>
      <c r="F17" s="116"/>
      <c r="G17" s="116">
        <f>SUM(F18:F28)</f>
        <v>2593462.3097999999</v>
      </c>
      <c r="H17" s="115"/>
    </row>
    <row r="18" spans="2:8" ht="21" customHeight="1" x14ac:dyDescent="0.2">
      <c r="B18" s="75"/>
      <c r="C18" s="196"/>
      <c r="D18" s="196" t="s">
        <v>231</v>
      </c>
      <c r="E18" s="1039" t="s">
        <v>283</v>
      </c>
      <c r="F18" s="102">
        <f>+CONSOLIDADO!M163</f>
        <v>152123.5</v>
      </c>
      <c r="G18" s="116"/>
      <c r="H18" s="115"/>
    </row>
    <row r="19" spans="2:8" ht="21" customHeight="1" x14ac:dyDescent="0.2">
      <c r="B19" s="75"/>
      <c r="C19" s="196"/>
      <c r="D19" s="196" t="s">
        <v>232</v>
      </c>
      <c r="E19" s="1039" t="s">
        <v>284</v>
      </c>
      <c r="F19" s="102">
        <f>CONSOLIDADO!N163+CONSOLIDADO!T163+CONSOLIDADO!AD163+CONSOLIDADO!AG163</f>
        <v>2134211.5</v>
      </c>
      <c r="G19" s="116"/>
      <c r="H19" s="115"/>
    </row>
    <row r="20" spans="2:8" ht="21" customHeight="1" x14ac:dyDescent="0.2">
      <c r="B20" s="75"/>
      <c r="C20" s="196"/>
      <c r="D20" s="196"/>
      <c r="E20" s="1039"/>
      <c r="F20" s="102"/>
      <c r="G20" s="116"/>
      <c r="H20" s="115"/>
    </row>
    <row r="21" spans="2:8" ht="21" customHeight="1" x14ac:dyDescent="0.2">
      <c r="B21" s="75"/>
      <c r="C21" s="822" t="s">
        <v>781</v>
      </c>
      <c r="D21" s="196"/>
      <c r="E21" s="1043" t="s">
        <v>863</v>
      </c>
      <c r="F21" s="102"/>
      <c r="G21" s="116"/>
      <c r="H21" s="115"/>
    </row>
    <row r="22" spans="2:8" ht="21" customHeight="1" x14ac:dyDescent="0.2">
      <c r="B22" s="75"/>
      <c r="C22" s="822"/>
      <c r="D22" s="822" t="s">
        <v>770</v>
      </c>
      <c r="E22" s="1043" t="s">
        <v>857</v>
      </c>
      <c r="F22" s="102">
        <f>CONSOLIDADO!W163</f>
        <v>5569.71</v>
      </c>
      <c r="G22" s="116"/>
      <c r="H22" s="115"/>
    </row>
    <row r="23" spans="2:8" ht="21" customHeight="1" x14ac:dyDescent="0.2">
      <c r="B23" s="75"/>
      <c r="C23" s="196"/>
      <c r="D23" s="822" t="s">
        <v>771</v>
      </c>
      <c r="E23" s="1043" t="s">
        <v>858</v>
      </c>
      <c r="F23" s="102"/>
      <c r="G23" s="116"/>
      <c r="H23" s="115"/>
    </row>
    <row r="24" spans="2:8" ht="21" customHeight="1" x14ac:dyDescent="0.2">
      <c r="B24" s="75"/>
      <c r="C24" s="196"/>
      <c r="D24" s="822" t="s">
        <v>782</v>
      </c>
      <c r="E24" s="1043" t="s">
        <v>859</v>
      </c>
      <c r="F24" s="102">
        <f>CONSOLIDADO!Y163</f>
        <v>16718</v>
      </c>
      <c r="G24" s="116"/>
      <c r="H24" s="115"/>
    </row>
    <row r="25" spans="2:8" ht="21" customHeight="1" x14ac:dyDescent="0.2">
      <c r="B25" s="75"/>
      <c r="C25" s="196"/>
      <c r="D25" s="822"/>
      <c r="E25" s="1043"/>
      <c r="F25" s="102"/>
      <c r="G25" s="116"/>
      <c r="H25" s="115"/>
    </row>
    <row r="26" spans="2:8" ht="21" customHeight="1" x14ac:dyDescent="0.2">
      <c r="B26" s="75"/>
      <c r="C26" s="822" t="s">
        <v>788</v>
      </c>
      <c r="D26" s="822"/>
      <c r="E26" s="1043" t="s">
        <v>789</v>
      </c>
      <c r="F26" s="102"/>
      <c r="G26" s="116"/>
      <c r="H26" s="115"/>
    </row>
    <row r="27" spans="2:8" ht="21" customHeight="1" x14ac:dyDescent="0.2">
      <c r="B27" s="75"/>
      <c r="C27" s="822"/>
      <c r="D27" s="822" t="s">
        <v>790</v>
      </c>
      <c r="E27" s="1043" t="s">
        <v>860</v>
      </c>
      <c r="F27" s="102">
        <f>CONSOLIDADO!AA163</f>
        <v>26365.969799999999</v>
      </c>
      <c r="G27" s="116"/>
      <c r="H27" s="115"/>
    </row>
    <row r="28" spans="2:8" ht="21" customHeight="1" x14ac:dyDescent="0.2">
      <c r="B28" s="75"/>
      <c r="C28" s="196"/>
      <c r="D28" s="822" t="s">
        <v>793</v>
      </c>
      <c r="E28" s="1043" t="s">
        <v>861</v>
      </c>
      <c r="F28" s="102">
        <f>CONSOLIDADO!AB163</f>
        <v>258473.63</v>
      </c>
      <c r="G28" s="116"/>
      <c r="H28" s="115"/>
    </row>
    <row r="29" spans="2:8" ht="21" customHeight="1" x14ac:dyDescent="0.2">
      <c r="B29" s="75"/>
      <c r="C29" s="196"/>
      <c r="D29" s="822" t="s">
        <v>836</v>
      </c>
      <c r="E29" s="1043" t="s">
        <v>858</v>
      </c>
      <c r="F29" s="102"/>
      <c r="G29" s="116"/>
      <c r="H29" s="115"/>
    </row>
    <row r="30" spans="2:8" ht="21" customHeight="1" thickBot="1" x14ac:dyDescent="0.25">
      <c r="B30" s="1040"/>
      <c r="C30" s="198"/>
      <c r="D30" s="198"/>
      <c r="E30" s="1042"/>
      <c r="F30" s="394"/>
      <c r="G30" s="117"/>
      <c r="H30" s="118"/>
    </row>
    <row r="31" spans="2:8" ht="21" customHeight="1" x14ac:dyDescent="0.2">
      <c r="B31" s="75">
        <v>4</v>
      </c>
      <c r="C31" s="85"/>
      <c r="D31" s="85"/>
      <c r="E31" s="76" t="s">
        <v>285</v>
      </c>
      <c r="F31" s="115"/>
      <c r="G31" s="115"/>
      <c r="H31" s="115">
        <f>+G32</f>
        <v>968783.14999999991</v>
      </c>
    </row>
    <row r="32" spans="2:8" ht="21" customHeight="1" x14ac:dyDescent="0.2">
      <c r="B32" s="75"/>
      <c r="C32" s="196" t="s">
        <v>286</v>
      </c>
      <c r="D32" s="196"/>
      <c r="E32" s="1039" t="s">
        <v>287</v>
      </c>
      <c r="F32" s="116"/>
      <c r="G32" s="116">
        <f>+F33+F34</f>
        <v>968783.14999999991</v>
      </c>
      <c r="H32" s="115"/>
    </row>
    <row r="33" spans="2:8" ht="21" customHeight="1" x14ac:dyDescent="0.2">
      <c r="B33" s="75"/>
      <c r="C33" s="196"/>
      <c r="D33" s="196" t="s">
        <v>233</v>
      </c>
      <c r="E33" s="1039" t="s">
        <v>288</v>
      </c>
      <c r="F33" s="116">
        <f>CONSOLIDADO!O163+CONSOLIDADO!U163+CONSOLIDADO!AE163+CONSOLIDADO!AH163</f>
        <v>968783.14999999991</v>
      </c>
      <c r="G33" s="116"/>
      <c r="H33" s="115"/>
    </row>
    <row r="34" spans="2:8" ht="21" customHeight="1" thickBot="1" x14ac:dyDescent="0.25">
      <c r="B34" s="1040"/>
      <c r="C34" s="198"/>
      <c r="D34" s="198" t="s">
        <v>445</v>
      </c>
      <c r="E34" s="1041" t="s">
        <v>750</v>
      </c>
      <c r="F34" s="117">
        <f>+CONSOLIDADO!AE163</f>
        <v>0</v>
      </c>
      <c r="G34" s="117"/>
      <c r="H34" s="118"/>
    </row>
    <row r="35" spans="2:8" ht="21" customHeight="1" x14ac:dyDescent="0.2">
      <c r="B35" s="77">
        <v>5</v>
      </c>
      <c r="C35" s="85"/>
      <c r="D35" s="85"/>
      <c r="E35" s="819" t="s">
        <v>289</v>
      </c>
      <c r="F35" s="115"/>
      <c r="G35" s="115"/>
      <c r="H35" s="115">
        <f>+G36</f>
        <v>356065.07000000007</v>
      </c>
    </row>
    <row r="36" spans="2:8" ht="21" customHeight="1" x14ac:dyDescent="0.2">
      <c r="B36" s="23"/>
      <c r="C36" s="196" t="s">
        <v>290</v>
      </c>
      <c r="D36" s="196"/>
      <c r="E36" s="815" t="s">
        <v>291</v>
      </c>
      <c r="F36" s="116"/>
      <c r="G36" s="116">
        <f>F37+F38+F39</f>
        <v>356065.07000000007</v>
      </c>
      <c r="H36" s="115"/>
    </row>
    <row r="37" spans="2:8" ht="21" customHeight="1" x14ac:dyDescent="0.2">
      <c r="B37" s="23"/>
      <c r="C37" s="196"/>
      <c r="D37" s="196" t="s">
        <v>234</v>
      </c>
      <c r="E37" s="815" t="s">
        <v>292</v>
      </c>
      <c r="F37" s="116">
        <f>+CONSOLIDADO!P163</f>
        <v>187095</v>
      </c>
      <c r="G37" s="116"/>
      <c r="H37" s="115"/>
    </row>
    <row r="38" spans="2:8" ht="21" customHeight="1" x14ac:dyDescent="0.2">
      <c r="B38" s="23"/>
      <c r="C38" s="196"/>
      <c r="D38" s="822" t="s">
        <v>614</v>
      </c>
      <c r="E38" s="820" t="s">
        <v>619</v>
      </c>
      <c r="F38" s="116">
        <f>CONSOLIDADO!Q163</f>
        <v>164509.92000000001</v>
      </c>
      <c r="G38" s="116"/>
      <c r="H38" s="115"/>
    </row>
    <row r="39" spans="2:8" ht="21" customHeight="1" thickBot="1" x14ac:dyDescent="0.25">
      <c r="B39" s="23"/>
      <c r="C39" s="196"/>
      <c r="D39" s="198" t="s">
        <v>454</v>
      </c>
      <c r="E39" s="815" t="s">
        <v>467</v>
      </c>
      <c r="F39" s="116">
        <f>+CONSOLIDADO!R163</f>
        <v>4460.1499999999996</v>
      </c>
      <c r="G39" s="116"/>
      <c r="H39" s="115"/>
    </row>
    <row r="40" spans="2:8" ht="21" customHeight="1" thickBot="1" x14ac:dyDescent="0.25">
      <c r="B40" s="1180" t="s">
        <v>25</v>
      </c>
      <c r="C40" s="1335"/>
      <c r="D40" s="1335"/>
      <c r="E40" s="1336"/>
      <c r="F40" s="119">
        <f>SUM(F9:F39)</f>
        <v>5046719.1097999997</v>
      </c>
      <c r="G40" s="119">
        <f>SUM(G9:G37)</f>
        <v>5046719.1097999997</v>
      </c>
      <c r="H40" s="119">
        <f>SUM(H9:H37)</f>
        <v>5046719.1097999997</v>
      </c>
    </row>
    <row r="43" spans="2:8" ht="13.5" thickBot="1" x14ac:dyDescent="0.25"/>
    <row r="44" spans="2:8" ht="13.5" thickBot="1" x14ac:dyDescent="0.25">
      <c r="H44" s="956">
        <v>5046719.1100000003</v>
      </c>
    </row>
    <row r="46" spans="2:8" x14ac:dyDescent="0.2">
      <c r="H46" s="390">
        <f>H40-H44</f>
        <v>-2.000005915760994E-4</v>
      </c>
    </row>
    <row r="48" spans="2:8" x14ac:dyDescent="0.2">
      <c r="H48" s="390"/>
    </row>
  </sheetData>
  <mergeCells count="10">
    <mergeCell ref="B2:H2"/>
    <mergeCell ref="B3:H3"/>
    <mergeCell ref="B4:H4"/>
    <mergeCell ref="B40:E40"/>
    <mergeCell ref="B5:H5"/>
    <mergeCell ref="B6:H6"/>
    <mergeCell ref="E7:E8"/>
    <mergeCell ref="F7:F8"/>
    <mergeCell ref="G7:G8"/>
    <mergeCell ref="H7:H8"/>
  </mergeCells>
  <phoneticPr fontId="0" type="noConversion"/>
  <pageMargins left="0.59055118110236227" right="0.59055118110236227" top="0.62992125984251968" bottom="0.62992125984251968" header="0" footer="0"/>
  <pageSetup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indexed="48"/>
  </sheetPr>
  <dimension ref="A5:F27"/>
  <sheetViews>
    <sheetView showGridLines="0" topLeftCell="A4" workbookViewId="0">
      <selection activeCell="F18" sqref="F18"/>
    </sheetView>
  </sheetViews>
  <sheetFormatPr baseColWidth="10" defaultRowHeight="12.75" x14ac:dyDescent="0.2"/>
  <cols>
    <col min="2" max="2" width="34" customWidth="1"/>
    <col min="3" max="4" width="18" style="17" customWidth="1"/>
    <col min="6" max="6" width="13.85546875" bestFit="1" customWidth="1"/>
  </cols>
  <sheetData>
    <row r="5" spans="1:5" ht="15" x14ac:dyDescent="0.2">
      <c r="A5" s="1292" t="s">
        <v>551</v>
      </c>
      <c r="B5" s="1292"/>
      <c r="C5" s="1292"/>
      <c r="D5" s="1292"/>
    </row>
    <row r="6" spans="1:5" ht="15" x14ac:dyDescent="0.2">
      <c r="A6" s="1292" t="s">
        <v>477</v>
      </c>
      <c r="B6" s="1292"/>
      <c r="C6" s="1292"/>
      <c r="D6" s="1292"/>
    </row>
    <row r="7" spans="1:5" ht="15" x14ac:dyDescent="0.2">
      <c r="A7" s="1349" t="s">
        <v>852</v>
      </c>
      <c r="B7" s="1349"/>
      <c r="C7" s="1349"/>
      <c r="D7" s="1349"/>
    </row>
    <row r="8" spans="1:5" ht="13.5" x14ac:dyDescent="0.25">
      <c r="A8" s="74" t="s">
        <v>853</v>
      </c>
      <c r="B8" s="88"/>
      <c r="C8" s="99"/>
      <c r="D8" s="99"/>
    </row>
    <row r="9" spans="1:5" ht="14.25" thickBot="1" x14ac:dyDescent="0.3">
      <c r="A9" s="74"/>
      <c r="B9" s="88"/>
      <c r="C9" s="99"/>
      <c r="D9" s="99"/>
    </row>
    <row r="10" spans="1:5" ht="14.25" x14ac:dyDescent="0.2">
      <c r="A10" s="1343" t="s">
        <v>293</v>
      </c>
      <c r="B10" s="1344"/>
      <c r="C10" s="1344"/>
      <c r="D10" s="1345"/>
    </row>
    <row r="11" spans="1:5" ht="14.25" thickBot="1" x14ac:dyDescent="0.3">
      <c r="A11" s="1346" t="s">
        <v>465</v>
      </c>
      <c r="B11" s="1347"/>
      <c r="C11" s="1347"/>
      <c r="D11" s="1348"/>
    </row>
    <row r="12" spans="1:5" ht="15.75" thickBot="1" x14ac:dyDescent="0.3">
      <c r="A12" s="89" t="s">
        <v>294</v>
      </c>
      <c r="B12" s="90" t="s">
        <v>295</v>
      </c>
      <c r="C12" s="109" t="s">
        <v>296</v>
      </c>
      <c r="D12" s="109" t="s">
        <v>297</v>
      </c>
    </row>
    <row r="13" spans="1:5" x14ac:dyDescent="0.2">
      <c r="A13" s="91"/>
      <c r="C13" s="110"/>
      <c r="D13" s="110"/>
    </row>
    <row r="14" spans="1:5" x14ac:dyDescent="0.2">
      <c r="A14" s="75">
        <v>1</v>
      </c>
      <c r="B14" s="54" t="s">
        <v>865</v>
      </c>
      <c r="C14" s="103">
        <f>+'ING. REALES'!C73+'ING. REALES'!E73+'ING. REALES'!D73+'ING. REALES'!F73+'ING. REALES'!G73</f>
        <v>3460336.3200000003</v>
      </c>
      <c r="D14" s="103">
        <f>+CONSOLIDADO!L163+CONSOLIDADO!S163+CONSOLIDADO!V163+CONSOLIDADO!Z163+CONSOLIDADO!AC163+CONSOLIDADO!AF163</f>
        <v>3460336.3197999997</v>
      </c>
      <c r="E14" s="12"/>
    </row>
    <row r="15" spans="1:5" x14ac:dyDescent="0.2">
      <c r="A15" s="75"/>
      <c r="B15" s="54"/>
      <c r="C15" s="103"/>
      <c r="D15" s="110"/>
    </row>
    <row r="16" spans="1:5" x14ac:dyDescent="0.2">
      <c r="A16" s="75">
        <v>2</v>
      </c>
      <c r="B16" s="54" t="s">
        <v>298</v>
      </c>
      <c r="C16" s="103">
        <f>+'ING. REALES'!I73</f>
        <v>479627.45999999996</v>
      </c>
      <c r="D16" s="103">
        <f>+CONSOLIDADO!G163</f>
        <v>479627.46</v>
      </c>
      <c r="E16" s="12"/>
    </row>
    <row r="17" spans="1:6" x14ac:dyDescent="0.2">
      <c r="A17" s="75"/>
      <c r="B17" s="54"/>
      <c r="C17" s="103"/>
      <c r="D17" s="110"/>
    </row>
    <row r="18" spans="1:6" x14ac:dyDescent="0.2">
      <c r="A18" s="75">
        <v>3</v>
      </c>
      <c r="B18" s="54" t="s">
        <v>299</v>
      </c>
      <c r="C18" s="103">
        <v>0</v>
      </c>
      <c r="D18" s="103">
        <v>0</v>
      </c>
    </row>
    <row r="19" spans="1:6" x14ac:dyDescent="0.2">
      <c r="A19" s="75"/>
      <c r="B19" s="54"/>
      <c r="C19" s="103"/>
      <c r="D19" s="110"/>
    </row>
    <row r="20" spans="1:6" x14ac:dyDescent="0.2">
      <c r="A20" s="75">
        <v>4</v>
      </c>
      <c r="B20" s="54" t="s">
        <v>300</v>
      </c>
      <c r="C20" s="103">
        <f>+'ING. REALES'!K73</f>
        <v>1106755.33</v>
      </c>
      <c r="D20" s="103">
        <f>+CONSOLIDADO!AI163</f>
        <v>1106755.33</v>
      </c>
    </row>
    <row r="21" spans="1:6" x14ac:dyDescent="0.2">
      <c r="A21" s="75"/>
      <c r="B21" s="54"/>
      <c r="C21" s="103"/>
      <c r="D21" s="103"/>
    </row>
    <row r="22" spans="1:6" x14ac:dyDescent="0.2">
      <c r="A22" s="75">
        <v>5</v>
      </c>
      <c r="B22" s="54" t="s">
        <v>461</v>
      </c>
      <c r="C22" s="103">
        <f>+'ING. REALES'!J73</f>
        <v>0</v>
      </c>
      <c r="D22" s="103">
        <f>C22</f>
        <v>0</v>
      </c>
    </row>
    <row r="23" spans="1:6" x14ac:dyDescent="0.2">
      <c r="A23" s="75"/>
      <c r="B23" s="54"/>
      <c r="C23" s="103"/>
      <c r="D23" s="110"/>
    </row>
    <row r="24" spans="1:6" ht="13.5" thickBot="1" x14ac:dyDescent="0.25">
      <c r="A24" s="86"/>
      <c r="C24" s="103"/>
      <c r="D24" s="110"/>
    </row>
    <row r="25" spans="1:6" ht="13.5" thickBot="1" x14ac:dyDescent="0.25">
      <c r="A25" s="92"/>
      <c r="B25" s="87" t="s">
        <v>185</v>
      </c>
      <c r="C25" s="111">
        <f>SUM(C13:C24)</f>
        <v>5046719.1100000003</v>
      </c>
      <c r="D25" s="111">
        <f>SUM(D13:D24)</f>
        <v>5046719.1097999997</v>
      </c>
    </row>
    <row r="26" spans="1:6" x14ac:dyDescent="0.2">
      <c r="B26" s="24"/>
      <c r="C26" s="112"/>
    </row>
    <row r="27" spans="1:6" ht="15.75" x14ac:dyDescent="0.25">
      <c r="B27" s="93"/>
      <c r="D27" s="240">
        <f>+C25-D25</f>
        <v>2.000005915760994E-4</v>
      </c>
      <c r="F27" s="18"/>
    </row>
  </sheetData>
  <mergeCells count="5">
    <mergeCell ref="A5:D5"/>
    <mergeCell ref="A10:D10"/>
    <mergeCell ref="A11:D11"/>
    <mergeCell ref="A6:D6"/>
    <mergeCell ref="A7:D7"/>
  </mergeCells>
  <phoneticPr fontId="6" type="noConversion"/>
  <printOptions horizontalCentered="1"/>
  <pageMargins left="0.74803149606299213" right="0.74803149606299213" top="1.3779527559055118" bottom="0.98425196850393704" header="0" footer="0"/>
  <pageSetup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indexed="48"/>
  </sheetPr>
  <dimension ref="B1:M55"/>
  <sheetViews>
    <sheetView showGridLines="0" topLeftCell="A16" zoomScale="80" zoomScaleNormal="80" workbookViewId="0">
      <selection activeCell="L49" sqref="L49"/>
    </sheetView>
  </sheetViews>
  <sheetFormatPr baseColWidth="10" defaultRowHeight="12.75" x14ac:dyDescent="0.2"/>
  <cols>
    <col min="1" max="1" width="1.7109375" customWidth="1"/>
    <col min="2" max="2" width="8.140625" style="24" customWidth="1"/>
    <col min="3" max="3" width="39.7109375" customWidth="1"/>
    <col min="4" max="4" width="15.28515625" customWidth="1"/>
    <col min="5" max="5" width="15.140625" customWidth="1"/>
    <col min="6" max="6" width="18.140625" hidden="1" customWidth="1"/>
    <col min="7" max="7" width="15.140625" customWidth="1"/>
    <col min="8" max="8" width="12.42578125" customWidth="1"/>
    <col min="9" max="9" width="16" customWidth="1"/>
    <col min="10" max="10" width="12.28515625" bestFit="1" customWidth="1"/>
    <col min="11" max="12" width="11.5703125" bestFit="1" customWidth="1"/>
    <col min="13" max="13" width="12.28515625" bestFit="1" customWidth="1"/>
  </cols>
  <sheetData>
    <row r="1" spans="2:13" ht="15.75" x14ac:dyDescent="0.25">
      <c r="B1" s="1350" t="s">
        <v>258</v>
      </c>
      <c r="C1" s="1350"/>
      <c r="D1" s="1350"/>
      <c r="E1" s="1350"/>
      <c r="F1" s="1350"/>
      <c r="G1" s="1350"/>
      <c r="H1" s="1350"/>
      <c r="I1" s="1350"/>
      <c r="J1" s="21"/>
    </row>
    <row r="2" spans="2:13" ht="15.75" x14ac:dyDescent="0.25">
      <c r="B2" s="1351" t="s">
        <v>471</v>
      </c>
      <c r="C2" s="1351"/>
      <c r="D2" s="1351"/>
      <c r="E2" s="1351"/>
      <c r="F2" s="1351"/>
      <c r="G2" s="1351"/>
      <c r="H2" s="1351"/>
      <c r="I2" s="1351"/>
      <c r="J2" s="22"/>
    </row>
    <row r="3" spans="2:13" ht="15.75" x14ac:dyDescent="0.25">
      <c r="B3" s="1351" t="s">
        <v>854</v>
      </c>
      <c r="C3" s="1351"/>
      <c r="D3" s="1351"/>
      <c r="E3" s="1351"/>
      <c r="F3" s="1351"/>
      <c r="G3" s="1351"/>
      <c r="H3" s="1351"/>
      <c r="I3" s="1351"/>
      <c r="J3" s="22"/>
    </row>
    <row r="4" spans="2:13" ht="19.5" customHeight="1" x14ac:dyDescent="0.25">
      <c r="B4" s="1350" t="s">
        <v>259</v>
      </c>
      <c r="C4" s="1350"/>
      <c r="D4" s="1350"/>
      <c r="E4" s="1350"/>
      <c r="F4" s="1350"/>
      <c r="G4" s="1350"/>
      <c r="H4" s="1350"/>
      <c r="I4" s="1350"/>
      <c r="J4" s="21"/>
    </row>
    <row r="5" spans="2:13" ht="18.75" customHeight="1" x14ac:dyDescent="0.25">
      <c r="B5" s="1351" t="s">
        <v>301</v>
      </c>
      <c r="C5" s="1351"/>
      <c r="D5" s="1351"/>
      <c r="E5" s="1351"/>
      <c r="F5" s="1351"/>
      <c r="G5" s="1351"/>
      <c r="H5" s="1351"/>
      <c r="I5" s="1351"/>
      <c r="J5" s="22"/>
    </row>
    <row r="6" spans="2:13" ht="18.75" customHeight="1" thickBot="1" x14ac:dyDescent="0.3">
      <c r="B6" s="193"/>
      <c r="C6" s="193"/>
      <c r="D6" s="193"/>
      <c r="E6" s="193"/>
      <c r="F6" s="193"/>
      <c r="G6" s="193"/>
      <c r="H6" s="193"/>
      <c r="I6" s="193"/>
      <c r="J6" s="22"/>
    </row>
    <row r="7" spans="2:13" ht="15" customHeight="1" x14ac:dyDescent="0.2">
      <c r="B7" s="1352" t="s">
        <v>302</v>
      </c>
      <c r="C7" s="1354" t="s">
        <v>303</v>
      </c>
      <c r="D7" s="1356" t="s">
        <v>304</v>
      </c>
      <c r="E7" s="1356" t="s">
        <v>305</v>
      </c>
      <c r="F7" s="1356" t="s">
        <v>306</v>
      </c>
      <c r="G7" s="1356" t="s">
        <v>307</v>
      </c>
      <c r="H7" s="1356" t="s">
        <v>308</v>
      </c>
      <c r="I7" s="1356" t="s">
        <v>25</v>
      </c>
    </row>
    <row r="8" spans="2:13" ht="15" customHeight="1" thickBot="1" x14ac:dyDescent="0.25">
      <c r="B8" s="1353"/>
      <c r="C8" s="1355"/>
      <c r="D8" s="1357"/>
      <c r="E8" s="1357"/>
      <c r="F8" s="1357"/>
      <c r="G8" s="1357"/>
      <c r="H8" s="1357"/>
      <c r="I8" s="1357"/>
    </row>
    <row r="9" spans="2:13" ht="24.95" customHeight="1" x14ac:dyDescent="0.2">
      <c r="B9" s="823" t="s">
        <v>272</v>
      </c>
      <c r="C9" s="814" t="s">
        <v>273</v>
      </c>
      <c r="D9" s="114">
        <f>D10+D13</f>
        <v>648781.12</v>
      </c>
      <c r="E9" s="114">
        <f>E10+E13</f>
        <v>479627.46</v>
      </c>
      <c r="F9" s="114"/>
      <c r="G9" s="114">
        <v>0</v>
      </c>
      <c r="H9" s="114">
        <v>0</v>
      </c>
      <c r="I9" s="114">
        <f>I10+I13</f>
        <v>1128408.5799999998</v>
      </c>
    </row>
    <row r="10" spans="2:13" ht="24.95" customHeight="1" x14ac:dyDescent="0.2">
      <c r="B10" s="824" t="s">
        <v>274</v>
      </c>
      <c r="C10" s="819" t="s">
        <v>275</v>
      </c>
      <c r="D10" s="115">
        <f>D11+D12</f>
        <v>410409.86</v>
      </c>
      <c r="E10" s="115">
        <f>E11+E12</f>
        <v>311616.82</v>
      </c>
      <c r="F10" s="115"/>
      <c r="G10" s="115">
        <v>0</v>
      </c>
      <c r="H10" s="115">
        <v>0</v>
      </c>
      <c r="I10" s="115">
        <f>I11+I12</f>
        <v>722026.67999999993</v>
      </c>
      <c r="J10" s="17"/>
      <c r="K10" s="17"/>
      <c r="L10" s="17"/>
      <c r="M10" s="17"/>
    </row>
    <row r="11" spans="2:13" ht="24.95" customHeight="1" x14ac:dyDescent="0.2">
      <c r="B11" s="825" t="s">
        <v>20</v>
      </c>
      <c r="C11" s="815" t="s">
        <v>309</v>
      </c>
      <c r="D11" s="116">
        <f>+CONSOLIDADO!H163</f>
        <v>374459.86</v>
      </c>
      <c r="E11" s="116">
        <f>+CONSOLIDADO!C163</f>
        <v>260209.64</v>
      </c>
      <c r="F11" s="116"/>
      <c r="G11" s="116">
        <v>0</v>
      </c>
      <c r="H11" s="116">
        <v>0</v>
      </c>
      <c r="I11" s="116">
        <f>D11+E11+F11+G11+H11</f>
        <v>634669.5</v>
      </c>
      <c r="J11" s="17"/>
      <c r="K11" s="17"/>
      <c r="L11" s="17"/>
      <c r="M11" s="17"/>
    </row>
    <row r="12" spans="2:13" ht="24.95" customHeight="1" x14ac:dyDescent="0.2">
      <c r="B12" s="825" t="s">
        <v>21</v>
      </c>
      <c r="C12" s="815" t="s">
        <v>277</v>
      </c>
      <c r="D12" s="116">
        <f>+CONSOLIDADO!I163</f>
        <v>35950</v>
      </c>
      <c r="E12" s="116">
        <f>+CONSOLIDADO!D163</f>
        <v>51407.18</v>
      </c>
      <c r="F12" s="116"/>
      <c r="G12" s="116">
        <v>0</v>
      </c>
      <c r="H12" s="116">
        <v>0</v>
      </c>
      <c r="I12" s="116">
        <f>D12+E12+F12+G12+H12</f>
        <v>87357.18</v>
      </c>
      <c r="K12" s="3"/>
    </row>
    <row r="13" spans="2:13" ht="24.95" customHeight="1" x14ac:dyDescent="0.2">
      <c r="B13" s="824" t="s">
        <v>278</v>
      </c>
      <c r="C13" s="819" t="s">
        <v>279</v>
      </c>
      <c r="D13" s="115">
        <f>SUM(D14:D15)</f>
        <v>238371.26</v>
      </c>
      <c r="E13" s="115">
        <f>SUM(E14:E15)</f>
        <v>168010.64</v>
      </c>
      <c r="F13" s="115"/>
      <c r="G13" s="115">
        <v>0</v>
      </c>
      <c r="H13" s="115">
        <v>0</v>
      </c>
      <c r="I13" s="115">
        <f>+I14+I15</f>
        <v>406381.89999999997</v>
      </c>
      <c r="K13" s="3"/>
    </row>
    <row r="14" spans="2:13" ht="24.95" customHeight="1" x14ac:dyDescent="0.2">
      <c r="B14" s="825" t="s">
        <v>24</v>
      </c>
      <c r="C14" s="815" t="s">
        <v>469</v>
      </c>
      <c r="D14" s="116">
        <f>+CONSOLIDADO!J163</f>
        <v>27958.38</v>
      </c>
      <c r="E14" s="116">
        <f>+CONSOLIDADO!E163</f>
        <v>24800.04</v>
      </c>
      <c r="F14" s="115"/>
      <c r="G14" s="395">
        <v>0</v>
      </c>
      <c r="H14" s="395">
        <v>0</v>
      </c>
      <c r="I14" s="116">
        <f>D14+E14+F14+G14+H14</f>
        <v>52758.42</v>
      </c>
      <c r="K14" s="3"/>
    </row>
    <row r="15" spans="2:13" ht="24.95" customHeight="1" thickBot="1" x14ac:dyDescent="0.25">
      <c r="B15" s="826" t="s">
        <v>253</v>
      </c>
      <c r="C15" s="817" t="s">
        <v>470</v>
      </c>
      <c r="D15" s="117">
        <f>+CONSOLIDADO!K163</f>
        <v>210412.88</v>
      </c>
      <c r="E15" s="117">
        <f>+CONSOLIDADO!F163</f>
        <v>143210.6</v>
      </c>
      <c r="F15" s="118"/>
      <c r="G15" s="396">
        <v>0</v>
      </c>
      <c r="H15" s="396">
        <v>0</v>
      </c>
      <c r="I15" s="117">
        <f>D15+E15+F15+G15+H15</f>
        <v>353623.48</v>
      </c>
      <c r="K15" s="19"/>
    </row>
    <row r="16" spans="2:13" ht="24.95" customHeight="1" x14ac:dyDescent="0.2">
      <c r="B16" s="824" t="s">
        <v>310</v>
      </c>
      <c r="C16" s="818" t="s">
        <v>280</v>
      </c>
      <c r="D16" s="115">
        <f t="shared" ref="D16:I16" si="0">D17</f>
        <v>1786079.4197999998</v>
      </c>
      <c r="E16" s="115">
        <f t="shared" si="0"/>
        <v>0</v>
      </c>
      <c r="F16" s="115">
        <f t="shared" si="0"/>
        <v>0</v>
      </c>
      <c r="G16" s="115">
        <f t="shared" si="0"/>
        <v>807382.89000000013</v>
      </c>
      <c r="H16" s="115">
        <f t="shared" si="0"/>
        <v>0</v>
      </c>
      <c r="I16" s="115">
        <f t="shared" si="0"/>
        <v>2593462.3097999999</v>
      </c>
    </row>
    <row r="17" spans="2:9" ht="24.95" customHeight="1" x14ac:dyDescent="0.2">
      <c r="B17" s="824" t="s">
        <v>281</v>
      </c>
      <c r="C17" s="819" t="s">
        <v>282</v>
      </c>
      <c r="D17" s="115">
        <f>D18+D19+D20+D22+D23+D24</f>
        <v>1786079.4197999998</v>
      </c>
      <c r="E17" s="115">
        <f>E18+E19</f>
        <v>0</v>
      </c>
      <c r="F17" s="115">
        <f>F18+F19</f>
        <v>0</v>
      </c>
      <c r="G17" s="115">
        <f>G18+G19</f>
        <v>807382.89000000013</v>
      </c>
      <c r="H17" s="115">
        <f>H18+H19</f>
        <v>0</v>
      </c>
      <c r="I17" s="115">
        <f>+I18+I19+I20+I22+I23+I24</f>
        <v>2593462.3097999999</v>
      </c>
    </row>
    <row r="18" spans="2:9" ht="24.95" customHeight="1" x14ac:dyDescent="0.2">
      <c r="B18" s="825" t="s">
        <v>231</v>
      </c>
      <c r="C18" s="815" t="s">
        <v>311</v>
      </c>
      <c r="D18" s="116">
        <f>CONSOLIDADO!M163</f>
        <v>152123.5</v>
      </c>
      <c r="E18" s="395">
        <v>0</v>
      </c>
      <c r="F18" s="395">
        <v>0</v>
      </c>
      <c r="G18" s="395">
        <v>0</v>
      </c>
      <c r="H18" s="395">
        <v>0</v>
      </c>
      <c r="I18" s="116">
        <f>D18+E18+F18+G18+H18</f>
        <v>152123.5</v>
      </c>
    </row>
    <row r="19" spans="2:9" ht="24.95" customHeight="1" x14ac:dyDescent="0.2">
      <c r="B19" s="825" t="s">
        <v>232</v>
      </c>
      <c r="C19" s="815" t="s">
        <v>284</v>
      </c>
      <c r="D19" s="116">
        <f>+CONSOLIDADO!N163+CONSOLIDADO!T163+CONSOLIDADO!AD163</f>
        <v>1326828.6099999999</v>
      </c>
      <c r="E19" s="116">
        <v>0</v>
      </c>
      <c r="F19" s="115"/>
      <c r="G19" s="116">
        <f>+CONSOLIDADO!AG163</f>
        <v>807382.89000000013</v>
      </c>
      <c r="H19" s="116">
        <f>+CONSOLIDADO!AJ163</f>
        <v>0</v>
      </c>
      <c r="I19" s="116">
        <f>D19+E19+F19+G19+H19</f>
        <v>2134211.5</v>
      </c>
    </row>
    <row r="20" spans="2:9" ht="24.95" customHeight="1" x14ac:dyDescent="0.2">
      <c r="B20" s="825" t="s">
        <v>770</v>
      </c>
      <c r="C20" s="815" t="s">
        <v>857</v>
      </c>
      <c r="D20" s="116">
        <f>CONSOLIDADO!W163</f>
        <v>5569.71</v>
      </c>
      <c r="E20" s="116"/>
      <c r="F20" s="115"/>
      <c r="G20" s="116"/>
      <c r="H20" s="116"/>
      <c r="I20" s="116">
        <f t="shared" ref="I20:I25" si="1">D20+E20+F20+G20+H20</f>
        <v>5569.71</v>
      </c>
    </row>
    <row r="21" spans="2:9" ht="24.95" customHeight="1" x14ac:dyDescent="0.2">
      <c r="B21" s="825" t="s">
        <v>771</v>
      </c>
      <c r="C21" s="815" t="s">
        <v>858</v>
      </c>
      <c r="D21" s="116"/>
      <c r="E21" s="116"/>
      <c r="F21" s="115"/>
      <c r="G21" s="116"/>
      <c r="H21" s="116"/>
      <c r="I21" s="116">
        <f t="shared" si="1"/>
        <v>0</v>
      </c>
    </row>
    <row r="22" spans="2:9" ht="24.95" customHeight="1" x14ac:dyDescent="0.2">
      <c r="B22" s="825" t="s">
        <v>782</v>
      </c>
      <c r="C22" s="815" t="s">
        <v>859</v>
      </c>
      <c r="D22" s="116">
        <f>CONSOLIDADO!Y163</f>
        <v>16718</v>
      </c>
      <c r="E22" s="116"/>
      <c r="F22" s="115"/>
      <c r="G22" s="116"/>
      <c r="H22" s="116"/>
      <c r="I22" s="116">
        <f t="shared" si="1"/>
        <v>16718</v>
      </c>
    </row>
    <row r="23" spans="2:9" ht="24.95" customHeight="1" x14ac:dyDescent="0.2">
      <c r="B23" s="825" t="s">
        <v>790</v>
      </c>
      <c r="C23" s="815" t="s">
        <v>860</v>
      </c>
      <c r="D23" s="116">
        <f>CONSOLIDADO!AA163</f>
        <v>26365.969799999999</v>
      </c>
      <c r="E23" s="116"/>
      <c r="F23" s="115"/>
      <c r="G23" s="116"/>
      <c r="H23" s="116"/>
      <c r="I23" s="116">
        <f t="shared" si="1"/>
        <v>26365.969799999999</v>
      </c>
    </row>
    <row r="24" spans="2:9" ht="24.95" customHeight="1" x14ac:dyDescent="0.2">
      <c r="B24" s="825" t="s">
        <v>793</v>
      </c>
      <c r="C24" s="815" t="s">
        <v>861</v>
      </c>
      <c r="D24" s="116">
        <f>CONSOLIDADO!AB163</f>
        <v>258473.63</v>
      </c>
      <c r="E24" s="116"/>
      <c r="F24" s="115"/>
      <c r="G24" s="116"/>
      <c r="H24" s="116"/>
      <c r="I24" s="116">
        <f t="shared" si="1"/>
        <v>258473.63</v>
      </c>
    </row>
    <row r="25" spans="2:9" ht="24.95" customHeight="1" x14ac:dyDescent="0.2">
      <c r="B25" s="825" t="s">
        <v>836</v>
      </c>
      <c r="C25" s="815" t="s">
        <v>858</v>
      </c>
      <c r="D25" s="116"/>
      <c r="E25" s="116"/>
      <c r="F25" s="115"/>
      <c r="G25" s="116"/>
      <c r="H25" s="116"/>
      <c r="I25" s="116">
        <f t="shared" si="1"/>
        <v>0</v>
      </c>
    </row>
    <row r="26" spans="2:9" ht="24.95" customHeight="1" thickBot="1" x14ac:dyDescent="0.25">
      <c r="B26" s="826"/>
      <c r="C26" s="1042"/>
      <c r="D26" s="117"/>
      <c r="E26" s="117"/>
      <c r="F26" s="118"/>
      <c r="G26" s="117"/>
      <c r="H26" s="117"/>
      <c r="I26" s="117"/>
    </row>
    <row r="27" spans="2:9" ht="24.95" customHeight="1" x14ac:dyDescent="0.2">
      <c r="B27" s="825"/>
      <c r="C27" s="815"/>
      <c r="D27" s="116"/>
      <c r="E27" s="116"/>
      <c r="F27" s="115"/>
      <c r="G27" s="116"/>
      <c r="H27" s="116"/>
      <c r="I27" s="116"/>
    </row>
    <row r="28" spans="2:9" ht="24.95" customHeight="1" x14ac:dyDescent="0.2">
      <c r="B28" s="824" t="s">
        <v>312</v>
      </c>
      <c r="C28" s="818" t="s">
        <v>285</v>
      </c>
      <c r="D28" s="115">
        <f>D29</f>
        <v>669410.71</v>
      </c>
      <c r="E28" s="115">
        <f t="shared" ref="E28:H29" si="2">E29</f>
        <v>0</v>
      </c>
      <c r="F28" s="115">
        <f t="shared" si="2"/>
        <v>0</v>
      </c>
      <c r="G28" s="115">
        <f t="shared" si="2"/>
        <v>299372.44</v>
      </c>
      <c r="H28" s="115">
        <f t="shared" si="2"/>
        <v>0</v>
      </c>
      <c r="I28" s="115">
        <f>I29</f>
        <v>968783.14999999991</v>
      </c>
    </row>
    <row r="29" spans="2:9" ht="24.95" customHeight="1" x14ac:dyDescent="0.2">
      <c r="B29" s="824" t="s">
        <v>286</v>
      </c>
      <c r="C29" s="819" t="s">
        <v>287</v>
      </c>
      <c r="D29" s="115">
        <f>D30+D31</f>
        <v>669410.71</v>
      </c>
      <c r="E29" s="115">
        <f t="shared" si="2"/>
        <v>0</v>
      </c>
      <c r="F29" s="115">
        <f t="shared" si="2"/>
        <v>0</v>
      </c>
      <c r="G29" s="115">
        <f t="shared" si="2"/>
        <v>299372.44</v>
      </c>
      <c r="H29" s="115">
        <f t="shared" si="2"/>
        <v>0</v>
      </c>
      <c r="I29" s="115">
        <f>I30+I31</f>
        <v>968783.14999999991</v>
      </c>
    </row>
    <row r="30" spans="2:9" ht="21" customHeight="1" x14ac:dyDescent="0.2">
      <c r="B30" s="825" t="s">
        <v>233</v>
      </c>
      <c r="C30" s="815" t="s">
        <v>288</v>
      </c>
      <c r="D30" s="116">
        <f>+CONSOLIDADO!O163+CONSOLIDADO!U163</f>
        <v>669410.71</v>
      </c>
      <c r="E30" s="395">
        <v>0</v>
      </c>
      <c r="F30" s="395">
        <v>0</v>
      </c>
      <c r="G30" s="395">
        <f>CONSOLIDADO!AH163</f>
        <v>299372.44</v>
      </c>
      <c r="H30" s="395">
        <v>0</v>
      </c>
      <c r="I30" s="116">
        <f>D30+E30+F30+G30+H30</f>
        <v>968783.14999999991</v>
      </c>
    </row>
    <row r="31" spans="2:9" ht="21" customHeight="1" thickBot="1" x14ac:dyDescent="0.25">
      <c r="B31" s="826" t="s">
        <v>445</v>
      </c>
      <c r="C31" s="817" t="s">
        <v>466</v>
      </c>
      <c r="D31" s="117">
        <f>CONSOLIDADO!AE163</f>
        <v>0</v>
      </c>
      <c r="E31" s="396">
        <v>0</v>
      </c>
      <c r="F31" s="396">
        <v>0</v>
      </c>
      <c r="G31" s="396">
        <v>0</v>
      </c>
      <c r="H31" s="396">
        <v>0</v>
      </c>
      <c r="I31" s="117">
        <f>D31+E31+F31+G31+H31</f>
        <v>0</v>
      </c>
    </row>
    <row r="32" spans="2:9" ht="23.25" customHeight="1" x14ac:dyDescent="0.2">
      <c r="B32" s="824" t="s">
        <v>313</v>
      </c>
      <c r="C32" s="819" t="s">
        <v>289</v>
      </c>
      <c r="D32" s="115">
        <f>D33</f>
        <v>356065.07000000007</v>
      </c>
      <c r="E32" s="115">
        <f t="shared" ref="E32:I33" si="3">E33</f>
        <v>0</v>
      </c>
      <c r="F32" s="115">
        <f t="shared" si="3"/>
        <v>0</v>
      </c>
      <c r="G32" s="115">
        <f t="shared" si="3"/>
        <v>0</v>
      </c>
      <c r="H32" s="115">
        <f t="shared" si="3"/>
        <v>0</v>
      </c>
      <c r="I32" s="115">
        <f t="shared" si="3"/>
        <v>356065.07000000007</v>
      </c>
    </row>
    <row r="33" spans="2:9" ht="24.95" customHeight="1" x14ac:dyDescent="0.2">
      <c r="B33" s="824" t="s">
        <v>290</v>
      </c>
      <c r="C33" s="819" t="s">
        <v>291</v>
      </c>
      <c r="D33" s="115">
        <f>D34+D35+D36</f>
        <v>356065.07000000007</v>
      </c>
      <c r="E33" s="115">
        <f t="shared" si="3"/>
        <v>0</v>
      </c>
      <c r="F33" s="115">
        <f t="shared" si="3"/>
        <v>0</v>
      </c>
      <c r="G33" s="115">
        <f t="shared" si="3"/>
        <v>0</v>
      </c>
      <c r="H33" s="115">
        <f t="shared" si="3"/>
        <v>0</v>
      </c>
      <c r="I33" s="115">
        <f>I34+I35+I36</f>
        <v>356065.07000000007</v>
      </c>
    </row>
    <row r="34" spans="2:9" ht="24.95" customHeight="1" x14ac:dyDescent="0.2">
      <c r="B34" s="825" t="s">
        <v>234</v>
      </c>
      <c r="C34" s="815" t="s">
        <v>292</v>
      </c>
      <c r="D34" s="116">
        <f>RESUMEN2!F37</f>
        <v>187095</v>
      </c>
      <c r="E34" s="395">
        <v>0</v>
      </c>
      <c r="F34" s="395">
        <v>0</v>
      </c>
      <c r="G34" s="395">
        <v>0</v>
      </c>
      <c r="H34" s="395">
        <v>0</v>
      </c>
      <c r="I34" s="116">
        <f>D34+E34+F34+G34+H34</f>
        <v>187095</v>
      </c>
    </row>
    <row r="35" spans="2:9" ht="24.95" customHeight="1" x14ac:dyDescent="0.2">
      <c r="B35" s="827" t="s">
        <v>614</v>
      </c>
      <c r="C35" s="820" t="s">
        <v>619</v>
      </c>
      <c r="D35" s="116">
        <f>RESUMEN2!F38</f>
        <v>164509.92000000001</v>
      </c>
      <c r="E35" s="395">
        <v>0</v>
      </c>
      <c r="F35" s="395">
        <v>0</v>
      </c>
      <c r="G35" s="395">
        <v>0</v>
      </c>
      <c r="H35" s="395">
        <v>0</v>
      </c>
      <c r="I35" s="116">
        <f>D35+E35+F35+G35+H35</f>
        <v>164509.92000000001</v>
      </c>
    </row>
    <row r="36" spans="2:9" ht="24.95" customHeight="1" thickBot="1" x14ac:dyDescent="0.25">
      <c r="B36" s="826" t="s">
        <v>454</v>
      </c>
      <c r="C36" s="815" t="s">
        <v>467</v>
      </c>
      <c r="D36" s="116">
        <f>+CONSOLIDADO!R163</f>
        <v>4460.1499999999996</v>
      </c>
      <c r="E36" s="395">
        <v>0</v>
      </c>
      <c r="F36" s="395">
        <v>0</v>
      </c>
      <c r="G36" s="395">
        <v>0</v>
      </c>
      <c r="H36" s="395">
        <v>0</v>
      </c>
      <c r="I36" s="116">
        <f>D36+E36+F36+G36+H36</f>
        <v>4460.1499999999996</v>
      </c>
    </row>
    <row r="37" spans="2:9" ht="21" customHeight="1" thickBot="1" x14ac:dyDescent="0.25">
      <c r="B37" s="1180" t="s">
        <v>314</v>
      </c>
      <c r="C37" s="1336"/>
      <c r="D37" s="119">
        <f>D9+D16+D28+D32</f>
        <v>3460336.3197999997</v>
      </c>
      <c r="E37" s="119">
        <f>E9+E16+E28+E32</f>
        <v>479627.46</v>
      </c>
      <c r="F37" s="119"/>
      <c r="G37" s="119">
        <f>G9+G16+G28+G32</f>
        <v>1106755.33</v>
      </c>
      <c r="H37" s="119"/>
      <c r="I37" s="119">
        <f>I9+I16+I28+I32</f>
        <v>5046719.1097999997</v>
      </c>
    </row>
    <row r="39" spans="2:9" x14ac:dyDescent="0.2">
      <c r="I39" s="1"/>
    </row>
    <row r="40" spans="2:9" x14ac:dyDescent="0.2">
      <c r="G40" s="1"/>
    </row>
    <row r="41" spans="2:9" x14ac:dyDescent="0.2">
      <c r="I41" s="1"/>
    </row>
    <row r="43" spans="2:9" x14ac:dyDescent="0.2">
      <c r="I43" s="390"/>
    </row>
    <row r="45" spans="2:9" x14ac:dyDescent="0.2">
      <c r="I45" s="390"/>
    </row>
    <row r="49" spans="9:9" x14ac:dyDescent="0.2">
      <c r="I49" s="390"/>
    </row>
    <row r="55" spans="9:9" x14ac:dyDescent="0.2">
      <c r="I55" s="390"/>
    </row>
  </sheetData>
  <mergeCells count="14">
    <mergeCell ref="B1:I1"/>
    <mergeCell ref="B2:I2"/>
    <mergeCell ref="B3:I3"/>
    <mergeCell ref="B4:I4"/>
    <mergeCell ref="B37:C37"/>
    <mergeCell ref="B7:B8"/>
    <mergeCell ref="B5:I5"/>
    <mergeCell ref="C7:C8"/>
    <mergeCell ref="D7:D8"/>
    <mergeCell ref="E7:E8"/>
    <mergeCell ref="F7:F8"/>
    <mergeCell ref="G7:G8"/>
    <mergeCell ref="H7:H8"/>
    <mergeCell ref="I7:I8"/>
  </mergeCells>
  <phoneticPr fontId="0" type="noConversion"/>
  <pageMargins left="0.35433070866141736" right="0.35433070866141736" top="0.74803149606299213" bottom="0.27559055118110237" header="0.15748031496062992" footer="0"/>
  <pageSetup paperSize="5" scale="8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3:F21"/>
  <sheetViews>
    <sheetView workbookViewId="0">
      <selection activeCell="J26" sqref="J26"/>
    </sheetView>
  </sheetViews>
  <sheetFormatPr baseColWidth="10" defaultRowHeight="12.75" x14ac:dyDescent="0.2"/>
  <cols>
    <col min="4" max="5" width="14" style="17" customWidth="1"/>
  </cols>
  <sheetData>
    <row r="3" spans="2:6" x14ac:dyDescent="0.2">
      <c r="D3" s="470" t="s">
        <v>648</v>
      </c>
      <c r="E3" s="470" t="s">
        <v>480</v>
      </c>
    </row>
    <row r="4" spans="2:6" x14ac:dyDescent="0.2">
      <c r="B4" s="225" t="s">
        <v>649</v>
      </c>
      <c r="C4" s="225" t="s">
        <v>650</v>
      </c>
      <c r="D4" s="17">
        <f>729.54/4</f>
        <v>182.38499999999999</v>
      </c>
      <c r="E4" s="17">
        <f>+D4*4</f>
        <v>729.54</v>
      </c>
    </row>
    <row r="5" spans="2:6" x14ac:dyDescent="0.2">
      <c r="B5" s="225" t="s">
        <v>649</v>
      </c>
      <c r="C5" s="225" t="s">
        <v>647</v>
      </c>
      <c r="D5" s="17">
        <f>566.48/4</f>
        <v>141.62</v>
      </c>
      <c r="E5" s="17">
        <f>+D5*4</f>
        <v>566.48</v>
      </c>
    </row>
    <row r="7" spans="2:6" x14ac:dyDescent="0.2">
      <c r="D7" s="470" t="s">
        <v>651</v>
      </c>
    </row>
    <row r="8" spans="2:6" x14ac:dyDescent="0.2">
      <c r="B8" s="225" t="s">
        <v>649</v>
      </c>
      <c r="C8" s="225">
        <v>9986</v>
      </c>
      <c r="D8" s="17">
        <f>1550.78/12</f>
        <v>129.23166666666665</v>
      </c>
      <c r="E8" s="17">
        <f>+D8*12</f>
        <v>1550.7799999999997</v>
      </c>
    </row>
    <row r="11" spans="2:6" x14ac:dyDescent="0.2">
      <c r="D11" s="389" t="s">
        <v>648</v>
      </c>
      <c r="E11" s="389" t="s">
        <v>480</v>
      </c>
    </row>
    <row r="12" spans="2:6" x14ac:dyDescent="0.2">
      <c r="B12" s="225" t="s">
        <v>653</v>
      </c>
      <c r="D12" s="17">
        <f>1063.34/4</f>
        <v>265.83499999999998</v>
      </c>
      <c r="E12" s="17">
        <f>D12*4</f>
        <v>1063.3399999999999</v>
      </c>
      <c r="F12" s="1">
        <f>+E4+E5+E8+E12/2</f>
        <v>3378.47</v>
      </c>
    </row>
    <row r="16" spans="2:6" x14ac:dyDescent="0.2">
      <c r="D16" s="470" t="s">
        <v>648</v>
      </c>
      <c r="E16" s="470" t="s">
        <v>480</v>
      </c>
    </row>
    <row r="17" spans="2:6" x14ac:dyDescent="0.2">
      <c r="B17" s="225" t="s">
        <v>652</v>
      </c>
      <c r="C17" s="225"/>
      <c r="D17" s="17">
        <f>169.5/4</f>
        <v>42.375</v>
      </c>
      <c r="E17" s="17">
        <f>+D17*4</f>
        <v>169.5</v>
      </c>
      <c r="F17" s="1">
        <f>E17/2</f>
        <v>84.75</v>
      </c>
    </row>
    <row r="21" spans="2:6" x14ac:dyDescent="0.2">
      <c r="E21" s="17">
        <f>+E4+E5+E8+E12+E17</f>
        <v>4079.6399999999994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theme="8" tint="0.39997558519241921"/>
  </sheetPr>
  <dimension ref="A1:P88"/>
  <sheetViews>
    <sheetView showGridLines="0" zoomScaleNormal="100"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E61" sqref="E61"/>
    </sheetView>
  </sheetViews>
  <sheetFormatPr baseColWidth="10" defaultRowHeight="12.75" x14ac:dyDescent="0.2"/>
  <cols>
    <col min="1" max="1" width="9.140625" style="548" customWidth="1"/>
    <col min="2" max="2" width="50.85546875" style="548" customWidth="1"/>
    <col min="3" max="3" width="13.140625" style="548" customWidth="1"/>
    <col min="4" max="4" width="14.85546875" style="548" customWidth="1"/>
    <col min="5" max="5" width="13.28515625" style="548" customWidth="1"/>
    <col min="6" max="6" width="12.85546875" style="548" customWidth="1"/>
    <col min="7" max="7" width="13.140625" style="548" customWidth="1"/>
    <col min="8" max="8" width="15.7109375" style="548" customWidth="1"/>
    <col min="9" max="9" width="14.42578125" style="959" customWidth="1"/>
    <col min="10" max="10" width="10.140625" style="959" customWidth="1"/>
    <col min="11" max="11" width="14.28515625" style="959" customWidth="1"/>
    <col min="12" max="12" width="14.5703125" style="959" customWidth="1"/>
    <col min="13" max="13" width="11.42578125" style="7"/>
    <col min="14" max="14" width="12.85546875" style="7" bestFit="1" customWidth="1"/>
    <col min="15" max="16384" width="11.42578125" style="7"/>
  </cols>
  <sheetData>
    <row r="1" spans="1:12" ht="12.75" customHeight="1" x14ac:dyDescent="0.2">
      <c r="A1" s="1149" t="s">
        <v>761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</row>
    <row r="2" spans="1:12" x14ac:dyDescent="0.2">
      <c r="A2" s="1149"/>
      <c r="B2" s="1149"/>
      <c r="C2" s="1149"/>
      <c r="D2" s="1149"/>
      <c r="E2" s="1149"/>
      <c r="F2" s="1149"/>
      <c r="G2" s="1149"/>
      <c r="H2" s="1149"/>
      <c r="I2" s="1149"/>
      <c r="J2" s="1149"/>
      <c r="K2" s="1149"/>
      <c r="L2" s="1149"/>
    </row>
    <row r="3" spans="1:12" x14ac:dyDescent="0.2">
      <c r="A3" s="1149"/>
      <c r="B3" s="1149"/>
      <c r="C3" s="1149"/>
      <c r="D3" s="1149"/>
      <c r="E3" s="1149"/>
      <c r="F3" s="1149"/>
      <c r="G3" s="1149"/>
      <c r="H3" s="1149"/>
      <c r="I3" s="1149"/>
      <c r="J3" s="1149"/>
      <c r="K3" s="1149"/>
      <c r="L3" s="1149"/>
    </row>
    <row r="4" spans="1:12" ht="3.75" customHeight="1" thickBot="1" x14ac:dyDescent="0.25">
      <c r="A4" s="522"/>
      <c r="B4" s="522"/>
      <c r="C4" s="831"/>
      <c r="D4" s="831"/>
      <c r="E4" s="831"/>
      <c r="F4" s="831"/>
      <c r="G4" s="908"/>
      <c r="H4" s="831"/>
      <c r="I4" s="937"/>
      <c r="J4" s="937"/>
      <c r="K4" s="937"/>
      <c r="L4" s="937"/>
    </row>
    <row r="5" spans="1:12" ht="26.25" customHeight="1" x14ac:dyDescent="0.2">
      <c r="A5" s="1173" t="s">
        <v>545</v>
      </c>
      <c r="B5" s="1176" t="s">
        <v>103</v>
      </c>
      <c r="C5" s="1156" t="s">
        <v>546</v>
      </c>
      <c r="D5" s="1157"/>
      <c r="E5" s="1157"/>
      <c r="F5" s="1157"/>
      <c r="G5" s="1157"/>
      <c r="H5" s="1158"/>
      <c r="I5" s="1153" t="s">
        <v>298</v>
      </c>
      <c r="J5" s="1165" t="s">
        <v>461</v>
      </c>
      <c r="K5" s="1170" t="s">
        <v>300</v>
      </c>
      <c r="L5" s="1150" t="s">
        <v>25</v>
      </c>
    </row>
    <row r="6" spans="1:12" x14ac:dyDescent="0.2">
      <c r="A6" s="1174"/>
      <c r="B6" s="1177"/>
      <c r="C6" s="1161" t="s">
        <v>0</v>
      </c>
      <c r="D6" s="1162"/>
      <c r="E6" s="837"/>
      <c r="F6" s="1163" t="s">
        <v>429</v>
      </c>
      <c r="G6" s="1163" t="s">
        <v>762</v>
      </c>
      <c r="H6" s="1159" t="s">
        <v>548</v>
      </c>
      <c r="I6" s="1154"/>
      <c r="J6" s="1166"/>
      <c r="K6" s="1171"/>
      <c r="L6" s="1151"/>
    </row>
    <row r="7" spans="1:12" ht="21.75" customHeight="1" thickBot="1" x14ac:dyDescent="0.25">
      <c r="A7" s="1175"/>
      <c r="B7" s="1178"/>
      <c r="C7" s="836" t="s">
        <v>547</v>
      </c>
      <c r="D7" s="838" t="s">
        <v>709</v>
      </c>
      <c r="E7" s="838" t="s">
        <v>710</v>
      </c>
      <c r="F7" s="1164"/>
      <c r="G7" s="1164"/>
      <c r="H7" s="1160"/>
      <c r="I7" s="1155"/>
      <c r="J7" s="1167"/>
      <c r="K7" s="1172"/>
      <c r="L7" s="1152"/>
    </row>
    <row r="8" spans="1:12" x14ac:dyDescent="0.2">
      <c r="A8" s="523">
        <v>11</v>
      </c>
      <c r="B8" s="524" t="s">
        <v>332</v>
      </c>
      <c r="C8" s="525">
        <f>C9</f>
        <v>0</v>
      </c>
      <c r="D8" s="526">
        <f>D9</f>
        <v>0</v>
      </c>
      <c r="E8" s="526">
        <f>E9</f>
        <v>0</v>
      </c>
      <c r="F8" s="526">
        <f>F9</f>
        <v>0</v>
      </c>
      <c r="G8" s="526">
        <f>G9</f>
        <v>0</v>
      </c>
      <c r="H8" s="527">
        <v>0</v>
      </c>
      <c r="I8" s="938">
        <f>I9</f>
        <v>24179.8</v>
      </c>
      <c r="J8" s="939">
        <f>J9</f>
        <v>0</v>
      </c>
      <c r="K8" s="940">
        <f>K9</f>
        <v>0</v>
      </c>
      <c r="L8" s="941">
        <f>K8+I8</f>
        <v>24179.8</v>
      </c>
    </row>
    <row r="9" spans="1:12" x14ac:dyDescent="0.2">
      <c r="A9" s="528">
        <v>118</v>
      </c>
      <c r="B9" s="529" t="s">
        <v>333</v>
      </c>
      <c r="C9" s="530">
        <f>SUM(C10:C17)</f>
        <v>0</v>
      </c>
      <c r="D9" s="531">
        <f>SUM(D10:D17)</f>
        <v>0</v>
      </c>
      <c r="E9" s="531">
        <f>SUM(E10:E17)</f>
        <v>0</v>
      </c>
      <c r="F9" s="531">
        <f>SUM(F10:F17)</f>
        <v>0</v>
      </c>
      <c r="G9" s="531">
        <f>SUM(G10:G17)</f>
        <v>0</v>
      </c>
      <c r="H9" s="532">
        <v>0</v>
      </c>
      <c r="I9" s="928">
        <f>SUM(I10:I17)</f>
        <v>24179.8</v>
      </c>
      <c r="J9" s="942">
        <f>SUM(J10:J17)</f>
        <v>0</v>
      </c>
      <c r="K9" s="943">
        <f>SUM(K10:K17)</f>
        <v>0</v>
      </c>
      <c r="L9" s="944">
        <f>+K9+I9</f>
        <v>24179.8</v>
      </c>
    </row>
    <row r="10" spans="1:12" x14ac:dyDescent="0.2">
      <c r="A10" s="533">
        <v>11801</v>
      </c>
      <c r="B10" s="534" t="s">
        <v>506</v>
      </c>
      <c r="C10" s="535">
        <v>0</v>
      </c>
      <c r="D10" s="536">
        <v>0</v>
      </c>
      <c r="E10" s="536">
        <v>0</v>
      </c>
      <c r="F10" s="536">
        <v>0</v>
      </c>
      <c r="G10" s="536">
        <v>0</v>
      </c>
      <c r="H10" s="532">
        <v>0</v>
      </c>
      <c r="I10" s="945">
        <f>663.63*12</f>
        <v>7963.5599999999995</v>
      </c>
      <c r="J10" s="946">
        <v>0</v>
      </c>
      <c r="K10" s="947">
        <v>0</v>
      </c>
      <c r="L10" s="948">
        <f t="shared" ref="L10:L17" si="0">K10+I10</f>
        <v>7963.5599999999995</v>
      </c>
    </row>
    <row r="11" spans="1:12" x14ac:dyDescent="0.2">
      <c r="A11" s="533">
        <v>11802</v>
      </c>
      <c r="B11" s="534" t="s">
        <v>507</v>
      </c>
      <c r="C11" s="535">
        <v>0</v>
      </c>
      <c r="D11" s="536">
        <v>0</v>
      </c>
      <c r="E11" s="536">
        <v>0</v>
      </c>
      <c r="F11" s="536">
        <v>0</v>
      </c>
      <c r="G11" s="536">
        <v>0</v>
      </c>
      <c r="H11" s="532">
        <v>0</v>
      </c>
      <c r="I11" s="945">
        <f>182.21*12</f>
        <v>2186.52</v>
      </c>
      <c r="J11" s="946">
        <v>0</v>
      </c>
      <c r="K11" s="947">
        <v>0</v>
      </c>
      <c r="L11" s="948">
        <f t="shared" si="0"/>
        <v>2186.52</v>
      </c>
    </row>
    <row r="12" spans="1:12" x14ac:dyDescent="0.2">
      <c r="A12" s="533">
        <v>11804</v>
      </c>
      <c r="B12" s="534" t="s">
        <v>508</v>
      </c>
      <c r="C12" s="535">
        <v>0</v>
      </c>
      <c r="D12" s="536">
        <v>0</v>
      </c>
      <c r="E12" s="536">
        <v>0</v>
      </c>
      <c r="F12" s="536">
        <v>0</v>
      </c>
      <c r="G12" s="536">
        <v>0</v>
      </c>
      <c r="H12" s="532">
        <v>0</v>
      </c>
      <c r="I12" s="945">
        <f>898.9*12</f>
        <v>10786.8</v>
      </c>
      <c r="J12" s="946">
        <v>0</v>
      </c>
      <c r="K12" s="947">
        <v>0</v>
      </c>
      <c r="L12" s="948">
        <f t="shared" si="0"/>
        <v>10786.8</v>
      </c>
    </row>
    <row r="13" spans="1:12" x14ac:dyDescent="0.2">
      <c r="A13" s="533">
        <v>11812</v>
      </c>
      <c r="B13" s="537" t="s">
        <v>509</v>
      </c>
      <c r="C13" s="535">
        <v>0</v>
      </c>
      <c r="D13" s="536">
        <v>0</v>
      </c>
      <c r="E13" s="536">
        <v>0</v>
      </c>
      <c r="F13" s="536">
        <v>0</v>
      </c>
      <c r="G13" s="536">
        <v>0</v>
      </c>
      <c r="H13" s="532">
        <v>0</v>
      </c>
      <c r="I13" s="945">
        <f>25.74*12</f>
        <v>308.88</v>
      </c>
      <c r="J13" s="946">
        <v>0</v>
      </c>
      <c r="K13" s="947">
        <v>0</v>
      </c>
      <c r="L13" s="948">
        <f t="shared" si="0"/>
        <v>308.88</v>
      </c>
    </row>
    <row r="14" spans="1:12" x14ac:dyDescent="0.2">
      <c r="A14" s="533">
        <v>11813</v>
      </c>
      <c r="B14" s="537" t="s">
        <v>621</v>
      </c>
      <c r="C14" s="535">
        <v>0</v>
      </c>
      <c r="D14" s="536">
        <v>0</v>
      </c>
      <c r="E14" s="536">
        <v>0</v>
      </c>
      <c r="F14" s="536">
        <v>0</v>
      </c>
      <c r="G14" s="536">
        <v>0</v>
      </c>
      <c r="H14" s="532">
        <v>0</v>
      </c>
      <c r="I14" s="945">
        <f>6.86*12</f>
        <v>82.320000000000007</v>
      </c>
      <c r="J14" s="946">
        <v>0</v>
      </c>
      <c r="K14" s="947">
        <v>0</v>
      </c>
      <c r="L14" s="948">
        <f t="shared" si="0"/>
        <v>82.320000000000007</v>
      </c>
    </row>
    <row r="15" spans="1:12" x14ac:dyDescent="0.2">
      <c r="A15" s="533">
        <v>11816</v>
      </c>
      <c r="B15" s="534" t="s">
        <v>510</v>
      </c>
      <c r="C15" s="535">
        <v>0</v>
      </c>
      <c r="D15" s="536">
        <v>0</v>
      </c>
      <c r="E15" s="536">
        <v>0</v>
      </c>
      <c r="F15" s="536">
        <v>0</v>
      </c>
      <c r="G15" s="536">
        <v>0</v>
      </c>
      <c r="H15" s="532">
        <v>0</v>
      </c>
      <c r="I15" s="945">
        <f>123.31*12</f>
        <v>1479.72</v>
      </c>
      <c r="J15" s="946">
        <v>0</v>
      </c>
      <c r="K15" s="947">
        <v>0</v>
      </c>
      <c r="L15" s="948">
        <f t="shared" si="0"/>
        <v>1479.72</v>
      </c>
    </row>
    <row r="16" spans="1:12" x14ac:dyDescent="0.2">
      <c r="A16" s="533">
        <v>11818</v>
      </c>
      <c r="B16" s="534" t="s">
        <v>511</v>
      </c>
      <c r="C16" s="535">
        <v>0</v>
      </c>
      <c r="D16" s="536">
        <v>0</v>
      </c>
      <c r="E16" s="536">
        <v>0</v>
      </c>
      <c r="F16" s="536">
        <v>0</v>
      </c>
      <c r="G16" s="536">
        <v>0</v>
      </c>
      <c r="H16" s="532">
        <v>0</v>
      </c>
      <c r="I16" s="949">
        <f>400*3.43</f>
        <v>1372</v>
      </c>
      <c r="J16" s="946">
        <v>0</v>
      </c>
      <c r="K16" s="947">
        <v>0</v>
      </c>
      <c r="L16" s="948">
        <f t="shared" si="0"/>
        <v>1372</v>
      </c>
    </row>
    <row r="17" spans="1:12" hidden="1" x14ac:dyDescent="0.2">
      <c r="A17" s="533">
        <v>11899</v>
      </c>
      <c r="B17" s="534" t="s">
        <v>512</v>
      </c>
      <c r="C17" s="535"/>
      <c r="D17" s="536"/>
      <c r="E17" s="536"/>
      <c r="F17" s="536"/>
      <c r="G17" s="536"/>
      <c r="H17" s="532"/>
      <c r="I17" s="949"/>
      <c r="J17" s="946"/>
      <c r="K17" s="947"/>
      <c r="L17" s="948">
        <f t="shared" si="0"/>
        <v>0</v>
      </c>
    </row>
    <row r="18" spans="1:12" x14ac:dyDescent="0.2">
      <c r="A18" s="528">
        <v>12</v>
      </c>
      <c r="B18" s="529" t="s">
        <v>6</v>
      </c>
      <c r="C18" s="530">
        <f>C19+C32</f>
        <v>0</v>
      </c>
      <c r="D18" s="531">
        <f>D19+D32</f>
        <v>0</v>
      </c>
      <c r="E18" s="531">
        <f>E19+E32</f>
        <v>0</v>
      </c>
      <c r="F18" s="531">
        <f>F19+F32</f>
        <v>0</v>
      </c>
      <c r="G18" s="531">
        <f>G19+G32</f>
        <v>0</v>
      </c>
      <c r="H18" s="538">
        <v>0</v>
      </c>
      <c r="I18" s="928">
        <f>+I19+I32</f>
        <v>109282.37</v>
      </c>
      <c r="J18" s="942">
        <f>J19+J32</f>
        <v>0</v>
      </c>
      <c r="K18" s="943">
        <f>K19+K32</f>
        <v>0</v>
      </c>
      <c r="L18" s="944">
        <f>+K18+I18</f>
        <v>109282.37</v>
      </c>
    </row>
    <row r="19" spans="1:12" x14ac:dyDescent="0.2">
      <c r="A19" s="528">
        <v>121</v>
      </c>
      <c r="B19" s="529" t="s">
        <v>334</v>
      </c>
      <c r="C19" s="530">
        <f>SUM(C22:C30)</f>
        <v>0</v>
      </c>
      <c r="D19" s="531">
        <f>SUM(D22:D30)</f>
        <v>0</v>
      </c>
      <c r="E19" s="531">
        <f>SUM(E22:E30)</f>
        <v>0</v>
      </c>
      <c r="F19" s="531">
        <f>SUM(F22:F30)</f>
        <v>0</v>
      </c>
      <c r="G19" s="531">
        <f>SUM(G22:G30)</f>
        <v>0</v>
      </c>
      <c r="H19" s="538">
        <v>0</v>
      </c>
      <c r="I19" s="928">
        <f>SUM(I20:I31)</f>
        <v>109181.37</v>
      </c>
      <c r="J19" s="942">
        <f>SUM(J22:J30)</f>
        <v>0</v>
      </c>
      <c r="K19" s="943">
        <f>SUM(K22:K30)</f>
        <v>0</v>
      </c>
      <c r="L19" s="944">
        <f t="shared" ref="L19:L46" si="1">K19+I19</f>
        <v>109181.37</v>
      </c>
    </row>
    <row r="20" spans="1:12" x14ac:dyDescent="0.2">
      <c r="A20" s="533">
        <v>12105</v>
      </c>
      <c r="B20" s="534" t="s">
        <v>513</v>
      </c>
      <c r="C20" s="535">
        <v>0</v>
      </c>
      <c r="D20" s="536">
        <v>0</v>
      </c>
      <c r="E20" s="536">
        <v>0</v>
      </c>
      <c r="F20" s="536">
        <v>0</v>
      </c>
      <c r="G20" s="536">
        <v>0</v>
      </c>
      <c r="H20" s="532">
        <v>0</v>
      </c>
      <c r="I20" s="949">
        <v>9500</v>
      </c>
      <c r="J20" s="946">
        <v>0</v>
      </c>
      <c r="K20" s="947">
        <v>0</v>
      </c>
      <c r="L20" s="948">
        <f t="shared" si="1"/>
        <v>9500</v>
      </c>
    </row>
    <row r="21" spans="1:12" x14ac:dyDescent="0.2">
      <c r="A21" s="533">
        <v>12106</v>
      </c>
      <c r="B21" s="534" t="s">
        <v>514</v>
      </c>
      <c r="C21" s="535">
        <v>0</v>
      </c>
      <c r="D21" s="536">
        <v>0</v>
      </c>
      <c r="E21" s="536">
        <v>0</v>
      </c>
      <c r="F21" s="536">
        <v>0</v>
      </c>
      <c r="G21" s="536">
        <v>0</v>
      </c>
      <c r="H21" s="532">
        <v>0</v>
      </c>
      <c r="I21" s="949">
        <v>250</v>
      </c>
      <c r="J21" s="946">
        <v>0</v>
      </c>
      <c r="K21" s="947">
        <v>0</v>
      </c>
      <c r="L21" s="948">
        <f t="shared" si="1"/>
        <v>250</v>
      </c>
    </row>
    <row r="22" spans="1:12" x14ac:dyDescent="0.2">
      <c r="A22" s="533">
        <v>12108</v>
      </c>
      <c r="B22" s="534" t="s">
        <v>515</v>
      </c>
      <c r="C22" s="535">
        <v>0</v>
      </c>
      <c r="D22" s="536">
        <v>0</v>
      </c>
      <c r="E22" s="536">
        <v>0</v>
      </c>
      <c r="F22" s="536">
        <v>0</v>
      </c>
      <c r="G22" s="536">
        <v>0</v>
      </c>
      <c r="H22" s="532">
        <v>0</v>
      </c>
      <c r="I22" s="945">
        <f>145.29*12</f>
        <v>1743.48</v>
      </c>
      <c r="J22" s="946">
        <v>0</v>
      </c>
      <c r="K22" s="947">
        <v>0</v>
      </c>
      <c r="L22" s="948">
        <f t="shared" si="1"/>
        <v>1743.48</v>
      </c>
    </row>
    <row r="23" spans="1:12" x14ac:dyDescent="0.2">
      <c r="A23" s="533">
        <v>12109</v>
      </c>
      <c r="B23" s="534" t="s">
        <v>516</v>
      </c>
      <c r="C23" s="535">
        <v>0</v>
      </c>
      <c r="D23" s="536">
        <v>0</v>
      </c>
      <c r="E23" s="536">
        <v>0</v>
      </c>
      <c r="F23" s="536">
        <v>0</v>
      </c>
      <c r="G23" s="536">
        <v>0</v>
      </c>
      <c r="H23" s="532">
        <v>0</v>
      </c>
      <c r="I23" s="945">
        <f>606.86*12</f>
        <v>7282.32</v>
      </c>
      <c r="J23" s="946">
        <v>0</v>
      </c>
      <c r="K23" s="947">
        <v>0</v>
      </c>
      <c r="L23" s="948">
        <f t="shared" si="1"/>
        <v>7282.32</v>
      </c>
    </row>
    <row r="24" spans="1:12" hidden="1" x14ac:dyDescent="0.2">
      <c r="A24" s="533">
        <v>12110</v>
      </c>
      <c r="B24" s="534" t="s">
        <v>517</v>
      </c>
      <c r="C24" s="535">
        <v>0</v>
      </c>
      <c r="D24" s="536">
        <v>0</v>
      </c>
      <c r="E24" s="536">
        <v>0</v>
      </c>
      <c r="F24" s="536">
        <v>0</v>
      </c>
      <c r="G24" s="536">
        <v>0</v>
      </c>
      <c r="H24" s="532">
        <v>0</v>
      </c>
      <c r="I24" s="949"/>
      <c r="J24" s="946">
        <v>0</v>
      </c>
      <c r="K24" s="947">
        <v>0</v>
      </c>
      <c r="L24" s="948">
        <f t="shared" si="1"/>
        <v>0</v>
      </c>
    </row>
    <row r="25" spans="1:12" x14ac:dyDescent="0.2">
      <c r="A25" s="533">
        <v>12111</v>
      </c>
      <c r="B25" s="534" t="s">
        <v>518</v>
      </c>
      <c r="C25" s="535">
        <v>0</v>
      </c>
      <c r="D25" s="536">
        <v>0</v>
      </c>
      <c r="E25" s="536">
        <v>0</v>
      </c>
      <c r="F25" s="536">
        <v>0</v>
      </c>
      <c r="G25" s="536">
        <v>0</v>
      </c>
      <c r="H25" s="532">
        <v>0</v>
      </c>
      <c r="I25" s="945">
        <v>1000</v>
      </c>
      <c r="J25" s="946">
        <v>0</v>
      </c>
      <c r="K25" s="947">
        <v>0</v>
      </c>
      <c r="L25" s="948">
        <f t="shared" si="1"/>
        <v>1000</v>
      </c>
    </row>
    <row r="26" spans="1:12" x14ac:dyDescent="0.2">
      <c r="A26" s="533">
        <v>12114</v>
      </c>
      <c r="B26" s="534" t="s">
        <v>519</v>
      </c>
      <c r="C26" s="535">
        <v>0</v>
      </c>
      <c r="D26" s="536">
        <v>0</v>
      </c>
      <c r="E26" s="536">
        <v>0</v>
      </c>
      <c r="F26" s="536">
        <v>0</v>
      </c>
      <c r="G26" s="536">
        <v>0</v>
      </c>
      <c r="H26" s="532">
        <v>0</v>
      </c>
      <c r="I26" s="949">
        <f>ROUND(((I10+I11+I12+I13+I15+I20+I21+I22+I23+I25+I28+I29+I30+I31+I33+I34+I37+I38+I49)*5%),2)</f>
        <v>14392.69</v>
      </c>
      <c r="J26" s="946">
        <v>0</v>
      </c>
      <c r="K26" s="947">
        <v>0</v>
      </c>
      <c r="L26" s="948">
        <f t="shared" si="1"/>
        <v>14392.69</v>
      </c>
    </row>
    <row r="27" spans="1:12" hidden="1" x14ac:dyDescent="0.2">
      <c r="A27" s="533">
        <v>12115</v>
      </c>
      <c r="B27" s="534" t="s">
        <v>520</v>
      </c>
      <c r="C27" s="535">
        <v>0</v>
      </c>
      <c r="D27" s="536">
        <v>0</v>
      </c>
      <c r="E27" s="536">
        <v>0</v>
      </c>
      <c r="F27" s="536">
        <v>0</v>
      </c>
      <c r="G27" s="536">
        <v>0</v>
      </c>
      <c r="H27" s="532">
        <v>0</v>
      </c>
      <c r="I27" s="949">
        <v>0</v>
      </c>
      <c r="J27" s="946">
        <v>0</v>
      </c>
      <c r="K27" s="947">
        <v>0</v>
      </c>
      <c r="L27" s="948">
        <f t="shared" si="1"/>
        <v>0</v>
      </c>
    </row>
    <row r="28" spans="1:12" x14ac:dyDescent="0.2">
      <c r="A28" s="533">
        <v>12117</v>
      </c>
      <c r="B28" s="534" t="s">
        <v>521</v>
      </c>
      <c r="C28" s="535">
        <v>0</v>
      </c>
      <c r="D28" s="536">
        <v>0</v>
      </c>
      <c r="E28" s="536">
        <v>0</v>
      </c>
      <c r="F28" s="536">
        <v>0</v>
      </c>
      <c r="G28" s="536">
        <v>0</v>
      </c>
      <c r="H28" s="532">
        <v>0</v>
      </c>
      <c r="I28" s="945">
        <f>31.02*12</f>
        <v>372.24</v>
      </c>
      <c r="J28" s="946">
        <v>0</v>
      </c>
      <c r="K28" s="947">
        <v>0</v>
      </c>
      <c r="L28" s="948">
        <f t="shared" si="1"/>
        <v>372.24</v>
      </c>
    </row>
    <row r="29" spans="1:12" x14ac:dyDescent="0.2">
      <c r="A29" s="533">
        <v>12118</v>
      </c>
      <c r="B29" s="534" t="s">
        <v>522</v>
      </c>
      <c r="C29" s="535">
        <v>0</v>
      </c>
      <c r="D29" s="536">
        <v>0</v>
      </c>
      <c r="E29" s="536">
        <v>0</v>
      </c>
      <c r="F29" s="536">
        <v>0</v>
      </c>
      <c r="G29" s="536">
        <v>0</v>
      </c>
      <c r="H29" s="532">
        <v>0</v>
      </c>
      <c r="I29" s="945">
        <f>5969.22*12</f>
        <v>71630.64</v>
      </c>
      <c r="J29" s="946">
        <v>0</v>
      </c>
      <c r="K29" s="947">
        <v>0</v>
      </c>
      <c r="L29" s="948">
        <f t="shared" si="1"/>
        <v>71630.64</v>
      </c>
    </row>
    <row r="30" spans="1:12" x14ac:dyDescent="0.2">
      <c r="A30" s="533">
        <v>12119</v>
      </c>
      <c r="B30" s="534" t="s">
        <v>523</v>
      </c>
      <c r="C30" s="535">
        <v>0</v>
      </c>
      <c r="D30" s="536">
        <v>0</v>
      </c>
      <c r="E30" s="536">
        <v>0</v>
      </c>
      <c r="F30" s="536">
        <v>0</v>
      </c>
      <c r="G30" s="536">
        <v>0</v>
      </c>
      <c r="H30" s="532">
        <v>0</v>
      </c>
      <c r="I30" s="950">
        <v>10</v>
      </c>
      <c r="J30" s="946">
        <v>0</v>
      </c>
      <c r="K30" s="947">
        <v>0</v>
      </c>
      <c r="L30" s="948">
        <f t="shared" si="1"/>
        <v>10</v>
      </c>
    </row>
    <row r="31" spans="1:12" x14ac:dyDescent="0.2">
      <c r="A31" s="533">
        <v>12199</v>
      </c>
      <c r="B31" s="534" t="s">
        <v>524</v>
      </c>
      <c r="C31" s="535">
        <v>0</v>
      </c>
      <c r="D31" s="536">
        <v>0</v>
      </c>
      <c r="E31" s="536">
        <v>0</v>
      </c>
      <c r="F31" s="536">
        <v>0</v>
      </c>
      <c r="G31" s="536">
        <v>0</v>
      </c>
      <c r="H31" s="532">
        <v>0</v>
      </c>
      <c r="I31" s="945">
        <v>3000</v>
      </c>
      <c r="J31" s="946">
        <v>0</v>
      </c>
      <c r="K31" s="947">
        <v>0</v>
      </c>
      <c r="L31" s="948">
        <f t="shared" si="1"/>
        <v>3000</v>
      </c>
    </row>
    <row r="32" spans="1:12" x14ac:dyDescent="0.2">
      <c r="A32" s="528">
        <v>122</v>
      </c>
      <c r="B32" s="529" t="s">
        <v>335</v>
      </c>
      <c r="C32" s="530">
        <f>SUM(C33:C34)</f>
        <v>0</v>
      </c>
      <c r="D32" s="531">
        <f>SUM(D33:D34)</f>
        <v>0</v>
      </c>
      <c r="E32" s="531">
        <f>SUM(E33:E34)</f>
        <v>0</v>
      </c>
      <c r="F32" s="531">
        <f>SUM(F33:F34)</f>
        <v>0</v>
      </c>
      <c r="G32" s="531">
        <f>SUM(G33:G34)</f>
        <v>0</v>
      </c>
      <c r="H32" s="538">
        <v>0</v>
      </c>
      <c r="I32" s="928">
        <f>SUM(I33:I34)</f>
        <v>101</v>
      </c>
      <c r="J32" s="942">
        <f>SUM(J33:J34)</f>
        <v>0</v>
      </c>
      <c r="K32" s="943">
        <f>SUM(K33:K34)</f>
        <v>0</v>
      </c>
      <c r="L32" s="944">
        <f t="shared" si="1"/>
        <v>101</v>
      </c>
    </row>
    <row r="33" spans="1:12" x14ac:dyDescent="0.2">
      <c r="A33" s="533">
        <v>12210</v>
      </c>
      <c r="B33" s="534" t="s">
        <v>525</v>
      </c>
      <c r="C33" s="535">
        <v>0</v>
      </c>
      <c r="D33" s="536">
        <v>0</v>
      </c>
      <c r="E33" s="536">
        <v>0</v>
      </c>
      <c r="F33" s="536">
        <v>0</v>
      </c>
      <c r="G33" s="536">
        <v>0</v>
      </c>
      <c r="H33" s="532">
        <v>0</v>
      </c>
      <c r="I33" s="949">
        <v>100</v>
      </c>
      <c r="J33" s="946">
        <v>0</v>
      </c>
      <c r="K33" s="947">
        <v>0</v>
      </c>
      <c r="L33" s="948">
        <f t="shared" si="1"/>
        <v>100</v>
      </c>
    </row>
    <row r="34" spans="1:12" x14ac:dyDescent="0.2">
      <c r="A34" s="533">
        <v>12211</v>
      </c>
      <c r="B34" s="534" t="s">
        <v>526</v>
      </c>
      <c r="C34" s="535">
        <v>0</v>
      </c>
      <c r="D34" s="536">
        <v>0</v>
      </c>
      <c r="E34" s="536">
        <v>0</v>
      </c>
      <c r="F34" s="536">
        <v>0</v>
      </c>
      <c r="G34" s="536">
        <v>0</v>
      </c>
      <c r="H34" s="532">
        <v>0</v>
      </c>
      <c r="I34" s="949">
        <v>1</v>
      </c>
      <c r="J34" s="946">
        <v>0</v>
      </c>
      <c r="K34" s="947">
        <v>0</v>
      </c>
      <c r="L34" s="948">
        <f t="shared" si="1"/>
        <v>1</v>
      </c>
    </row>
    <row r="35" spans="1:12" x14ac:dyDescent="0.2">
      <c r="A35" s="528">
        <v>14</v>
      </c>
      <c r="B35" s="529" t="s">
        <v>8</v>
      </c>
      <c r="C35" s="530">
        <f>C36</f>
        <v>0</v>
      </c>
      <c r="D35" s="531">
        <f>D36</f>
        <v>0</v>
      </c>
      <c r="E35" s="531">
        <f>E36</f>
        <v>0</v>
      </c>
      <c r="F35" s="531">
        <f>F36</f>
        <v>0</v>
      </c>
      <c r="G35" s="531">
        <f>G36</f>
        <v>0</v>
      </c>
      <c r="H35" s="538">
        <v>0</v>
      </c>
      <c r="I35" s="928">
        <f>+I36</f>
        <v>170238.56</v>
      </c>
      <c r="J35" s="942">
        <f>J36</f>
        <v>0</v>
      </c>
      <c r="K35" s="943">
        <f>K36</f>
        <v>0</v>
      </c>
      <c r="L35" s="944">
        <f>K35+I35</f>
        <v>170238.56</v>
      </c>
    </row>
    <row r="36" spans="1:12" x14ac:dyDescent="0.2">
      <c r="A36" s="528">
        <v>142</v>
      </c>
      <c r="B36" s="529" t="s">
        <v>446</v>
      </c>
      <c r="C36" s="530">
        <v>0</v>
      </c>
      <c r="D36" s="531">
        <v>0</v>
      </c>
      <c r="E36" s="531">
        <v>0</v>
      </c>
      <c r="F36" s="531">
        <v>0</v>
      </c>
      <c r="G36" s="531">
        <v>0</v>
      </c>
      <c r="H36" s="538">
        <v>0</v>
      </c>
      <c r="I36" s="928">
        <f>SUM(I37:I38)</f>
        <v>170238.56</v>
      </c>
      <c r="J36" s="942">
        <v>0</v>
      </c>
      <c r="K36" s="943">
        <v>0</v>
      </c>
      <c r="L36" s="944">
        <f>K36+I36</f>
        <v>170238.56</v>
      </c>
    </row>
    <row r="37" spans="1:12" x14ac:dyDescent="0.2">
      <c r="A37" s="533">
        <v>14201</v>
      </c>
      <c r="B37" s="534" t="s">
        <v>527</v>
      </c>
      <c r="C37" s="535">
        <v>0</v>
      </c>
      <c r="D37" s="536">
        <v>0</v>
      </c>
      <c r="E37" s="536">
        <v>0</v>
      </c>
      <c r="F37" s="536">
        <v>0</v>
      </c>
      <c r="G37" s="536">
        <v>0</v>
      </c>
      <c r="H37" s="532">
        <v>0</v>
      </c>
      <c r="I37" s="949">
        <f>ROUND((((2572)*4.76+292*5.23)*12),2)</f>
        <v>165238.56</v>
      </c>
      <c r="J37" s="946">
        <v>0</v>
      </c>
      <c r="K37" s="947">
        <v>0</v>
      </c>
      <c r="L37" s="948">
        <f t="shared" si="1"/>
        <v>165238.56</v>
      </c>
    </row>
    <row r="38" spans="1:12" x14ac:dyDescent="0.2">
      <c r="A38" s="533">
        <v>14299</v>
      </c>
      <c r="B38" s="534" t="s">
        <v>528</v>
      </c>
      <c r="C38" s="535">
        <v>0</v>
      </c>
      <c r="D38" s="536">
        <v>0</v>
      </c>
      <c r="E38" s="536">
        <v>0</v>
      </c>
      <c r="F38" s="536">
        <v>0</v>
      </c>
      <c r="G38" s="536">
        <v>0</v>
      </c>
      <c r="H38" s="532">
        <v>0</v>
      </c>
      <c r="I38" s="949">
        <v>5000</v>
      </c>
      <c r="J38" s="946">
        <v>0</v>
      </c>
      <c r="K38" s="947">
        <v>0</v>
      </c>
      <c r="L38" s="948">
        <f t="shared" si="1"/>
        <v>5000</v>
      </c>
    </row>
    <row r="39" spans="1:12" x14ac:dyDescent="0.2">
      <c r="A39" s="528">
        <v>15</v>
      </c>
      <c r="B39" s="529" t="s">
        <v>9</v>
      </c>
      <c r="C39" s="530">
        <f>C40</f>
        <v>0</v>
      </c>
      <c r="D39" s="531">
        <f>D40</f>
        <v>0</v>
      </c>
      <c r="E39" s="531">
        <f>E40</f>
        <v>0</v>
      </c>
      <c r="F39" s="531">
        <f>F40+F50</f>
        <v>0</v>
      </c>
      <c r="G39" s="531">
        <f>G40+G50</f>
        <v>0</v>
      </c>
      <c r="H39" s="538">
        <v>0</v>
      </c>
      <c r="I39" s="928">
        <f>I42+I48+I50</f>
        <v>8505.7199999999993</v>
      </c>
      <c r="J39" s="923">
        <f>J40</f>
        <v>0</v>
      </c>
      <c r="K39" s="928">
        <f>K40+K50</f>
        <v>0</v>
      </c>
      <c r="L39" s="944">
        <f t="shared" si="1"/>
        <v>8505.7199999999993</v>
      </c>
    </row>
    <row r="40" spans="1:12" hidden="1" x14ac:dyDescent="0.2">
      <c r="A40" s="528">
        <v>151</v>
      </c>
      <c r="B40" s="529" t="s">
        <v>10</v>
      </c>
      <c r="C40" s="530">
        <f>SUM(C41)</f>
        <v>0</v>
      </c>
      <c r="D40" s="531">
        <f>SUM(D41)</f>
        <v>0</v>
      </c>
      <c r="E40" s="531">
        <f>SUM(E41)</f>
        <v>0</v>
      </c>
      <c r="F40" s="531">
        <f>SUM(F41)</f>
        <v>0</v>
      </c>
      <c r="G40" s="531">
        <f>SUM(G41)</f>
        <v>0</v>
      </c>
      <c r="H40" s="538">
        <v>0</v>
      </c>
      <c r="I40" s="928">
        <f>SUM(I41)</f>
        <v>0</v>
      </c>
      <c r="J40" s="942">
        <f>SUM(J41)</f>
        <v>0</v>
      </c>
      <c r="K40" s="943">
        <f>SUM(K41)</f>
        <v>0</v>
      </c>
      <c r="L40" s="944">
        <f t="shared" si="1"/>
        <v>0</v>
      </c>
    </row>
    <row r="41" spans="1:12" hidden="1" x14ac:dyDescent="0.2">
      <c r="A41" s="533">
        <v>15105</v>
      </c>
      <c r="B41" s="534" t="s">
        <v>529</v>
      </c>
      <c r="C41" s="535"/>
      <c r="D41" s="536"/>
      <c r="E41" s="536"/>
      <c r="F41" s="536"/>
      <c r="G41" s="536"/>
      <c r="H41" s="538">
        <v>0</v>
      </c>
      <c r="I41" s="949"/>
      <c r="J41" s="946"/>
      <c r="K41" s="947"/>
      <c r="L41" s="948">
        <f t="shared" si="1"/>
        <v>0</v>
      </c>
    </row>
    <row r="42" spans="1:12" x14ac:dyDescent="0.2">
      <c r="A42" s="528">
        <v>153</v>
      </c>
      <c r="B42" s="529" t="s">
        <v>10</v>
      </c>
      <c r="C42" s="530">
        <f>SUM(C47)</f>
        <v>0</v>
      </c>
      <c r="D42" s="531">
        <f>SUM(D47)</f>
        <v>0</v>
      </c>
      <c r="E42" s="531">
        <f>SUM(E47)</f>
        <v>0</v>
      </c>
      <c r="F42" s="531">
        <f>SUM(F47)</f>
        <v>0</v>
      </c>
      <c r="G42" s="531">
        <f>SUM(G47)</f>
        <v>0</v>
      </c>
      <c r="H42" s="538">
        <v>0</v>
      </c>
      <c r="I42" s="928">
        <f>SUM(I43:I46)</f>
        <v>8505.7199999999993</v>
      </c>
      <c r="J42" s="942">
        <f>SUM(J47)</f>
        <v>0</v>
      </c>
      <c r="K42" s="943">
        <f>SUM(K47)</f>
        <v>0</v>
      </c>
      <c r="L42" s="944">
        <f t="shared" si="1"/>
        <v>8505.7199999999993</v>
      </c>
    </row>
    <row r="43" spans="1:12" x14ac:dyDescent="0.2">
      <c r="A43" s="533">
        <v>15301</v>
      </c>
      <c r="B43" s="534" t="s">
        <v>530</v>
      </c>
      <c r="C43" s="539">
        <v>0</v>
      </c>
      <c r="D43" s="540">
        <v>0</v>
      </c>
      <c r="E43" s="540">
        <v>0</v>
      </c>
      <c r="F43" s="540">
        <v>0</v>
      </c>
      <c r="G43" s="540">
        <v>0</v>
      </c>
      <c r="H43" s="541">
        <v>0</v>
      </c>
      <c r="I43" s="949">
        <v>7500</v>
      </c>
      <c r="J43" s="951">
        <v>0</v>
      </c>
      <c r="K43" s="952">
        <v>0</v>
      </c>
      <c r="L43" s="948">
        <f t="shared" si="1"/>
        <v>7500</v>
      </c>
    </row>
    <row r="44" spans="1:12" x14ac:dyDescent="0.2">
      <c r="A44" s="533">
        <v>15302</v>
      </c>
      <c r="B44" s="534" t="s">
        <v>531</v>
      </c>
      <c r="C44" s="539">
        <v>0</v>
      </c>
      <c r="D44" s="540">
        <v>0</v>
      </c>
      <c r="E44" s="540">
        <v>0</v>
      </c>
      <c r="F44" s="540">
        <v>0</v>
      </c>
      <c r="G44" s="540">
        <v>0</v>
      </c>
      <c r="H44" s="541">
        <v>0</v>
      </c>
      <c r="I44" s="949">
        <v>1000</v>
      </c>
      <c r="J44" s="951">
        <v>0</v>
      </c>
      <c r="K44" s="952">
        <v>0</v>
      </c>
      <c r="L44" s="948">
        <f t="shared" si="1"/>
        <v>1000</v>
      </c>
    </row>
    <row r="45" spans="1:12" hidden="1" x14ac:dyDescent="0.2">
      <c r="A45" s="533">
        <v>15310</v>
      </c>
      <c r="B45" s="534" t="s">
        <v>532</v>
      </c>
      <c r="C45" s="539">
        <v>0</v>
      </c>
      <c r="D45" s="540">
        <v>0</v>
      </c>
      <c r="E45" s="540">
        <v>0</v>
      </c>
      <c r="F45" s="540">
        <v>0</v>
      </c>
      <c r="G45" s="540">
        <v>0</v>
      </c>
      <c r="H45" s="541">
        <v>0</v>
      </c>
      <c r="I45" s="949"/>
      <c r="J45" s="942"/>
      <c r="K45" s="943">
        <v>0</v>
      </c>
      <c r="L45" s="948">
        <f t="shared" si="1"/>
        <v>0</v>
      </c>
    </row>
    <row r="46" spans="1:12" x14ac:dyDescent="0.2">
      <c r="A46" s="533">
        <v>15312</v>
      </c>
      <c r="B46" s="534" t="s">
        <v>533</v>
      </c>
      <c r="C46" s="539">
        <v>0</v>
      </c>
      <c r="D46" s="540">
        <v>0</v>
      </c>
      <c r="E46" s="540">
        <v>0</v>
      </c>
      <c r="F46" s="540">
        <v>0</v>
      </c>
      <c r="G46" s="540">
        <v>0</v>
      </c>
      <c r="H46" s="541">
        <v>0</v>
      </c>
      <c r="I46" s="949">
        <v>5.72</v>
      </c>
      <c r="J46" s="946"/>
      <c r="K46" s="947">
        <v>0</v>
      </c>
      <c r="L46" s="948">
        <f t="shared" si="1"/>
        <v>5.72</v>
      </c>
    </row>
    <row r="47" spans="1:12" ht="13.5" hidden="1" customHeight="1" x14ac:dyDescent="0.2">
      <c r="A47" s="533">
        <v>15314</v>
      </c>
      <c r="B47" s="534" t="s">
        <v>534</v>
      </c>
      <c r="C47" s="535"/>
      <c r="D47" s="536"/>
      <c r="E47" s="536"/>
      <c r="F47" s="536"/>
      <c r="G47" s="536"/>
      <c r="H47" s="532"/>
      <c r="I47" s="949"/>
      <c r="J47" s="946"/>
      <c r="K47" s="947"/>
      <c r="L47" s="948"/>
    </row>
    <row r="48" spans="1:12" hidden="1" x14ac:dyDescent="0.2">
      <c r="A48" s="528">
        <v>154</v>
      </c>
      <c r="B48" s="529" t="s">
        <v>430</v>
      </c>
      <c r="C48" s="530">
        <f>SUM(C49)</f>
        <v>0</v>
      </c>
      <c r="D48" s="531">
        <f>SUM(D52)</f>
        <v>0</v>
      </c>
      <c r="E48" s="531">
        <f>SUM(E52)</f>
        <v>0</v>
      </c>
      <c r="F48" s="531">
        <f>SUM(F52)</f>
        <v>0</v>
      </c>
      <c r="G48" s="531">
        <f>SUM(G52)</f>
        <v>0</v>
      </c>
      <c r="H48" s="538">
        <v>0</v>
      </c>
      <c r="I48" s="928">
        <f>SUM(I49)</f>
        <v>0</v>
      </c>
      <c r="J48" s="942">
        <f>SUM(J52)</f>
        <v>0</v>
      </c>
      <c r="K48" s="943">
        <f>SUM(K52)</f>
        <v>0</v>
      </c>
      <c r="L48" s="944">
        <f>K48+I48</f>
        <v>0</v>
      </c>
    </row>
    <row r="49" spans="1:12" hidden="1" x14ac:dyDescent="0.2">
      <c r="A49" s="533">
        <v>15402</v>
      </c>
      <c r="B49" s="534" t="s">
        <v>535</v>
      </c>
      <c r="C49" s="539">
        <v>0</v>
      </c>
      <c r="D49" s="540">
        <v>0</v>
      </c>
      <c r="E49" s="540">
        <v>0</v>
      </c>
      <c r="F49" s="540">
        <v>0</v>
      </c>
      <c r="G49" s="540">
        <v>0</v>
      </c>
      <c r="H49" s="541">
        <v>0</v>
      </c>
      <c r="I49" s="949">
        <v>0</v>
      </c>
      <c r="J49" s="942">
        <v>0</v>
      </c>
      <c r="K49" s="943">
        <v>0</v>
      </c>
      <c r="L49" s="948">
        <f>K49+I49</f>
        <v>0</v>
      </c>
    </row>
    <row r="50" spans="1:12" hidden="1" x14ac:dyDescent="0.2">
      <c r="A50" s="528">
        <v>157</v>
      </c>
      <c r="B50" s="529" t="s">
        <v>336</v>
      </c>
      <c r="C50" s="530">
        <f>C51</f>
        <v>0</v>
      </c>
      <c r="D50" s="531">
        <f>D51</f>
        <v>0</v>
      </c>
      <c r="E50" s="531">
        <f>E51</f>
        <v>0</v>
      </c>
      <c r="F50" s="531">
        <f>F51</f>
        <v>0</v>
      </c>
      <c r="G50" s="531">
        <f>G51</f>
        <v>0</v>
      </c>
      <c r="H50" s="538">
        <v>0</v>
      </c>
      <c r="I50" s="928">
        <f>I51</f>
        <v>0</v>
      </c>
      <c r="J50" s="942">
        <f>J51</f>
        <v>0</v>
      </c>
      <c r="K50" s="943">
        <f>K51</f>
        <v>0</v>
      </c>
      <c r="L50" s="944">
        <f>K50+I50</f>
        <v>0</v>
      </c>
    </row>
    <row r="51" spans="1:12" hidden="1" x14ac:dyDescent="0.2">
      <c r="A51" s="533">
        <v>15703</v>
      </c>
      <c r="B51" s="534" t="s">
        <v>536</v>
      </c>
      <c r="C51" s="535">
        <v>0</v>
      </c>
      <c r="D51" s="536">
        <v>0</v>
      </c>
      <c r="E51" s="536">
        <v>0</v>
      </c>
      <c r="F51" s="536">
        <v>0</v>
      </c>
      <c r="G51" s="536">
        <v>0</v>
      </c>
      <c r="H51" s="532">
        <v>0</v>
      </c>
      <c r="I51" s="949">
        <v>0</v>
      </c>
      <c r="J51" s="946">
        <v>0</v>
      </c>
      <c r="K51" s="947">
        <v>0</v>
      </c>
      <c r="L51" s="948">
        <f>+K51+I51</f>
        <v>0</v>
      </c>
    </row>
    <row r="52" spans="1:12" x14ac:dyDescent="0.2">
      <c r="A52" s="528">
        <v>16</v>
      </c>
      <c r="B52" s="529" t="s">
        <v>96</v>
      </c>
      <c r="C52" s="530">
        <f t="shared" ref="C52:K53" si="2">C53</f>
        <v>419935.57</v>
      </c>
      <c r="D52" s="531">
        <f t="shared" si="2"/>
        <v>0</v>
      </c>
      <c r="E52" s="531">
        <f t="shared" si="2"/>
        <v>0</v>
      </c>
      <c r="F52" s="531">
        <f t="shared" si="2"/>
        <v>0</v>
      </c>
      <c r="G52" s="531">
        <f t="shared" si="2"/>
        <v>0</v>
      </c>
      <c r="H52" s="538">
        <f t="shared" si="2"/>
        <v>419935.57</v>
      </c>
      <c r="I52" s="928">
        <f t="shared" si="2"/>
        <v>0</v>
      </c>
      <c r="J52" s="942">
        <f t="shared" si="2"/>
        <v>0</v>
      </c>
      <c r="K52" s="943">
        <f t="shared" si="2"/>
        <v>0</v>
      </c>
      <c r="L52" s="944">
        <f>I52+H52</f>
        <v>419935.57</v>
      </c>
    </row>
    <row r="53" spans="1:12" x14ac:dyDescent="0.2">
      <c r="A53" s="528">
        <v>162</v>
      </c>
      <c r="B53" s="529" t="s">
        <v>337</v>
      </c>
      <c r="C53" s="921">
        <f t="shared" si="2"/>
        <v>419935.57</v>
      </c>
      <c r="D53" s="922">
        <f t="shared" si="2"/>
        <v>0</v>
      </c>
      <c r="E53" s="922">
        <f t="shared" si="2"/>
        <v>0</v>
      </c>
      <c r="F53" s="922">
        <f t="shared" si="2"/>
        <v>0</v>
      </c>
      <c r="G53" s="922">
        <f t="shared" si="2"/>
        <v>0</v>
      </c>
      <c r="H53" s="923">
        <f t="shared" si="2"/>
        <v>419935.57</v>
      </c>
      <c r="I53" s="928">
        <f t="shared" si="2"/>
        <v>0</v>
      </c>
      <c r="J53" s="942">
        <f t="shared" si="2"/>
        <v>0</v>
      </c>
      <c r="K53" s="943">
        <f t="shared" si="2"/>
        <v>0</v>
      </c>
      <c r="L53" s="944">
        <f>L54</f>
        <v>419935.57</v>
      </c>
    </row>
    <row r="54" spans="1:12" x14ac:dyDescent="0.2">
      <c r="A54" s="533">
        <v>16201</v>
      </c>
      <c r="B54" s="534" t="s">
        <v>537</v>
      </c>
      <c r="C54" s="924">
        <f>34994.63*11+34994.64</f>
        <v>419935.57</v>
      </c>
      <c r="D54" s="925"/>
      <c r="E54" s="925"/>
      <c r="F54" s="925">
        <v>0</v>
      </c>
      <c r="G54" s="925">
        <v>0</v>
      </c>
      <c r="H54" s="926">
        <f>F54+D54+C54</f>
        <v>419935.57</v>
      </c>
      <c r="I54" s="949">
        <v>0</v>
      </c>
      <c r="J54" s="946"/>
      <c r="K54" s="947">
        <v>0</v>
      </c>
      <c r="L54" s="948">
        <f>I54+H54</f>
        <v>419935.57</v>
      </c>
    </row>
    <row r="55" spans="1:12" hidden="1" x14ac:dyDescent="0.2">
      <c r="A55" s="528">
        <v>163</v>
      </c>
      <c r="B55" s="529" t="s">
        <v>538</v>
      </c>
      <c r="C55" s="921">
        <v>0</v>
      </c>
      <c r="D55" s="922">
        <v>0</v>
      </c>
      <c r="E55" s="922">
        <v>0</v>
      </c>
      <c r="F55" s="922">
        <v>0</v>
      </c>
      <c r="G55" s="922">
        <v>0</v>
      </c>
      <c r="H55" s="923">
        <v>0</v>
      </c>
      <c r="I55" s="928">
        <v>0</v>
      </c>
      <c r="J55" s="942">
        <v>0</v>
      </c>
      <c r="K55" s="943">
        <v>0</v>
      </c>
      <c r="L55" s="944">
        <v>0</v>
      </c>
    </row>
    <row r="56" spans="1:12" hidden="1" x14ac:dyDescent="0.2">
      <c r="A56" s="533">
        <v>16304</v>
      </c>
      <c r="B56" s="534" t="s">
        <v>539</v>
      </c>
      <c r="C56" s="924">
        <v>0</v>
      </c>
      <c r="D56" s="925">
        <v>0</v>
      </c>
      <c r="E56" s="925">
        <v>0</v>
      </c>
      <c r="F56" s="925">
        <v>0</v>
      </c>
      <c r="G56" s="925">
        <v>0</v>
      </c>
      <c r="H56" s="926">
        <v>0</v>
      </c>
      <c r="I56" s="949">
        <v>0</v>
      </c>
      <c r="J56" s="946">
        <v>0</v>
      </c>
      <c r="K56" s="947">
        <v>0</v>
      </c>
      <c r="L56" s="948">
        <v>0</v>
      </c>
    </row>
    <row r="57" spans="1:12" hidden="1" x14ac:dyDescent="0.2">
      <c r="A57" s="528">
        <v>21</v>
      </c>
      <c r="B57" s="529" t="s">
        <v>540</v>
      </c>
      <c r="C57" s="921">
        <v>0</v>
      </c>
      <c r="D57" s="922">
        <v>0</v>
      </c>
      <c r="E57" s="922">
        <v>0</v>
      </c>
      <c r="F57" s="922">
        <v>0</v>
      </c>
      <c r="G57" s="922">
        <v>0</v>
      </c>
      <c r="H57" s="923">
        <v>0</v>
      </c>
      <c r="I57" s="928">
        <f>+I58</f>
        <v>0</v>
      </c>
      <c r="J57" s="946">
        <v>0</v>
      </c>
      <c r="K57" s="943">
        <v>0</v>
      </c>
      <c r="L57" s="944">
        <v>0</v>
      </c>
    </row>
    <row r="58" spans="1:12" hidden="1" x14ac:dyDescent="0.2">
      <c r="A58" s="533">
        <v>212</v>
      </c>
      <c r="B58" s="534" t="s">
        <v>541</v>
      </c>
      <c r="C58" s="924">
        <v>0</v>
      </c>
      <c r="D58" s="925">
        <v>0</v>
      </c>
      <c r="E58" s="925">
        <v>0</v>
      </c>
      <c r="F58" s="925">
        <v>0</v>
      </c>
      <c r="G58" s="925">
        <v>0</v>
      </c>
      <c r="H58" s="926">
        <v>0</v>
      </c>
      <c r="I58" s="949">
        <v>0</v>
      </c>
      <c r="J58" s="946">
        <v>0</v>
      </c>
      <c r="K58" s="947">
        <v>0</v>
      </c>
      <c r="L58" s="948">
        <v>0</v>
      </c>
    </row>
    <row r="59" spans="1:12" hidden="1" x14ac:dyDescent="0.2">
      <c r="A59" s="533">
        <v>21201</v>
      </c>
      <c r="B59" s="534" t="s">
        <v>542</v>
      </c>
      <c r="C59" s="924">
        <v>0</v>
      </c>
      <c r="D59" s="925">
        <v>0</v>
      </c>
      <c r="E59" s="925">
        <v>0</v>
      </c>
      <c r="F59" s="925">
        <v>0</v>
      </c>
      <c r="G59" s="925">
        <v>0</v>
      </c>
      <c r="H59" s="926">
        <v>0</v>
      </c>
      <c r="I59" s="949">
        <v>0</v>
      </c>
      <c r="J59" s="946">
        <v>0</v>
      </c>
      <c r="K59" s="947">
        <v>0</v>
      </c>
      <c r="L59" s="948">
        <v>0</v>
      </c>
    </row>
    <row r="60" spans="1:12" x14ac:dyDescent="0.2">
      <c r="A60" s="528">
        <v>22</v>
      </c>
      <c r="B60" s="529" t="s">
        <v>12</v>
      </c>
      <c r="C60" s="921">
        <f t="shared" ref="C60:K60" si="3">C61</f>
        <v>0</v>
      </c>
      <c r="D60" s="922">
        <f t="shared" si="3"/>
        <v>1259806.5900000001</v>
      </c>
      <c r="E60" s="922">
        <f t="shared" si="3"/>
        <v>419935.55</v>
      </c>
      <c r="F60" s="922">
        <f t="shared" si="3"/>
        <v>0</v>
      </c>
      <c r="G60" s="922">
        <f t="shared" si="3"/>
        <v>0</v>
      </c>
      <c r="H60" s="923">
        <f>H61</f>
        <v>1679742.1400000001</v>
      </c>
      <c r="I60" s="928">
        <f t="shared" si="3"/>
        <v>0</v>
      </c>
      <c r="J60" s="942">
        <f t="shared" si="3"/>
        <v>0</v>
      </c>
      <c r="K60" s="943">
        <f t="shared" si="3"/>
        <v>0</v>
      </c>
      <c r="L60" s="944">
        <f>L61</f>
        <v>1679742.1400000001</v>
      </c>
    </row>
    <row r="61" spans="1:12" x14ac:dyDescent="0.2">
      <c r="A61" s="528">
        <v>222</v>
      </c>
      <c r="B61" s="529" t="s">
        <v>338</v>
      </c>
      <c r="C61" s="921">
        <f t="shared" ref="C61:K61" si="4">C62</f>
        <v>0</v>
      </c>
      <c r="D61" s="922">
        <f t="shared" si="4"/>
        <v>1259806.5900000001</v>
      </c>
      <c r="E61" s="922">
        <f t="shared" si="4"/>
        <v>419935.55</v>
      </c>
      <c r="F61" s="922">
        <f t="shared" si="4"/>
        <v>0</v>
      </c>
      <c r="G61" s="922">
        <f t="shared" si="4"/>
        <v>0</v>
      </c>
      <c r="H61" s="923">
        <f>H62</f>
        <v>1679742.1400000001</v>
      </c>
      <c r="I61" s="928">
        <f t="shared" si="4"/>
        <v>0</v>
      </c>
      <c r="J61" s="942">
        <f t="shared" si="4"/>
        <v>0</v>
      </c>
      <c r="K61" s="943">
        <f t="shared" si="4"/>
        <v>0</v>
      </c>
      <c r="L61" s="944">
        <f>K61+I61+H61</f>
        <v>1679742.1400000001</v>
      </c>
    </row>
    <row r="62" spans="1:12" x14ac:dyDescent="0.2">
      <c r="A62" s="533">
        <v>22201</v>
      </c>
      <c r="B62" s="534" t="s">
        <v>543</v>
      </c>
      <c r="C62" s="924">
        <v>0</v>
      </c>
      <c r="D62" s="925">
        <f>104983.88*11+104983.91</f>
        <v>1259806.5900000001</v>
      </c>
      <c r="E62" s="925">
        <f>34994.63*11+34994.62</f>
        <v>419935.55</v>
      </c>
      <c r="F62" s="925">
        <v>0</v>
      </c>
      <c r="G62" s="925">
        <v>0</v>
      </c>
      <c r="H62" s="926">
        <f>D62+E62</f>
        <v>1679742.1400000001</v>
      </c>
      <c r="I62" s="949">
        <v>0</v>
      </c>
      <c r="J62" s="946"/>
      <c r="K62" s="947">
        <v>0</v>
      </c>
      <c r="L62" s="948">
        <f>+K62+I62+H62+J62</f>
        <v>1679742.1400000001</v>
      </c>
    </row>
    <row r="63" spans="1:12" hidden="1" x14ac:dyDescent="0.2">
      <c r="A63" s="528">
        <v>31</v>
      </c>
      <c r="B63" s="529" t="s">
        <v>339</v>
      </c>
      <c r="C63" s="921">
        <f t="shared" ref="C63:G64" si="5">C64</f>
        <v>0</v>
      </c>
      <c r="D63" s="922">
        <f t="shared" si="5"/>
        <v>0</v>
      </c>
      <c r="E63" s="922">
        <f t="shared" si="5"/>
        <v>0</v>
      </c>
      <c r="F63" s="922">
        <f t="shared" si="5"/>
        <v>0</v>
      </c>
      <c r="G63" s="922">
        <f t="shared" si="5"/>
        <v>0</v>
      </c>
      <c r="H63" s="923">
        <v>0</v>
      </c>
      <c r="I63" s="928">
        <f>I64</f>
        <v>0</v>
      </c>
      <c r="J63" s="942">
        <f>J64</f>
        <v>0</v>
      </c>
      <c r="K63" s="943">
        <v>0</v>
      </c>
      <c r="L63" s="944">
        <f>K63+I63</f>
        <v>0</v>
      </c>
    </row>
    <row r="64" spans="1:12" hidden="1" x14ac:dyDescent="0.2">
      <c r="A64" s="528">
        <v>313</v>
      </c>
      <c r="B64" s="529" t="s">
        <v>340</v>
      </c>
      <c r="C64" s="921">
        <f t="shared" si="5"/>
        <v>0</v>
      </c>
      <c r="D64" s="922">
        <f t="shared" si="5"/>
        <v>0</v>
      </c>
      <c r="E64" s="922">
        <f t="shared" si="5"/>
        <v>0</v>
      </c>
      <c r="F64" s="922">
        <f t="shared" si="5"/>
        <v>0</v>
      </c>
      <c r="G64" s="922">
        <f t="shared" si="5"/>
        <v>0</v>
      </c>
      <c r="H64" s="923">
        <v>0</v>
      </c>
      <c r="I64" s="928">
        <f>I65</f>
        <v>0</v>
      </c>
      <c r="J64" s="942">
        <f>J65</f>
        <v>0</v>
      </c>
      <c r="K64" s="943">
        <f>K65</f>
        <v>0</v>
      </c>
      <c r="L64" s="948">
        <f>+K64+I64</f>
        <v>0</v>
      </c>
    </row>
    <row r="65" spans="1:16" hidden="1" x14ac:dyDescent="0.2">
      <c r="A65" s="533">
        <v>31308</v>
      </c>
      <c r="B65" s="534" t="s">
        <v>237</v>
      </c>
      <c r="C65" s="924">
        <v>0</v>
      </c>
      <c r="D65" s="925">
        <v>0</v>
      </c>
      <c r="E65" s="925">
        <v>0</v>
      </c>
      <c r="F65" s="925">
        <v>0</v>
      </c>
      <c r="G65" s="925">
        <v>0</v>
      </c>
      <c r="H65" s="926">
        <v>0</v>
      </c>
      <c r="I65" s="949">
        <v>0</v>
      </c>
      <c r="J65" s="946">
        <v>0</v>
      </c>
      <c r="K65" s="947">
        <v>0</v>
      </c>
      <c r="L65" s="948">
        <v>0</v>
      </c>
    </row>
    <row r="66" spans="1:16" x14ac:dyDescent="0.2">
      <c r="A66" s="528">
        <v>32</v>
      </c>
      <c r="B66" s="529" t="s">
        <v>13</v>
      </c>
      <c r="C66" s="921">
        <f>C67+C70</f>
        <v>228845.54999999996</v>
      </c>
      <c r="D66" s="922">
        <f>D67+D70</f>
        <v>481607.13</v>
      </c>
      <c r="E66" s="922">
        <f>E67+E70</f>
        <v>284868.46000000002</v>
      </c>
      <c r="F66" s="922">
        <f>F67</f>
        <v>58210.16</v>
      </c>
      <c r="G66" s="922">
        <f>G67</f>
        <v>307127.31</v>
      </c>
      <c r="H66" s="923">
        <f>+H67+H70</f>
        <v>1360658.6099999999</v>
      </c>
      <c r="I66" s="928">
        <f>I67+I70</f>
        <v>167421.00999999998</v>
      </c>
      <c r="J66" s="942">
        <f>J67</f>
        <v>0</v>
      </c>
      <c r="K66" s="943">
        <f>K67+K70</f>
        <v>1106755.33</v>
      </c>
      <c r="L66" s="944">
        <f>+L67+L70</f>
        <v>2634834.9500000002</v>
      </c>
    </row>
    <row r="67" spans="1:16" x14ac:dyDescent="0.2">
      <c r="A67" s="528">
        <v>321</v>
      </c>
      <c r="B67" s="529" t="s">
        <v>341</v>
      </c>
      <c r="C67" s="927">
        <f t="shared" ref="C67:I67" si="6">SUM(C68:C69)</f>
        <v>9517.58</v>
      </c>
      <c r="D67" s="922">
        <f t="shared" si="6"/>
        <v>33885.829999999987</v>
      </c>
      <c r="E67" s="922">
        <f t="shared" si="6"/>
        <v>64591.1</v>
      </c>
      <c r="F67" s="928">
        <f t="shared" si="6"/>
        <v>58210.16</v>
      </c>
      <c r="G67" s="928">
        <f>SUM(G68:G69)</f>
        <v>307127.31</v>
      </c>
      <c r="H67" s="923">
        <f>SUM(H68:H69)</f>
        <v>473331.98</v>
      </c>
      <c r="I67" s="928">
        <f t="shared" si="6"/>
        <v>19114.489999999998</v>
      </c>
      <c r="J67" s="942">
        <f t="shared" ref="J67:L67" si="7">SUM(J68:J69)</f>
        <v>0</v>
      </c>
      <c r="K67" s="943">
        <f>SUM(K68:K69)</f>
        <v>398441.86000000004</v>
      </c>
      <c r="L67" s="944">
        <f t="shared" si="7"/>
        <v>890888.33000000007</v>
      </c>
    </row>
    <row r="68" spans="1:16" x14ac:dyDescent="0.2">
      <c r="A68" s="542">
        <v>32102</v>
      </c>
      <c r="B68" s="543" t="s">
        <v>664</v>
      </c>
      <c r="C68" s="929">
        <v>0</v>
      </c>
      <c r="D68" s="930">
        <v>0</v>
      </c>
      <c r="E68" s="930">
        <v>0</v>
      </c>
      <c r="F68" s="930">
        <v>0</v>
      </c>
      <c r="G68" s="930">
        <v>0</v>
      </c>
      <c r="H68" s="926">
        <f>+D68+C68+F68</f>
        <v>0</v>
      </c>
      <c r="I68" s="949">
        <v>0</v>
      </c>
      <c r="J68" s="942">
        <v>0</v>
      </c>
      <c r="K68" s="952">
        <v>0</v>
      </c>
      <c r="L68" s="948">
        <f>+K68+I68+H68+J68</f>
        <v>0</v>
      </c>
    </row>
    <row r="69" spans="1:16" x14ac:dyDescent="0.2">
      <c r="A69" s="533">
        <v>32102</v>
      </c>
      <c r="B69" s="543" t="s">
        <v>575</v>
      </c>
      <c r="C69" s="931">
        <f>9517.58</f>
        <v>9517.58</v>
      </c>
      <c r="D69" s="925">
        <f>242.22+4037.98+12421.53+653.09+762.06+291.34+91.87+1.8+775.8+465.13+107.78+258.8+41.04+12382.08+828.07+291.7+3.2+217.13+7+6.21</f>
        <v>33885.829999999987</v>
      </c>
      <c r="E69" s="925">
        <f>201.1+64390</f>
        <v>64591.1</v>
      </c>
      <c r="F69" s="930">
        <f>161.01+9.35+58039.8</f>
        <v>58210.16</v>
      </c>
      <c r="G69" s="930">
        <f>56170.4+1641+2630.7+1298.01+77575.23+16508.85+26575.12+67495+57233</f>
        <v>307127.31</v>
      </c>
      <c r="H69" s="926">
        <f>C69+D69+E69+F69+G69</f>
        <v>473331.98</v>
      </c>
      <c r="I69" s="949">
        <f>10203.81+24.15+8856.53+5+5+5+5+5+5</f>
        <v>19114.489999999998</v>
      </c>
      <c r="J69" s="946">
        <v>0</v>
      </c>
      <c r="K69" s="947">
        <f>33440.2+116277+74657.49+141654.97+200.38+32091.44+100.38+20</f>
        <v>398441.86000000004</v>
      </c>
      <c r="L69" s="948">
        <f>+K69+I69+H69+J69</f>
        <v>890888.33000000007</v>
      </c>
      <c r="N69" s="469"/>
    </row>
    <row r="70" spans="1:16" x14ac:dyDescent="0.2">
      <c r="A70" s="528">
        <v>322</v>
      </c>
      <c r="B70" s="529" t="s">
        <v>342</v>
      </c>
      <c r="C70" s="921">
        <f>C71</f>
        <v>219327.96999999997</v>
      </c>
      <c r="D70" s="922">
        <f>D71</f>
        <v>447721.30000000005</v>
      </c>
      <c r="E70" s="922">
        <f>E71</f>
        <v>220277.36000000002</v>
      </c>
      <c r="F70" s="922">
        <f>F71</f>
        <v>0</v>
      </c>
      <c r="G70" s="922">
        <f>G71</f>
        <v>0</v>
      </c>
      <c r="H70" s="923">
        <f>+H71</f>
        <v>887326.63</v>
      </c>
      <c r="I70" s="928">
        <f>I71</f>
        <v>148306.51999999999</v>
      </c>
      <c r="J70" s="942">
        <f>J71</f>
        <v>0</v>
      </c>
      <c r="K70" s="943">
        <f>K71</f>
        <v>708313.47</v>
      </c>
      <c r="L70" s="944">
        <f>H70+K70+I70</f>
        <v>1743946.62</v>
      </c>
      <c r="N70" s="308"/>
      <c r="P70" s="263"/>
    </row>
    <row r="71" spans="1:16" ht="13.5" thickBot="1" x14ac:dyDescent="0.25">
      <c r="A71" s="544">
        <v>32201</v>
      </c>
      <c r="B71" s="545" t="s">
        <v>342</v>
      </c>
      <c r="C71" s="932">
        <f>31332.57*6+31332.55</f>
        <v>219327.96999999997</v>
      </c>
      <c r="D71" s="933">
        <f>(93997.7*6+93997.66)-(29300.41*6)-30000-(743.35*6)</f>
        <v>447721.30000000005</v>
      </c>
      <c r="E71" s="934">
        <f>31468.18*6+31468.28</f>
        <v>220277.36000000002</v>
      </c>
      <c r="F71" s="935">
        <v>0</v>
      </c>
      <c r="G71" s="935"/>
      <c r="H71" s="926">
        <f>C71+D71+E71+F71+G71</f>
        <v>887326.63</v>
      </c>
      <c r="I71" s="953">
        <f>ROUND(((185383.15)*80%),2)</f>
        <v>148306.51999999999</v>
      </c>
      <c r="J71" s="954">
        <v>0</v>
      </c>
      <c r="K71" s="955">
        <v>708313.47</v>
      </c>
      <c r="L71" s="948">
        <f>+K71+I71+H71+J71</f>
        <v>1743946.62</v>
      </c>
      <c r="N71" s="469"/>
    </row>
    <row r="72" spans="1:16" ht="13.5" thickBot="1" x14ac:dyDescent="0.25">
      <c r="A72" s="1168" t="s">
        <v>544</v>
      </c>
      <c r="B72" s="1169"/>
      <c r="C72" s="936">
        <f>C8+C18+C35+C39+C52+C57+C60+C63+C66</f>
        <v>648781.12</v>
      </c>
      <c r="D72" s="936">
        <f>D8+D18+D35+D39+D52+D57+D60+D63+D66</f>
        <v>1741413.7200000002</v>
      </c>
      <c r="E72" s="936">
        <f>E8+E18+E35+E39+E52+E57+E60+E63+E66</f>
        <v>704804.01</v>
      </c>
      <c r="F72" s="936">
        <f>F8+F18+F35+F39+F52+F57+F60+F63+F66</f>
        <v>58210.16</v>
      </c>
      <c r="G72" s="936">
        <f>G8+G18+G35+G39+G52+G57+G60+G63+G66</f>
        <v>307127.31</v>
      </c>
      <c r="H72" s="936">
        <f>SUM(C72:G72)</f>
        <v>3460336.3200000008</v>
      </c>
      <c r="I72" s="956">
        <f>I66+I39+I35+I18+I8</f>
        <v>479627.45999999996</v>
      </c>
      <c r="J72" s="957">
        <f>J8+J18+J35+J39+J52+J57+J60+J63+J66</f>
        <v>0</v>
      </c>
      <c r="K72" s="936">
        <f>K8+K18+K35+K39+K52+K57+K60+K63+K66</f>
        <v>1106755.33</v>
      </c>
      <c r="L72" s="956">
        <f>+L66+L60+L52+L39+L35+L18+L8</f>
        <v>5046719.1099999994</v>
      </c>
    </row>
    <row r="73" spans="1:16" ht="13.5" thickBot="1" x14ac:dyDescent="0.25">
      <c r="A73" s="1168" t="s">
        <v>343</v>
      </c>
      <c r="B73" s="1169"/>
      <c r="C73" s="546">
        <f>+C72</f>
        <v>648781.12</v>
      </c>
      <c r="D73" s="546">
        <f>+D72</f>
        <v>1741413.7200000002</v>
      </c>
      <c r="E73" s="546">
        <f t="shared" ref="E73" si="8">+E72</f>
        <v>704804.01</v>
      </c>
      <c r="F73" s="546">
        <f t="shared" ref="F73:K73" si="9">+F72</f>
        <v>58210.16</v>
      </c>
      <c r="G73" s="546">
        <f>+G72</f>
        <v>307127.31</v>
      </c>
      <c r="H73" s="547">
        <f>+H72</f>
        <v>3460336.3200000008</v>
      </c>
      <c r="I73" s="956">
        <f>+I72</f>
        <v>479627.45999999996</v>
      </c>
      <c r="J73" s="958">
        <f t="shared" si="9"/>
        <v>0</v>
      </c>
      <c r="K73" s="936">
        <f t="shared" si="9"/>
        <v>1106755.33</v>
      </c>
      <c r="L73" s="956">
        <f>+L72</f>
        <v>5046719.1099999994</v>
      </c>
    </row>
    <row r="74" spans="1:16" x14ac:dyDescent="0.2">
      <c r="L74" s="960"/>
    </row>
    <row r="75" spans="1:16" x14ac:dyDescent="0.2">
      <c r="C75" s="832"/>
      <c r="D75" s="549"/>
      <c r="E75" s="549"/>
      <c r="H75" s="549"/>
      <c r="I75" s="960"/>
      <c r="K75" s="960"/>
      <c r="N75" s="225"/>
    </row>
    <row r="76" spans="1:16" x14ac:dyDescent="0.2">
      <c r="C76" s="832"/>
      <c r="D76" s="991"/>
      <c r="E76" s="549"/>
      <c r="H76" s="549"/>
      <c r="N76" s="469"/>
    </row>
    <row r="77" spans="1:16" x14ac:dyDescent="0.2">
      <c r="C77" s="550"/>
      <c r="D77" s="550"/>
      <c r="E77" s="550"/>
      <c r="F77" s="988"/>
      <c r="G77" s="549"/>
      <c r="I77" s="960"/>
      <c r="K77" s="960"/>
      <c r="N77" s="225"/>
    </row>
    <row r="78" spans="1:16" x14ac:dyDescent="0.2">
      <c r="C78" s="550"/>
      <c r="D78" s="549"/>
      <c r="E78" s="988"/>
      <c r="F78" s="989"/>
      <c r="H78" s="549"/>
      <c r="I78" s="960"/>
      <c r="N78" s="469"/>
    </row>
    <row r="79" spans="1:16" x14ac:dyDescent="0.2">
      <c r="D79" s="551"/>
      <c r="E79" s="551"/>
      <c r="F79" s="988"/>
      <c r="J79" s="960"/>
      <c r="N79" s="469"/>
    </row>
    <row r="80" spans="1:16" x14ac:dyDescent="0.2">
      <c r="D80" s="549"/>
      <c r="E80" s="988"/>
      <c r="H80" s="549"/>
      <c r="N80" s="469"/>
    </row>
    <row r="81" spans="3:7" x14ac:dyDescent="0.2">
      <c r="F81" s="549"/>
    </row>
    <row r="82" spans="3:7" x14ac:dyDescent="0.2">
      <c r="F82" s="549"/>
    </row>
    <row r="83" spans="3:7" x14ac:dyDescent="0.2">
      <c r="G83" s="549"/>
    </row>
    <row r="84" spans="3:7" x14ac:dyDescent="0.2">
      <c r="F84" s="549"/>
    </row>
    <row r="85" spans="3:7" x14ac:dyDescent="0.2">
      <c r="C85" s="834"/>
      <c r="D85" s="549"/>
    </row>
    <row r="86" spans="3:7" x14ac:dyDescent="0.2">
      <c r="D86" s="549"/>
      <c r="F86" s="549"/>
    </row>
    <row r="88" spans="3:7" x14ac:dyDescent="0.2">
      <c r="F88" s="549"/>
    </row>
  </sheetData>
  <mergeCells count="14">
    <mergeCell ref="A72:B72"/>
    <mergeCell ref="A73:B73"/>
    <mergeCell ref="K5:K7"/>
    <mergeCell ref="A5:A7"/>
    <mergeCell ref="B5:B7"/>
    <mergeCell ref="G6:G7"/>
    <mergeCell ref="A1:L3"/>
    <mergeCell ref="L5:L7"/>
    <mergeCell ref="I5:I7"/>
    <mergeCell ref="C5:H5"/>
    <mergeCell ref="H6:H7"/>
    <mergeCell ref="C6:D6"/>
    <mergeCell ref="F6:F7"/>
    <mergeCell ref="J5:J7"/>
  </mergeCells>
  <phoneticPr fontId="7" type="noConversion"/>
  <printOptions verticalCentered="1"/>
  <pageMargins left="0.11811023622047245" right="0.11811023622047245" top="0.39370078740157483" bottom="0.15748031496062992" header="0" footer="0"/>
  <pageSetup scale="7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8" tint="0.39997558519241921"/>
  </sheetPr>
  <dimension ref="A1:Q77"/>
  <sheetViews>
    <sheetView showGridLines="0" topLeftCell="A46" workbookViewId="0">
      <selection activeCell="E61" sqref="E61"/>
    </sheetView>
  </sheetViews>
  <sheetFormatPr baseColWidth="10" defaultRowHeight="12.75" x14ac:dyDescent="0.2"/>
  <cols>
    <col min="1" max="1" width="9.140625" style="7" customWidth="1"/>
    <col min="2" max="2" width="50.85546875" style="7" customWidth="1"/>
    <col min="3" max="3" width="14.85546875" style="7" customWidth="1"/>
    <col min="4" max="15" width="12.5703125" style="7" customWidth="1"/>
    <col min="16" max="16" width="13.5703125" style="7" customWidth="1"/>
    <col min="17" max="20" width="11.42578125" style="7" customWidth="1"/>
    <col min="21" max="16384" width="11.42578125" style="7"/>
  </cols>
  <sheetData>
    <row r="1" spans="1:17" ht="12.75" customHeight="1" x14ac:dyDescent="0.2">
      <c r="A1" s="1181" t="s">
        <v>761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1181"/>
    </row>
    <row r="2" spans="1:17" x14ac:dyDescent="0.2">
      <c r="A2" s="1181"/>
      <c r="B2" s="1181"/>
      <c r="C2" s="1181"/>
      <c r="D2" s="1181"/>
      <c r="E2" s="1181"/>
      <c r="F2" s="1181"/>
      <c r="G2" s="1181"/>
      <c r="H2" s="1181"/>
      <c r="I2" s="1181"/>
      <c r="J2" s="1181"/>
      <c r="K2" s="1181"/>
      <c r="L2" s="1181"/>
      <c r="M2" s="1181"/>
      <c r="N2" s="1181"/>
      <c r="O2" s="1181"/>
      <c r="P2" s="1181"/>
    </row>
    <row r="3" spans="1:17" x14ac:dyDescent="0.2">
      <c r="A3" s="1181"/>
      <c r="B3" s="1181"/>
      <c r="C3" s="1181"/>
      <c r="D3" s="1181"/>
      <c r="E3" s="1181"/>
      <c r="F3" s="1181"/>
      <c r="G3" s="1181"/>
      <c r="H3" s="1181"/>
      <c r="I3" s="1181"/>
      <c r="J3" s="1181"/>
      <c r="K3" s="1181"/>
      <c r="L3" s="1181"/>
      <c r="M3" s="1181"/>
      <c r="N3" s="1181"/>
      <c r="O3" s="1181"/>
      <c r="P3" s="1181"/>
    </row>
    <row r="4" spans="1:17" ht="15" customHeight="1" thickBo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7" ht="12.75" customHeight="1" x14ac:dyDescent="0.2">
      <c r="A5" s="1182" t="s">
        <v>545</v>
      </c>
      <c r="B5" s="1185" t="s">
        <v>103</v>
      </c>
      <c r="C5" s="256" t="s">
        <v>546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</row>
    <row r="6" spans="1:17" x14ac:dyDescent="0.2">
      <c r="A6" s="1183"/>
      <c r="B6" s="1186"/>
      <c r="C6" s="254" t="s">
        <v>0</v>
      </c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5"/>
    </row>
    <row r="7" spans="1:17" ht="21.75" customHeight="1" thickBot="1" x14ac:dyDescent="0.25">
      <c r="A7" s="1184"/>
      <c r="B7" s="1187"/>
      <c r="C7" s="205" t="s">
        <v>296</v>
      </c>
      <c r="D7" s="259" t="s">
        <v>591</v>
      </c>
      <c r="E7" s="259" t="s">
        <v>592</v>
      </c>
      <c r="F7" s="259" t="s">
        <v>593</v>
      </c>
      <c r="G7" s="259" t="s">
        <v>594</v>
      </c>
      <c r="H7" s="259" t="s">
        <v>595</v>
      </c>
      <c r="I7" s="259" t="s">
        <v>596</v>
      </c>
      <c r="J7" s="259" t="s">
        <v>597</v>
      </c>
      <c r="K7" s="259" t="s">
        <v>598</v>
      </c>
      <c r="L7" s="259" t="s">
        <v>599</v>
      </c>
      <c r="M7" s="259" t="s">
        <v>600</v>
      </c>
      <c r="N7" s="259" t="s">
        <v>601</v>
      </c>
      <c r="O7" s="259" t="s">
        <v>602</v>
      </c>
      <c r="P7" s="253" t="s">
        <v>25</v>
      </c>
    </row>
    <row r="8" spans="1:17" x14ac:dyDescent="0.2">
      <c r="A8" s="35">
        <v>11</v>
      </c>
      <c r="B8" s="402" t="s">
        <v>332</v>
      </c>
      <c r="C8" s="260">
        <f>C9</f>
        <v>24179.8</v>
      </c>
      <c r="D8" s="260" t="e">
        <f>D9</f>
        <v>#REF!</v>
      </c>
      <c r="E8" s="260" t="e">
        <f t="shared" ref="E8:O8" si="0">E9</f>
        <v>#REF!</v>
      </c>
      <c r="F8" s="260" t="e">
        <f t="shared" si="0"/>
        <v>#REF!</v>
      </c>
      <c r="G8" s="260" t="e">
        <f t="shared" si="0"/>
        <v>#REF!</v>
      </c>
      <c r="H8" s="260" t="e">
        <f t="shared" si="0"/>
        <v>#REF!</v>
      </c>
      <c r="I8" s="260" t="e">
        <f t="shared" si="0"/>
        <v>#REF!</v>
      </c>
      <c r="J8" s="260" t="e">
        <f t="shared" si="0"/>
        <v>#REF!</v>
      </c>
      <c r="K8" s="260" t="e">
        <f t="shared" si="0"/>
        <v>#REF!</v>
      </c>
      <c r="L8" s="260" t="e">
        <f t="shared" si="0"/>
        <v>#REF!</v>
      </c>
      <c r="M8" s="260" t="e">
        <f t="shared" si="0"/>
        <v>#REF!</v>
      </c>
      <c r="N8" s="260" t="e">
        <f t="shared" si="0"/>
        <v>#REF!</v>
      </c>
      <c r="O8" s="260" t="e">
        <f t="shared" si="0"/>
        <v>#REF!</v>
      </c>
      <c r="P8" s="132" t="e">
        <f>P9</f>
        <v>#REF!</v>
      </c>
      <c r="Q8" s="199" t="e">
        <f>C8-P8</f>
        <v>#REF!</v>
      </c>
    </row>
    <row r="9" spans="1:17" x14ac:dyDescent="0.2">
      <c r="A9" s="36">
        <v>118</v>
      </c>
      <c r="B9" s="403" t="s">
        <v>333</v>
      </c>
      <c r="C9" s="206">
        <f>SUM(C10:C17)</f>
        <v>24179.8</v>
      </c>
      <c r="D9" s="206" t="e">
        <f>SUM(D10:D17)</f>
        <v>#REF!</v>
      </c>
      <c r="E9" s="206" t="e">
        <f t="shared" ref="E9:O9" si="1">SUM(E10:E17)</f>
        <v>#REF!</v>
      </c>
      <c r="F9" s="206" t="e">
        <f t="shared" si="1"/>
        <v>#REF!</v>
      </c>
      <c r="G9" s="206" t="e">
        <f t="shared" si="1"/>
        <v>#REF!</v>
      </c>
      <c r="H9" s="206" t="e">
        <f t="shared" si="1"/>
        <v>#REF!</v>
      </c>
      <c r="I9" s="206" t="e">
        <f t="shared" si="1"/>
        <v>#REF!</v>
      </c>
      <c r="J9" s="206" t="e">
        <f t="shared" si="1"/>
        <v>#REF!</v>
      </c>
      <c r="K9" s="206" t="e">
        <f t="shared" si="1"/>
        <v>#REF!</v>
      </c>
      <c r="L9" s="206" t="e">
        <f t="shared" si="1"/>
        <v>#REF!</v>
      </c>
      <c r="M9" s="206" t="e">
        <f t="shared" si="1"/>
        <v>#REF!</v>
      </c>
      <c r="N9" s="206" t="e">
        <f t="shared" si="1"/>
        <v>#REF!</v>
      </c>
      <c r="O9" s="206" t="e">
        <f t="shared" si="1"/>
        <v>#REF!</v>
      </c>
      <c r="P9" s="133" t="e">
        <f>SUM(P10:P16)</f>
        <v>#REF!</v>
      </c>
      <c r="Q9" s="199" t="e">
        <f t="shared" ref="Q9:Q73" si="2">C9-P9</f>
        <v>#REF!</v>
      </c>
    </row>
    <row r="10" spans="1:17" x14ac:dyDescent="0.2">
      <c r="A10" s="29">
        <v>11801</v>
      </c>
      <c r="B10" s="404" t="s">
        <v>506</v>
      </c>
      <c r="C10" s="207">
        <f>'ING. REALES'!L10</f>
        <v>7963.5599999999995</v>
      </c>
      <c r="D10" s="207" t="e">
        <f>'ING. REALES'!#REF!</f>
        <v>#REF!</v>
      </c>
      <c r="E10" s="207" t="e">
        <f>'ING. REALES'!#REF!</f>
        <v>#REF!</v>
      </c>
      <c r="F10" s="207" t="e">
        <f>'ING. REALES'!#REF!</f>
        <v>#REF!</v>
      </c>
      <c r="G10" s="207" t="e">
        <f>'ING. REALES'!#REF!</f>
        <v>#REF!</v>
      </c>
      <c r="H10" s="207" t="e">
        <f>'ING. REALES'!#REF!</f>
        <v>#REF!</v>
      </c>
      <c r="I10" s="207" t="e">
        <f>'ING. REALES'!#REF!</f>
        <v>#REF!</v>
      </c>
      <c r="J10" s="207" t="e">
        <f>'ING. REALES'!#REF!</f>
        <v>#REF!</v>
      </c>
      <c r="K10" s="207" t="e">
        <f>'ING. REALES'!#REF!</f>
        <v>#REF!</v>
      </c>
      <c r="L10" s="207" t="e">
        <f>'ING. REALES'!#REF!</f>
        <v>#REF!</v>
      </c>
      <c r="M10" s="207" t="e">
        <f>'ING. REALES'!#REF!</f>
        <v>#REF!</v>
      </c>
      <c r="N10" s="207" t="e">
        <f>'ING. REALES'!#REF!</f>
        <v>#REF!</v>
      </c>
      <c r="O10" s="207" t="e">
        <f>'ING. REALES'!#REF!</f>
        <v>#REF!</v>
      </c>
      <c r="P10" s="134" t="e">
        <f>SUM(D10:O10)</f>
        <v>#REF!</v>
      </c>
      <c r="Q10" s="199" t="e">
        <f t="shared" si="2"/>
        <v>#REF!</v>
      </c>
    </row>
    <row r="11" spans="1:17" x14ac:dyDescent="0.2">
      <c r="A11" s="29">
        <v>11802</v>
      </c>
      <c r="B11" s="404" t="s">
        <v>507</v>
      </c>
      <c r="C11" s="207">
        <f>'ING. REALES'!L11</f>
        <v>2186.52</v>
      </c>
      <c r="D11" s="207" t="e">
        <f>'ING. REALES'!#REF!</f>
        <v>#REF!</v>
      </c>
      <c r="E11" s="207" t="e">
        <f>'ING. REALES'!#REF!</f>
        <v>#REF!</v>
      </c>
      <c r="F11" s="207" t="e">
        <f>'ING. REALES'!#REF!</f>
        <v>#REF!</v>
      </c>
      <c r="G11" s="207" t="e">
        <f>'ING. REALES'!#REF!</f>
        <v>#REF!</v>
      </c>
      <c r="H11" s="207" t="e">
        <f>'ING. REALES'!#REF!</f>
        <v>#REF!</v>
      </c>
      <c r="I11" s="207" t="e">
        <f>'ING. REALES'!#REF!</f>
        <v>#REF!</v>
      </c>
      <c r="J11" s="207" t="e">
        <f>'ING. REALES'!#REF!</f>
        <v>#REF!</v>
      </c>
      <c r="K11" s="207" t="e">
        <f>'ING. REALES'!#REF!</f>
        <v>#REF!</v>
      </c>
      <c r="L11" s="207" t="e">
        <f>'ING. REALES'!#REF!</f>
        <v>#REF!</v>
      </c>
      <c r="M11" s="207" t="e">
        <f>'ING. REALES'!#REF!</f>
        <v>#REF!</v>
      </c>
      <c r="N11" s="207" t="e">
        <f>'ING. REALES'!#REF!</f>
        <v>#REF!</v>
      </c>
      <c r="O11" s="207" t="e">
        <f>'ING. REALES'!#REF!</f>
        <v>#REF!</v>
      </c>
      <c r="P11" s="134" t="e">
        <f t="shared" ref="P11:P15" si="3">SUM(D11:O11)</f>
        <v>#REF!</v>
      </c>
      <c r="Q11" s="199" t="e">
        <f t="shared" si="2"/>
        <v>#REF!</v>
      </c>
    </row>
    <row r="12" spans="1:17" x14ac:dyDescent="0.2">
      <c r="A12" s="29">
        <v>11804</v>
      </c>
      <c r="B12" s="404" t="s">
        <v>508</v>
      </c>
      <c r="C12" s="207">
        <f>'ING. REALES'!L12</f>
        <v>10786.8</v>
      </c>
      <c r="D12" s="207" t="e">
        <f>'ING. REALES'!#REF!</f>
        <v>#REF!</v>
      </c>
      <c r="E12" s="207" t="e">
        <f>'ING. REALES'!#REF!</f>
        <v>#REF!</v>
      </c>
      <c r="F12" s="207" t="e">
        <f>'ING. REALES'!#REF!</f>
        <v>#REF!</v>
      </c>
      <c r="G12" s="207" t="e">
        <f>'ING. REALES'!#REF!</f>
        <v>#REF!</v>
      </c>
      <c r="H12" s="207" t="e">
        <f>'ING. REALES'!#REF!</f>
        <v>#REF!</v>
      </c>
      <c r="I12" s="207" t="e">
        <f>'ING. REALES'!#REF!</f>
        <v>#REF!</v>
      </c>
      <c r="J12" s="207" t="e">
        <f>'ING. REALES'!#REF!</f>
        <v>#REF!</v>
      </c>
      <c r="K12" s="207" t="e">
        <f>'ING. REALES'!#REF!</f>
        <v>#REF!</v>
      </c>
      <c r="L12" s="207" t="e">
        <f>'ING. REALES'!#REF!</f>
        <v>#REF!</v>
      </c>
      <c r="M12" s="207" t="e">
        <f>'ING. REALES'!#REF!</f>
        <v>#REF!</v>
      </c>
      <c r="N12" s="207" t="e">
        <f>'ING. REALES'!#REF!</f>
        <v>#REF!</v>
      </c>
      <c r="O12" s="207" t="e">
        <f>'ING. REALES'!#REF!</f>
        <v>#REF!</v>
      </c>
      <c r="P12" s="134" t="e">
        <f t="shared" si="3"/>
        <v>#REF!</v>
      </c>
      <c r="Q12" s="199" t="e">
        <f t="shared" si="2"/>
        <v>#REF!</v>
      </c>
    </row>
    <row r="13" spans="1:17" x14ac:dyDescent="0.2">
      <c r="A13" s="29">
        <v>11812</v>
      </c>
      <c r="B13" s="405" t="s">
        <v>509</v>
      </c>
      <c r="C13" s="207">
        <f>'ING. REALES'!L13</f>
        <v>308.88</v>
      </c>
      <c r="D13" s="207" t="e">
        <f>'ING. REALES'!#REF!</f>
        <v>#REF!</v>
      </c>
      <c r="E13" s="207" t="e">
        <f>'ING. REALES'!#REF!</f>
        <v>#REF!</v>
      </c>
      <c r="F13" s="207" t="e">
        <f>'ING. REALES'!#REF!</f>
        <v>#REF!</v>
      </c>
      <c r="G13" s="207" t="e">
        <f>'ING. REALES'!#REF!</f>
        <v>#REF!</v>
      </c>
      <c r="H13" s="207" t="e">
        <f>'ING. REALES'!#REF!</f>
        <v>#REF!</v>
      </c>
      <c r="I13" s="207" t="e">
        <f>'ING. REALES'!#REF!</f>
        <v>#REF!</v>
      </c>
      <c r="J13" s="207" t="e">
        <f>'ING. REALES'!#REF!</f>
        <v>#REF!</v>
      </c>
      <c r="K13" s="207" t="e">
        <f>'ING. REALES'!#REF!</f>
        <v>#REF!</v>
      </c>
      <c r="L13" s="207" t="e">
        <f>'ING. REALES'!#REF!</f>
        <v>#REF!</v>
      </c>
      <c r="M13" s="207" t="e">
        <f>'ING. REALES'!#REF!</f>
        <v>#REF!</v>
      </c>
      <c r="N13" s="207" t="e">
        <f>'ING. REALES'!#REF!</f>
        <v>#REF!</v>
      </c>
      <c r="O13" s="207" t="e">
        <f>'ING. REALES'!#REF!</f>
        <v>#REF!</v>
      </c>
      <c r="P13" s="134" t="e">
        <f t="shared" si="3"/>
        <v>#REF!</v>
      </c>
      <c r="Q13" s="199" t="e">
        <f t="shared" si="2"/>
        <v>#REF!</v>
      </c>
    </row>
    <row r="14" spans="1:17" x14ac:dyDescent="0.2">
      <c r="A14" s="29">
        <v>11813</v>
      </c>
      <c r="B14" s="405" t="s">
        <v>621</v>
      </c>
      <c r="C14" s="207">
        <f>'ING. REALES'!L14</f>
        <v>82.320000000000007</v>
      </c>
      <c r="D14" s="207" t="e">
        <f>'ING. REALES'!#REF!</f>
        <v>#REF!</v>
      </c>
      <c r="E14" s="207" t="e">
        <f>'ING. REALES'!#REF!</f>
        <v>#REF!</v>
      </c>
      <c r="F14" s="207" t="e">
        <f>'ING. REALES'!#REF!</f>
        <v>#REF!</v>
      </c>
      <c r="G14" s="207" t="e">
        <f>'ING. REALES'!#REF!</f>
        <v>#REF!</v>
      </c>
      <c r="H14" s="207" t="e">
        <f>'ING. REALES'!#REF!</f>
        <v>#REF!</v>
      </c>
      <c r="I14" s="207" t="e">
        <f>'ING. REALES'!#REF!</f>
        <v>#REF!</v>
      </c>
      <c r="J14" s="207" t="e">
        <f>'ING. REALES'!#REF!</f>
        <v>#REF!</v>
      </c>
      <c r="K14" s="207" t="e">
        <f>'ING. REALES'!#REF!</f>
        <v>#REF!</v>
      </c>
      <c r="L14" s="207" t="e">
        <f>'ING. REALES'!#REF!</f>
        <v>#REF!</v>
      </c>
      <c r="M14" s="207" t="e">
        <f>'ING. REALES'!#REF!</f>
        <v>#REF!</v>
      </c>
      <c r="N14" s="207" t="e">
        <f>'ING. REALES'!#REF!</f>
        <v>#REF!</v>
      </c>
      <c r="O14" s="207" t="e">
        <f>'ING. REALES'!#REF!</f>
        <v>#REF!</v>
      </c>
      <c r="P14" s="134" t="e">
        <f t="shared" si="3"/>
        <v>#REF!</v>
      </c>
      <c r="Q14" s="199" t="e">
        <f t="shared" si="2"/>
        <v>#REF!</v>
      </c>
    </row>
    <row r="15" spans="1:17" x14ac:dyDescent="0.2">
      <c r="A15" s="29">
        <v>11816</v>
      </c>
      <c r="B15" s="404" t="s">
        <v>510</v>
      </c>
      <c r="C15" s="207">
        <f>'ING. REALES'!L15</f>
        <v>1479.72</v>
      </c>
      <c r="D15" s="207" t="e">
        <f>'ING. REALES'!#REF!</f>
        <v>#REF!</v>
      </c>
      <c r="E15" s="207" t="e">
        <f>'ING. REALES'!#REF!</f>
        <v>#REF!</v>
      </c>
      <c r="F15" s="207" t="e">
        <f>'ING. REALES'!#REF!</f>
        <v>#REF!</v>
      </c>
      <c r="G15" s="207" t="e">
        <f>'ING. REALES'!#REF!</f>
        <v>#REF!</v>
      </c>
      <c r="H15" s="207" t="e">
        <f>'ING. REALES'!#REF!</f>
        <v>#REF!</v>
      </c>
      <c r="I15" s="207" t="e">
        <f>'ING. REALES'!#REF!</f>
        <v>#REF!</v>
      </c>
      <c r="J15" s="207" t="e">
        <f>'ING. REALES'!#REF!</f>
        <v>#REF!</v>
      </c>
      <c r="K15" s="207" t="e">
        <f>'ING. REALES'!#REF!</f>
        <v>#REF!</v>
      </c>
      <c r="L15" s="207" t="e">
        <f>'ING. REALES'!#REF!</f>
        <v>#REF!</v>
      </c>
      <c r="M15" s="207" t="e">
        <f>'ING. REALES'!#REF!</f>
        <v>#REF!</v>
      </c>
      <c r="N15" s="207" t="e">
        <f>'ING. REALES'!#REF!</f>
        <v>#REF!</v>
      </c>
      <c r="O15" s="207" t="e">
        <f>'ING. REALES'!#REF!</f>
        <v>#REF!</v>
      </c>
      <c r="P15" s="134" t="e">
        <f t="shared" si="3"/>
        <v>#REF!</v>
      </c>
      <c r="Q15" s="199" t="e">
        <f t="shared" si="2"/>
        <v>#REF!</v>
      </c>
    </row>
    <row r="16" spans="1:17" x14ac:dyDescent="0.2">
      <c r="A16" s="29">
        <v>11818</v>
      </c>
      <c r="B16" s="404" t="s">
        <v>511</v>
      </c>
      <c r="C16" s="207">
        <f>'ING. REALES'!L16</f>
        <v>1372</v>
      </c>
      <c r="D16" s="207" t="e">
        <f>'ING. REALES'!#REF!</f>
        <v>#REF!</v>
      </c>
      <c r="E16" s="207" t="e">
        <f>'ING. REALES'!#REF!</f>
        <v>#REF!</v>
      </c>
      <c r="F16" s="207" t="e">
        <f>'ING. REALES'!#REF!</f>
        <v>#REF!</v>
      </c>
      <c r="G16" s="207" t="e">
        <f>'ING. REALES'!#REF!</f>
        <v>#REF!</v>
      </c>
      <c r="H16" s="207" t="e">
        <f>'ING. REALES'!#REF!</f>
        <v>#REF!</v>
      </c>
      <c r="I16" s="207" t="e">
        <f>'ING. REALES'!#REF!</f>
        <v>#REF!</v>
      </c>
      <c r="J16" s="207" t="e">
        <f>'ING. REALES'!#REF!</f>
        <v>#REF!</v>
      </c>
      <c r="K16" s="207" t="e">
        <f>'ING. REALES'!#REF!</f>
        <v>#REF!</v>
      </c>
      <c r="L16" s="207" t="e">
        <f>'ING. REALES'!#REF!</f>
        <v>#REF!</v>
      </c>
      <c r="M16" s="207" t="e">
        <f>'ING. REALES'!#REF!</f>
        <v>#REF!</v>
      </c>
      <c r="N16" s="207" t="e">
        <f>'ING. REALES'!#REF!</f>
        <v>#REF!</v>
      </c>
      <c r="O16" s="207" t="e">
        <f>'ING. REALES'!#REF!</f>
        <v>#REF!</v>
      </c>
      <c r="P16" s="134"/>
      <c r="Q16" s="199">
        <f t="shared" si="2"/>
        <v>1372</v>
      </c>
    </row>
    <row r="17" spans="1:17" x14ac:dyDescent="0.2">
      <c r="A17" s="29">
        <v>11899</v>
      </c>
      <c r="B17" s="404" t="s">
        <v>512</v>
      </c>
      <c r="C17" s="207">
        <f>'ING. REALES'!L17</f>
        <v>0</v>
      </c>
      <c r="D17" s="207" t="e">
        <f>'ING. REALES'!#REF!</f>
        <v>#REF!</v>
      </c>
      <c r="E17" s="207" t="e">
        <f>'ING. REALES'!#REF!</f>
        <v>#REF!</v>
      </c>
      <c r="F17" s="207" t="e">
        <f>'ING. REALES'!#REF!</f>
        <v>#REF!</v>
      </c>
      <c r="G17" s="207" t="e">
        <f>'ING. REALES'!#REF!</f>
        <v>#REF!</v>
      </c>
      <c r="H17" s="207" t="e">
        <f>'ING. REALES'!#REF!</f>
        <v>#REF!</v>
      </c>
      <c r="I17" s="207" t="e">
        <f>'ING. REALES'!#REF!</f>
        <v>#REF!</v>
      </c>
      <c r="J17" s="207" t="e">
        <f>'ING. REALES'!#REF!</f>
        <v>#REF!</v>
      </c>
      <c r="K17" s="207" t="e">
        <f>'ING. REALES'!#REF!</f>
        <v>#REF!</v>
      </c>
      <c r="L17" s="207" t="e">
        <f>'ING. REALES'!#REF!</f>
        <v>#REF!</v>
      </c>
      <c r="M17" s="207" t="e">
        <f>'ING. REALES'!#REF!</f>
        <v>#REF!</v>
      </c>
      <c r="N17" s="207" t="e">
        <f>'ING. REALES'!#REF!</f>
        <v>#REF!</v>
      </c>
      <c r="O17" s="207" t="e">
        <f>'ING. REALES'!#REF!</f>
        <v>#REF!</v>
      </c>
      <c r="P17" s="133" t="e">
        <f t="shared" ref="P17" si="4">+P18+P31</f>
        <v>#REF!</v>
      </c>
      <c r="Q17" s="199" t="e">
        <f t="shared" si="2"/>
        <v>#REF!</v>
      </c>
    </row>
    <row r="18" spans="1:17" x14ac:dyDescent="0.2">
      <c r="A18" s="36">
        <v>12</v>
      </c>
      <c r="B18" s="403" t="s">
        <v>6</v>
      </c>
      <c r="C18" s="206">
        <f>C19+C32</f>
        <v>109282.37</v>
      </c>
      <c r="D18" s="206" t="e">
        <f>D19+D32</f>
        <v>#REF!</v>
      </c>
      <c r="E18" s="206" t="e">
        <f t="shared" ref="E18:O18" si="5">E19+E32</f>
        <v>#REF!</v>
      </c>
      <c r="F18" s="206" t="e">
        <f t="shared" si="5"/>
        <v>#REF!</v>
      </c>
      <c r="G18" s="206" t="e">
        <f t="shared" si="5"/>
        <v>#REF!</v>
      </c>
      <c r="H18" s="206" t="e">
        <f t="shared" si="5"/>
        <v>#REF!</v>
      </c>
      <c r="I18" s="206" t="e">
        <f t="shared" si="5"/>
        <v>#REF!</v>
      </c>
      <c r="J18" s="206" t="e">
        <f t="shared" si="5"/>
        <v>#REF!</v>
      </c>
      <c r="K18" s="206" t="e">
        <f t="shared" si="5"/>
        <v>#REF!</v>
      </c>
      <c r="L18" s="206" t="e">
        <f t="shared" si="5"/>
        <v>#REF!</v>
      </c>
      <c r="M18" s="206" t="e">
        <f t="shared" si="5"/>
        <v>#REF!</v>
      </c>
      <c r="N18" s="206" t="e">
        <f t="shared" si="5"/>
        <v>#REF!</v>
      </c>
      <c r="O18" s="206" t="e">
        <f t="shared" si="5"/>
        <v>#REF!</v>
      </c>
      <c r="P18" s="133" t="e">
        <f t="shared" ref="P18" si="6">SUM(P19:P30)</f>
        <v>#REF!</v>
      </c>
      <c r="Q18" s="199" t="e">
        <f t="shared" si="2"/>
        <v>#REF!</v>
      </c>
    </row>
    <row r="19" spans="1:17" x14ac:dyDescent="0.2">
      <c r="A19" s="36">
        <v>121</v>
      </c>
      <c r="B19" s="403" t="s">
        <v>334</v>
      </c>
      <c r="C19" s="206">
        <f>SUM(C20:C31)</f>
        <v>109181.37</v>
      </c>
      <c r="D19" s="206" t="e">
        <f>SUM(D20:D31)</f>
        <v>#REF!</v>
      </c>
      <c r="E19" s="206" t="e">
        <f t="shared" ref="E19:O19" si="7">SUM(E20:E31)</f>
        <v>#REF!</v>
      </c>
      <c r="F19" s="206" t="e">
        <f t="shared" si="7"/>
        <v>#REF!</v>
      </c>
      <c r="G19" s="206" t="e">
        <f t="shared" si="7"/>
        <v>#REF!</v>
      </c>
      <c r="H19" s="206" t="e">
        <f t="shared" si="7"/>
        <v>#REF!</v>
      </c>
      <c r="I19" s="206" t="e">
        <f t="shared" si="7"/>
        <v>#REF!</v>
      </c>
      <c r="J19" s="206" t="e">
        <f t="shared" si="7"/>
        <v>#REF!</v>
      </c>
      <c r="K19" s="206" t="e">
        <f t="shared" si="7"/>
        <v>#REF!</v>
      </c>
      <c r="L19" s="206" t="e">
        <f t="shared" si="7"/>
        <v>#REF!</v>
      </c>
      <c r="M19" s="206" t="e">
        <f t="shared" si="7"/>
        <v>#REF!</v>
      </c>
      <c r="N19" s="206" t="e">
        <f t="shared" si="7"/>
        <v>#REF!</v>
      </c>
      <c r="O19" s="206" t="e">
        <f t="shared" si="7"/>
        <v>#REF!</v>
      </c>
      <c r="P19" s="134" t="e">
        <f t="shared" ref="P19:P33" si="8">SUM(D19:O19)</f>
        <v>#REF!</v>
      </c>
      <c r="Q19" s="199" t="e">
        <f t="shared" si="2"/>
        <v>#REF!</v>
      </c>
    </row>
    <row r="20" spans="1:17" x14ac:dyDescent="0.2">
      <c r="A20" s="29">
        <v>12105</v>
      </c>
      <c r="B20" s="404" t="s">
        <v>513</v>
      </c>
      <c r="C20" s="207">
        <f>'ING. REALES'!L20</f>
        <v>9500</v>
      </c>
      <c r="D20" s="207" t="e">
        <f>'ING. REALES'!#REF!</f>
        <v>#REF!</v>
      </c>
      <c r="E20" s="207" t="e">
        <f>'ING. REALES'!#REF!</f>
        <v>#REF!</v>
      </c>
      <c r="F20" s="207" t="e">
        <f>'ING. REALES'!#REF!</f>
        <v>#REF!</v>
      </c>
      <c r="G20" s="207" t="e">
        <f>'ING. REALES'!#REF!</f>
        <v>#REF!</v>
      </c>
      <c r="H20" s="207" t="e">
        <f>'ING. REALES'!#REF!</f>
        <v>#REF!</v>
      </c>
      <c r="I20" s="207" t="e">
        <f>'ING. REALES'!#REF!</f>
        <v>#REF!</v>
      </c>
      <c r="J20" s="207" t="e">
        <f>'ING. REALES'!#REF!</f>
        <v>#REF!</v>
      </c>
      <c r="K20" s="207" t="e">
        <f>'ING. REALES'!#REF!</f>
        <v>#REF!</v>
      </c>
      <c r="L20" s="207" t="e">
        <f>'ING. REALES'!#REF!</f>
        <v>#REF!</v>
      </c>
      <c r="M20" s="207" t="e">
        <f>'ING. REALES'!#REF!</f>
        <v>#REF!</v>
      </c>
      <c r="N20" s="207" t="e">
        <f>'ING. REALES'!#REF!</f>
        <v>#REF!</v>
      </c>
      <c r="O20" s="207" t="e">
        <f>'ING. REALES'!#REF!</f>
        <v>#REF!</v>
      </c>
      <c r="P20" s="134" t="e">
        <f t="shared" si="8"/>
        <v>#REF!</v>
      </c>
      <c r="Q20" s="199" t="e">
        <f t="shared" si="2"/>
        <v>#REF!</v>
      </c>
    </row>
    <row r="21" spans="1:17" x14ac:dyDescent="0.2">
      <c r="A21" s="29">
        <v>12106</v>
      </c>
      <c r="B21" s="404" t="s">
        <v>514</v>
      </c>
      <c r="C21" s="207">
        <f>'ING. REALES'!L21</f>
        <v>250</v>
      </c>
      <c r="D21" s="207" t="e">
        <f>'ING. REALES'!#REF!</f>
        <v>#REF!</v>
      </c>
      <c r="E21" s="207" t="e">
        <f>'ING. REALES'!#REF!</f>
        <v>#REF!</v>
      </c>
      <c r="F21" s="207" t="e">
        <f>'ING. REALES'!#REF!</f>
        <v>#REF!</v>
      </c>
      <c r="G21" s="207" t="e">
        <f>'ING. REALES'!#REF!</f>
        <v>#REF!</v>
      </c>
      <c r="H21" s="207" t="e">
        <f>'ING. REALES'!#REF!</f>
        <v>#REF!</v>
      </c>
      <c r="I21" s="207" t="e">
        <f>'ING. REALES'!#REF!</f>
        <v>#REF!</v>
      </c>
      <c r="J21" s="207" t="e">
        <f>'ING. REALES'!#REF!</f>
        <v>#REF!</v>
      </c>
      <c r="K21" s="207" t="e">
        <f>'ING. REALES'!#REF!</f>
        <v>#REF!</v>
      </c>
      <c r="L21" s="207" t="e">
        <f>'ING. REALES'!#REF!</f>
        <v>#REF!</v>
      </c>
      <c r="M21" s="207" t="e">
        <f>'ING. REALES'!#REF!</f>
        <v>#REF!</v>
      </c>
      <c r="N21" s="207" t="e">
        <f>'ING. REALES'!#REF!</f>
        <v>#REF!</v>
      </c>
      <c r="O21" s="207" t="e">
        <f>'ING. REALES'!#REF!</f>
        <v>#REF!</v>
      </c>
      <c r="P21" s="134" t="e">
        <f t="shared" si="8"/>
        <v>#REF!</v>
      </c>
      <c r="Q21" s="199" t="e">
        <f t="shared" si="2"/>
        <v>#REF!</v>
      </c>
    </row>
    <row r="22" spans="1:17" x14ac:dyDescent="0.2">
      <c r="A22" s="29">
        <v>12108</v>
      </c>
      <c r="B22" s="404" t="s">
        <v>515</v>
      </c>
      <c r="C22" s="207">
        <f>'ING. REALES'!L22</f>
        <v>1743.48</v>
      </c>
      <c r="D22" s="207" t="e">
        <f>'ING. REALES'!#REF!</f>
        <v>#REF!</v>
      </c>
      <c r="E22" s="207" t="e">
        <f>'ING. REALES'!#REF!</f>
        <v>#REF!</v>
      </c>
      <c r="F22" s="207" t="e">
        <f>'ING. REALES'!#REF!</f>
        <v>#REF!</v>
      </c>
      <c r="G22" s="207" t="e">
        <f>'ING. REALES'!#REF!</f>
        <v>#REF!</v>
      </c>
      <c r="H22" s="207" t="e">
        <f>'ING. REALES'!#REF!</f>
        <v>#REF!</v>
      </c>
      <c r="I22" s="207" t="e">
        <f>'ING. REALES'!#REF!</f>
        <v>#REF!</v>
      </c>
      <c r="J22" s="207" t="e">
        <f>'ING. REALES'!#REF!</f>
        <v>#REF!</v>
      </c>
      <c r="K22" s="207" t="e">
        <f>'ING. REALES'!#REF!</f>
        <v>#REF!</v>
      </c>
      <c r="L22" s="207" t="e">
        <f>'ING. REALES'!#REF!</f>
        <v>#REF!</v>
      </c>
      <c r="M22" s="207" t="e">
        <f>'ING. REALES'!#REF!</f>
        <v>#REF!</v>
      </c>
      <c r="N22" s="207" t="e">
        <f>'ING. REALES'!#REF!</f>
        <v>#REF!</v>
      </c>
      <c r="O22" s="207" t="e">
        <f>'ING. REALES'!#REF!</f>
        <v>#REF!</v>
      </c>
      <c r="P22" s="134" t="e">
        <f t="shared" si="8"/>
        <v>#REF!</v>
      </c>
      <c r="Q22" s="199" t="e">
        <f t="shared" si="2"/>
        <v>#REF!</v>
      </c>
    </row>
    <row r="23" spans="1:17" x14ac:dyDescent="0.2">
      <c r="A23" s="29">
        <v>12109</v>
      </c>
      <c r="B23" s="404" t="s">
        <v>516</v>
      </c>
      <c r="C23" s="207">
        <f>'ING. REALES'!L23</f>
        <v>7282.32</v>
      </c>
      <c r="D23" s="207" t="e">
        <f>'ING. REALES'!#REF!</f>
        <v>#REF!</v>
      </c>
      <c r="E23" s="207" t="e">
        <f>'ING. REALES'!#REF!</f>
        <v>#REF!</v>
      </c>
      <c r="F23" s="207" t="e">
        <f>'ING. REALES'!#REF!</f>
        <v>#REF!</v>
      </c>
      <c r="G23" s="207" t="e">
        <f>'ING. REALES'!#REF!</f>
        <v>#REF!</v>
      </c>
      <c r="H23" s="207" t="e">
        <f>'ING. REALES'!#REF!</f>
        <v>#REF!</v>
      </c>
      <c r="I23" s="207" t="e">
        <f>'ING. REALES'!#REF!</f>
        <v>#REF!</v>
      </c>
      <c r="J23" s="207" t="e">
        <f>'ING. REALES'!#REF!</f>
        <v>#REF!</v>
      </c>
      <c r="K23" s="207" t="e">
        <f>'ING. REALES'!#REF!</f>
        <v>#REF!</v>
      </c>
      <c r="L23" s="207" t="e">
        <f>'ING. REALES'!#REF!</f>
        <v>#REF!</v>
      </c>
      <c r="M23" s="207" t="e">
        <f>'ING. REALES'!#REF!</f>
        <v>#REF!</v>
      </c>
      <c r="N23" s="207" t="e">
        <f>'ING. REALES'!#REF!</f>
        <v>#REF!</v>
      </c>
      <c r="O23" s="207" t="e">
        <f>'ING. REALES'!#REF!</f>
        <v>#REF!</v>
      </c>
      <c r="P23" s="134" t="e">
        <f t="shared" si="8"/>
        <v>#REF!</v>
      </c>
      <c r="Q23" s="199" t="e">
        <f t="shared" si="2"/>
        <v>#REF!</v>
      </c>
    </row>
    <row r="24" spans="1:17" x14ac:dyDescent="0.2">
      <c r="A24" s="29">
        <v>12110</v>
      </c>
      <c r="B24" s="404" t="s">
        <v>517</v>
      </c>
      <c r="C24" s="207">
        <f>'ING. REALES'!L24</f>
        <v>0</v>
      </c>
      <c r="D24" s="207" t="e">
        <f>'ING. REALES'!#REF!</f>
        <v>#REF!</v>
      </c>
      <c r="E24" s="207" t="e">
        <f>'ING. REALES'!#REF!</f>
        <v>#REF!</v>
      </c>
      <c r="F24" s="207" t="e">
        <f>'ING. REALES'!#REF!</f>
        <v>#REF!</v>
      </c>
      <c r="G24" s="207" t="e">
        <f>'ING. REALES'!#REF!</f>
        <v>#REF!</v>
      </c>
      <c r="H24" s="207" t="e">
        <f>'ING. REALES'!#REF!</f>
        <v>#REF!</v>
      </c>
      <c r="I24" s="207" t="e">
        <f>'ING. REALES'!#REF!</f>
        <v>#REF!</v>
      </c>
      <c r="J24" s="207" t="e">
        <f>'ING. REALES'!#REF!</f>
        <v>#REF!</v>
      </c>
      <c r="K24" s="207" t="e">
        <f>'ING. REALES'!#REF!</f>
        <v>#REF!</v>
      </c>
      <c r="L24" s="207" t="e">
        <f>'ING. REALES'!#REF!</f>
        <v>#REF!</v>
      </c>
      <c r="M24" s="207" t="e">
        <f>'ING. REALES'!#REF!</f>
        <v>#REF!</v>
      </c>
      <c r="N24" s="207" t="e">
        <f>'ING. REALES'!#REF!</f>
        <v>#REF!</v>
      </c>
      <c r="O24" s="207" t="e">
        <f>'ING. REALES'!#REF!</f>
        <v>#REF!</v>
      </c>
      <c r="P24" s="134" t="e">
        <f t="shared" si="8"/>
        <v>#REF!</v>
      </c>
      <c r="Q24" s="199" t="e">
        <f t="shared" si="2"/>
        <v>#REF!</v>
      </c>
    </row>
    <row r="25" spans="1:17" x14ac:dyDescent="0.2">
      <c r="A25" s="29">
        <v>12111</v>
      </c>
      <c r="B25" s="404" t="s">
        <v>518</v>
      </c>
      <c r="C25" s="207">
        <f>'ING. REALES'!L25</f>
        <v>1000</v>
      </c>
      <c r="D25" s="207" t="e">
        <f>'ING. REALES'!#REF!</f>
        <v>#REF!</v>
      </c>
      <c r="E25" s="207" t="e">
        <f>'ING. REALES'!#REF!</f>
        <v>#REF!</v>
      </c>
      <c r="F25" s="207" t="e">
        <f>'ING. REALES'!#REF!</f>
        <v>#REF!</v>
      </c>
      <c r="G25" s="207" t="e">
        <f>'ING. REALES'!#REF!</f>
        <v>#REF!</v>
      </c>
      <c r="H25" s="207" t="e">
        <f>'ING. REALES'!#REF!</f>
        <v>#REF!</v>
      </c>
      <c r="I25" s="207" t="e">
        <f>'ING. REALES'!#REF!</f>
        <v>#REF!</v>
      </c>
      <c r="J25" s="207" t="e">
        <f>'ING. REALES'!#REF!</f>
        <v>#REF!</v>
      </c>
      <c r="K25" s="207" t="e">
        <f>'ING. REALES'!#REF!</f>
        <v>#REF!</v>
      </c>
      <c r="L25" s="207" t="e">
        <f>'ING. REALES'!#REF!</f>
        <v>#REF!</v>
      </c>
      <c r="M25" s="207" t="e">
        <f>'ING. REALES'!#REF!</f>
        <v>#REF!</v>
      </c>
      <c r="N25" s="207" t="e">
        <f>'ING. REALES'!#REF!</f>
        <v>#REF!</v>
      </c>
      <c r="O25" s="207" t="e">
        <f>'ING. REALES'!#REF!</f>
        <v>#REF!</v>
      </c>
      <c r="P25" s="134" t="e">
        <f t="shared" si="8"/>
        <v>#REF!</v>
      </c>
      <c r="Q25" s="199" t="e">
        <f t="shared" si="2"/>
        <v>#REF!</v>
      </c>
    </row>
    <row r="26" spans="1:17" x14ac:dyDescent="0.2">
      <c r="A26" s="29">
        <v>12114</v>
      </c>
      <c r="B26" s="404" t="s">
        <v>519</v>
      </c>
      <c r="C26" s="207">
        <f>'ING. REALES'!L26</f>
        <v>14392.69</v>
      </c>
      <c r="D26" s="207" t="e">
        <f>'ING. REALES'!#REF!</f>
        <v>#REF!</v>
      </c>
      <c r="E26" s="207" t="e">
        <f>'ING. REALES'!#REF!</f>
        <v>#REF!</v>
      </c>
      <c r="F26" s="207" t="e">
        <f>'ING. REALES'!#REF!</f>
        <v>#REF!</v>
      </c>
      <c r="G26" s="207" t="e">
        <f>'ING. REALES'!#REF!</f>
        <v>#REF!</v>
      </c>
      <c r="H26" s="207" t="e">
        <f>'ING. REALES'!#REF!</f>
        <v>#REF!</v>
      </c>
      <c r="I26" s="207" t="e">
        <f>'ING. REALES'!#REF!</f>
        <v>#REF!</v>
      </c>
      <c r="J26" s="207" t="e">
        <f>'ING. REALES'!#REF!</f>
        <v>#REF!</v>
      </c>
      <c r="K26" s="207" t="e">
        <f>'ING. REALES'!#REF!</f>
        <v>#REF!</v>
      </c>
      <c r="L26" s="207" t="e">
        <f>'ING. REALES'!#REF!</f>
        <v>#REF!</v>
      </c>
      <c r="M26" s="207" t="e">
        <f>'ING. REALES'!#REF!</f>
        <v>#REF!</v>
      </c>
      <c r="N26" s="207" t="e">
        <f>'ING. REALES'!#REF!</f>
        <v>#REF!</v>
      </c>
      <c r="O26" s="207" t="e">
        <f>'ING. REALES'!#REF!</f>
        <v>#REF!</v>
      </c>
      <c r="P26" s="134" t="e">
        <f t="shared" si="8"/>
        <v>#REF!</v>
      </c>
      <c r="Q26" s="199" t="e">
        <f t="shared" si="2"/>
        <v>#REF!</v>
      </c>
    </row>
    <row r="27" spans="1:17" x14ac:dyDescent="0.2">
      <c r="A27" s="29">
        <v>12115</v>
      </c>
      <c r="B27" s="404" t="s">
        <v>520</v>
      </c>
      <c r="C27" s="207">
        <f>'ING. REALES'!L27</f>
        <v>0</v>
      </c>
      <c r="D27" s="207" t="e">
        <f>'ING. REALES'!#REF!</f>
        <v>#REF!</v>
      </c>
      <c r="E27" s="207" t="e">
        <f>'ING. REALES'!#REF!</f>
        <v>#REF!</v>
      </c>
      <c r="F27" s="207" t="e">
        <f>'ING. REALES'!#REF!</f>
        <v>#REF!</v>
      </c>
      <c r="G27" s="207" t="e">
        <f>'ING. REALES'!#REF!</f>
        <v>#REF!</v>
      </c>
      <c r="H27" s="207" t="e">
        <f>'ING. REALES'!#REF!</f>
        <v>#REF!</v>
      </c>
      <c r="I27" s="207" t="e">
        <f>'ING. REALES'!#REF!</f>
        <v>#REF!</v>
      </c>
      <c r="J27" s="207" t="e">
        <f>'ING. REALES'!#REF!</f>
        <v>#REF!</v>
      </c>
      <c r="K27" s="207" t="e">
        <f>'ING. REALES'!#REF!</f>
        <v>#REF!</v>
      </c>
      <c r="L27" s="207" t="e">
        <f>'ING. REALES'!#REF!</f>
        <v>#REF!</v>
      </c>
      <c r="M27" s="207" t="e">
        <f>'ING. REALES'!#REF!</f>
        <v>#REF!</v>
      </c>
      <c r="N27" s="207" t="e">
        <f>'ING. REALES'!#REF!</f>
        <v>#REF!</v>
      </c>
      <c r="O27" s="207" t="e">
        <f>'ING. REALES'!#REF!</f>
        <v>#REF!</v>
      </c>
      <c r="P27" s="134" t="e">
        <f t="shared" si="8"/>
        <v>#REF!</v>
      </c>
      <c r="Q27" s="199" t="e">
        <f t="shared" si="2"/>
        <v>#REF!</v>
      </c>
    </row>
    <row r="28" spans="1:17" x14ac:dyDescent="0.2">
      <c r="A28" s="29">
        <v>12117</v>
      </c>
      <c r="B28" s="404" t="s">
        <v>521</v>
      </c>
      <c r="C28" s="207">
        <f>'ING. REALES'!L28</f>
        <v>372.24</v>
      </c>
      <c r="D28" s="207" t="e">
        <f>'ING. REALES'!#REF!</f>
        <v>#REF!</v>
      </c>
      <c r="E28" s="207" t="e">
        <f>'ING. REALES'!#REF!</f>
        <v>#REF!</v>
      </c>
      <c r="F28" s="207" t="e">
        <f>'ING. REALES'!#REF!</f>
        <v>#REF!</v>
      </c>
      <c r="G28" s="207" t="e">
        <f>'ING. REALES'!#REF!</f>
        <v>#REF!</v>
      </c>
      <c r="H28" s="207" t="e">
        <f>'ING. REALES'!#REF!</f>
        <v>#REF!</v>
      </c>
      <c r="I28" s="207" t="e">
        <f>'ING. REALES'!#REF!</f>
        <v>#REF!</v>
      </c>
      <c r="J28" s="207" t="e">
        <f>'ING. REALES'!#REF!</f>
        <v>#REF!</v>
      </c>
      <c r="K28" s="207" t="e">
        <f>'ING. REALES'!#REF!</f>
        <v>#REF!</v>
      </c>
      <c r="L28" s="207" t="e">
        <f>'ING. REALES'!#REF!</f>
        <v>#REF!</v>
      </c>
      <c r="M28" s="207" t="e">
        <f>'ING. REALES'!#REF!</f>
        <v>#REF!</v>
      </c>
      <c r="N28" s="207" t="e">
        <f>'ING. REALES'!#REF!</f>
        <v>#REF!</v>
      </c>
      <c r="O28" s="207" t="e">
        <f>'ING. REALES'!#REF!</f>
        <v>#REF!</v>
      </c>
      <c r="P28" s="134" t="e">
        <f t="shared" si="8"/>
        <v>#REF!</v>
      </c>
      <c r="Q28" s="199" t="e">
        <f t="shared" si="2"/>
        <v>#REF!</v>
      </c>
    </row>
    <row r="29" spans="1:17" x14ac:dyDescent="0.2">
      <c r="A29" s="29">
        <v>12118</v>
      </c>
      <c r="B29" s="404" t="s">
        <v>522</v>
      </c>
      <c r="C29" s="207">
        <f>'ING. REALES'!L29</f>
        <v>71630.64</v>
      </c>
      <c r="D29" s="207" t="e">
        <f>'ING. REALES'!#REF!</f>
        <v>#REF!</v>
      </c>
      <c r="E29" s="207" t="e">
        <f>'ING. REALES'!#REF!</f>
        <v>#REF!</v>
      </c>
      <c r="F29" s="207" t="e">
        <f>'ING. REALES'!#REF!</f>
        <v>#REF!</v>
      </c>
      <c r="G29" s="207" t="e">
        <f>'ING. REALES'!#REF!</f>
        <v>#REF!</v>
      </c>
      <c r="H29" s="207" t="e">
        <f>'ING. REALES'!#REF!</f>
        <v>#REF!</v>
      </c>
      <c r="I29" s="207" t="e">
        <f>'ING. REALES'!#REF!</f>
        <v>#REF!</v>
      </c>
      <c r="J29" s="207" t="e">
        <f>'ING. REALES'!#REF!</f>
        <v>#REF!</v>
      </c>
      <c r="K29" s="207" t="e">
        <f>'ING. REALES'!#REF!</f>
        <v>#REF!</v>
      </c>
      <c r="L29" s="207" t="e">
        <f>'ING. REALES'!#REF!</f>
        <v>#REF!</v>
      </c>
      <c r="M29" s="207" t="e">
        <f>'ING. REALES'!#REF!</f>
        <v>#REF!</v>
      </c>
      <c r="N29" s="207" t="e">
        <f>'ING. REALES'!#REF!</f>
        <v>#REF!</v>
      </c>
      <c r="O29" s="207" t="e">
        <f>'ING. REALES'!#REF!</f>
        <v>#REF!</v>
      </c>
      <c r="P29" s="134" t="e">
        <f t="shared" si="8"/>
        <v>#REF!</v>
      </c>
      <c r="Q29" s="199" t="e">
        <f t="shared" si="2"/>
        <v>#REF!</v>
      </c>
    </row>
    <row r="30" spans="1:17" x14ac:dyDescent="0.2">
      <c r="A30" s="29">
        <v>12119</v>
      </c>
      <c r="B30" s="404" t="s">
        <v>523</v>
      </c>
      <c r="C30" s="207">
        <f>'ING. REALES'!L30</f>
        <v>10</v>
      </c>
      <c r="D30" s="207" t="e">
        <f>'ING. REALES'!#REF!</f>
        <v>#REF!</v>
      </c>
      <c r="E30" s="207" t="e">
        <f>'ING. REALES'!#REF!</f>
        <v>#REF!</v>
      </c>
      <c r="F30" s="207" t="e">
        <f>'ING. REALES'!#REF!</f>
        <v>#REF!</v>
      </c>
      <c r="G30" s="207" t="e">
        <f>'ING. REALES'!#REF!</f>
        <v>#REF!</v>
      </c>
      <c r="H30" s="207" t="e">
        <f>'ING. REALES'!#REF!</f>
        <v>#REF!</v>
      </c>
      <c r="I30" s="207" t="e">
        <f>'ING. REALES'!#REF!</f>
        <v>#REF!</v>
      </c>
      <c r="J30" s="207" t="e">
        <f>'ING. REALES'!#REF!</f>
        <v>#REF!</v>
      </c>
      <c r="K30" s="207" t="e">
        <f>'ING. REALES'!#REF!</f>
        <v>#REF!</v>
      </c>
      <c r="L30" s="207" t="e">
        <f>'ING. REALES'!#REF!</f>
        <v>#REF!</v>
      </c>
      <c r="M30" s="207" t="e">
        <f>'ING. REALES'!#REF!</f>
        <v>#REF!</v>
      </c>
      <c r="N30" s="207" t="e">
        <f>'ING. REALES'!#REF!</f>
        <v>#REF!</v>
      </c>
      <c r="O30" s="207" t="e">
        <f>'ING. REALES'!#REF!</f>
        <v>#REF!</v>
      </c>
      <c r="P30" s="134" t="e">
        <f t="shared" si="8"/>
        <v>#REF!</v>
      </c>
      <c r="Q30" s="199" t="e">
        <f t="shared" si="2"/>
        <v>#REF!</v>
      </c>
    </row>
    <row r="31" spans="1:17" x14ac:dyDescent="0.2">
      <c r="A31" s="29">
        <v>12199</v>
      </c>
      <c r="B31" s="404" t="s">
        <v>524</v>
      </c>
      <c r="C31" s="207">
        <f>'ING. REALES'!L31</f>
        <v>3000</v>
      </c>
      <c r="D31" s="207" t="e">
        <f>'ING. REALES'!#REF!</f>
        <v>#REF!</v>
      </c>
      <c r="E31" s="207" t="e">
        <f>'ING. REALES'!#REF!</f>
        <v>#REF!</v>
      </c>
      <c r="F31" s="207" t="e">
        <f>'ING. REALES'!#REF!</f>
        <v>#REF!</v>
      </c>
      <c r="G31" s="207" t="e">
        <f>'ING. REALES'!#REF!</f>
        <v>#REF!</v>
      </c>
      <c r="H31" s="207" t="e">
        <f>'ING. REALES'!#REF!</f>
        <v>#REF!</v>
      </c>
      <c r="I31" s="207" t="e">
        <f>'ING. REALES'!#REF!</f>
        <v>#REF!</v>
      </c>
      <c r="J31" s="207" t="e">
        <f>'ING. REALES'!#REF!</f>
        <v>#REF!</v>
      </c>
      <c r="K31" s="207" t="e">
        <f>'ING. REALES'!#REF!</f>
        <v>#REF!</v>
      </c>
      <c r="L31" s="207" t="e">
        <f>'ING. REALES'!#REF!</f>
        <v>#REF!</v>
      </c>
      <c r="M31" s="207" t="e">
        <f>'ING. REALES'!#REF!</f>
        <v>#REF!</v>
      </c>
      <c r="N31" s="207" t="e">
        <f>'ING. REALES'!#REF!</f>
        <v>#REF!</v>
      </c>
      <c r="O31" s="207" t="e">
        <f>'ING. REALES'!#REF!</f>
        <v>#REF!</v>
      </c>
      <c r="P31" s="133" t="e">
        <f t="shared" ref="P31" si="9">SUM(P32:P33)</f>
        <v>#REF!</v>
      </c>
      <c r="Q31" s="199" t="e">
        <f t="shared" si="2"/>
        <v>#REF!</v>
      </c>
    </row>
    <row r="32" spans="1:17" x14ac:dyDescent="0.2">
      <c r="A32" s="36">
        <v>122</v>
      </c>
      <c r="B32" s="403" t="s">
        <v>335</v>
      </c>
      <c r="C32" s="206">
        <f>SUM(C33:C34)</f>
        <v>101</v>
      </c>
      <c r="D32" s="206" t="e">
        <f>SUM(D33:D34)</f>
        <v>#REF!</v>
      </c>
      <c r="E32" s="206" t="e">
        <f t="shared" ref="E32:O32" si="10">SUM(E33:E34)</f>
        <v>#REF!</v>
      </c>
      <c r="F32" s="206" t="e">
        <f t="shared" si="10"/>
        <v>#REF!</v>
      </c>
      <c r="G32" s="206" t="e">
        <f t="shared" si="10"/>
        <v>#REF!</v>
      </c>
      <c r="H32" s="206" t="e">
        <f t="shared" si="10"/>
        <v>#REF!</v>
      </c>
      <c r="I32" s="206" t="e">
        <f t="shared" si="10"/>
        <v>#REF!</v>
      </c>
      <c r="J32" s="206" t="e">
        <f t="shared" si="10"/>
        <v>#REF!</v>
      </c>
      <c r="K32" s="206" t="e">
        <f t="shared" si="10"/>
        <v>#REF!</v>
      </c>
      <c r="L32" s="206" t="e">
        <f t="shared" si="10"/>
        <v>#REF!</v>
      </c>
      <c r="M32" s="206" t="e">
        <f t="shared" si="10"/>
        <v>#REF!</v>
      </c>
      <c r="N32" s="206" t="e">
        <f t="shared" si="10"/>
        <v>#REF!</v>
      </c>
      <c r="O32" s="206" t="e">
        <f t="shared" si="10"/>
        <v>#REF!</v>
      </c>
      <c r="P32" s="134" t="e">
        <f t="shared" si="8"/>
        <v>#REF!</v>
      </c>
      <c r="Q32" s="199" t="e">
        <f t="shared" si="2"/>
        <v>#REF!</v>
      </c>
    </row>
    <row r="33" spans="1:17" x14ac:dyDescent="0.2">
      <c r="A33" s="29">
        <v>12210</v>
      </c>
      <c r="B33" s="404" t="s">
        <v>525</v>
      </c>
      <c r="C33" s="207">
        <f>'ING. REALES'!L33</f>
        <v>100</v>
      </c>
      <c r="D33" s="207" t="e">
        <f>'ING. REALES'!#REF!</f>
        <v>#REF!</v>
      </c>
      <c r="E33" s="207" t="e">
        <f>'ING. REALES'!#REF!</f>
        <v>#REF!</v>
      </c>
      <c r="F33" s="207" t="e">
        <f>'ING. REALES'!#REF!</f>
        <v>#REF!</v>
      </c>
      <c r="G33" s="207" t="e">
        <f>'ING. REALES'!#REF!</f>
        <v>#REF!</v>
      </c>
      <c r="H33" s="207" t="e">
        <f>'ING. REALES'!#REF!</f>
        <v>#REF!</v>
      </c>
      <c r="I33" s="207" t="e">
        <f>'ING. REALES'!#REF!</f>
        <v>#REF!</v>
      </c>
      <c r="J33" s="207" t="e">
        <f>'ING. REALES'!#REF!</f>
        <v>#REF!</v>
      </c>
      <c r="K33" s="207" t="e">
        <f>'ING. REALES'!#REF!</f>
        <v>#REF!</v>
      </c>
      <c r="L33" s="207" t="e">
        <f>'ING. REALES'!#REF!</f>
        <v>#REF!</v>
      </c>
      <c r="M33" s="207" t="e">
        <f>'ING. REALES'!#REF!</f>
        <v>#REF!</v>
      </c>
      <c r="N33" s="207" t="e">
        <f>'ING. REALES'!#REF!</f>
        <v>#REF!</v>
      </c>
      <c r="O33" s="207" t="e">
        <f>'ING. REALES'!#REF!</f>
        <v>#REF!</v>
      </c>
      <c r="P33" s="134" t="e">
        <f t="shared" si="8"/>
        <v>#REF!</v>
      </c>
      <c r="Q33" s="199" t="e">
        <f t="shared" si="2"/>
        <v>#REF!</v>
      </c>
    </row>
    <row r="34" spans="1:17" x14ac:dyDescent="0.2">
      <c r="A34" s="29">
        <v>12211</v>
      </c>
      <c r="B34" s="404" t="s">
        <v>526</v>
      </c>
      <c r="C34" s="207">
        <f>'ING. REALES'!L34</f>
        <v>1</v>
      </c>
      <c r="D34" s="207" t="e">
        <f>'ING. REALES'!#REF!</f>
        <v>#REF!</v>
      </c>
      <c r="E34" s="207" t="e">
        <f>'ING. REALES'!#REF!</f>
        <v>#REF!</v>
      </c>
      <c r="F34" s="207" t="e">
        <f>'ING. REALES'!#REF!</f>
        <v>#REF!</v>
      </c>
      <c r="G34" s="207" t="e">
        <f>'ING. REALES'!#REF!</f>
        <v>#REF!</v>
      </c>
      <c r="H34" s="207" t="e">
        <f>'ING. REALES'!#REF!</f>
        <v>#REF!</v>
      </c>
      <c r="I34" s="207" t="e">
        <f>'ING. REALES'!#REF!</f>
        <v>#REF!</v>
      </c>
      <c r="J34" s="207" t="e">
        <f>'ING. REALES'!#REF!</f>
        <v>#REF!</v>
      </c>
      <c r="K34" s="207" t="e">
        <f>'ING. REALES'!#REF!</f>
        <v>#REF!</v>
      </c>
      <c r="L34" s="207" t="e">
        <f>'ING. REALES'!#REF!</f>
        <v>#REF!</v>
      </c>
      <c r="M34" s="207" t="e">
        <f>'ING. REALES'!#REF!</f>
        <v>#REF!</v>
      </c>
      <c r="N34" s="207" t="e">
        <f>'ING. REALES'!#REF!</f>
        <v>#REF!</v>
      </c>
      <c r="O34" s="207" t="e">
        <f>'ING. REALES'!#REF!</f>
        <v>#REF!</v>
      </c>
      <c r="P34" s="133" t="e">
        <f t="shared" ref="P34" si="11">+P35</f>
        <v>#REF!</v>
      </c>
      <c r="Q34" s="199" t="e">
        <f t="shared" si="2"/>
        <v>#REF!</v>
      </c>
    </row>
    <row r="35" spans="1:17" x14ac:dyDescent="0.2">
      <c r="A35" s="36">
        <v>14</v>
      </c>
      <c r="B35" s="403" t="s">
        <v>8</v>
      </c>
      <c r="C35" s="206">
        <f>C36</f>
        <v>170238.56</v>
      </c>
      <c r="D35" s="206" t="e">
        <f>D36</f>
        <v>#REF!</v>
      </c>
      <c r="E35" s="206" t="e">
        <f t="shared" ref="E35:O35" si="12">E36</f>
        <v>#REF!</v>
      </c>
      <c r="F35" s="206" t="e">
        <f t="shared" si="12"/>
        <v>#REF!</v>
      </c>
      <c r="G35" s="206" t="e">
        <f t="shared" si="12"/>
        <v>#REF!</v>
      </c>
      <c r="H35" s="206" t="e">
        <f t="shared" si="12"/>
        <v>#REF!</v>
      </c>
      <c r="I35" s="206" t="e">
        <f t="shared" si="12"/>
        <v>#REF!</v>
      </c>
      <c r="J35" s="206" t="e">
        <f t="shared" si="12"/>
        <v>#REF!</v>
      </c>
      <c r="K35" s="206" t="e">
        <f t="shared" si="12"/>
        <v>#REF!</v>
      </c>
      <c r="L35" s="206" t="e">
        <f t="shared" si="12"/>
        <v>#REF!</v>
      </c>
      <c r="M35" s="206" t="e">
        <f t="shared" si="12"/>
        <v>#REF!</v>
      </c>
      <c r="N35" s="206" t="e">
        <f t="shared" si="12"/>
        <v>#REF!</v>
      </c>
      <c r="O35" s="206" t="e">
        <f t="shared" si="12"/>
        <v>#REF!</v>
      </c>
      <c r="P35" s="133" t="e">
        <f t="shared" ref="P35" si="13">SUM(P36:P37)</f>
        <v>#REF!</v>
      </c>
      <c r="Q35" s="199" t="e">
        <f t="shared" si="2"/>
        <v>#REF!</v>
      </c>
    </row>
    <row r="36" spans="1:17" x14ac:dyDescent="0.2">
      <c r="A36" s="36">
        <v>142</v>
      </c>
      <c r="B36" s="403" t="s">
        <v>446</v>
      </c>
      <c r="C36" s="206">
        <f>SUM(C37:C38)</f>
        <v>170238.56</v>
      </c>
      <c r="D36" s="206" t="e">
        <f>SUM(D37:D38)</f>
        <v>#REF!</v>
      </c>
      <c r="E36" s="206" t="e">
        <f t="shared" ref="E36:O36" si="14">SUM(E37:E38)</f>
        <v>#REF!</v>
      </c>
      <c r="F36" s="206" t="e">
        <f t="shared" si="14"/>
        <v>#REF!</v>
      </c>
      <c r="G36" s="206" t="e">
        <f t="shared" si="14"/>
        <v>#REF!</v>
      </c>
      <c r="H36" s="206" t="e">
        <f t="shared" si="14"/>
        <v>#REF!</v>
      </c>
      <c r="I36" s="206" t="e">
        <f t="shared" si="14"/>
        <v>#REF!</v>
      </c>
      <c r="J36" s="206" t="e">
        <f t="shared" si="14"/>
        <v>#REF!</v>
      </c>
      <c r="K36" s="206" t="e">
        <f t="shared" si="14"/>
        <v>#REF!</v>
      </c>
      <c r="L36" s="206" t="e">
        <f t="shared" si="14"/>
        <v>#REF!</v>
      </c>
      <c r="M36" s="206" t="e">
        <f t="shared" si="14"/>
        <v>#REF!</v>
      </c>
      <c r="N36" s="206" t="e">
        <f t="shared" si="14"/>
        <v>#REF!</v>
      </c>
      <c r="O36" s="206" t="e">
        <f t="shared" si="14"/>
        <v>#REF!</v>
      </c>
      <c r="P36" s="134" t="e">
        <f t="shared" ref="P36:P37" si="15">SUM(D36:O36)</f>
        <v>#REF!</v>
      </c>
      <c r="Q36" s="199" t="e">
        <f t="shared" si="2"/>
        <v>#REF!</v>
      </c>
    </row>
    <row r="37" spans="1:17" x14ac:dyDescent="0.2">
      <c r="A37" s="29">
        <v>14201</v>
      </c>
      <c r="B37" s="404" t="s">
        <v>527</v>
      </c>
      <c r="C37" s="207">
        <f>'ING. REALES'!L37</f>
        <v>165238.56</v>
      </c>
      <c r="D37" s="207" t="e">
        <f>'ING. REALES'!#REF!</f>
        <v>#REF!</v>
      </c>
      <c r="E37" s="207" t="e">
        <f>'ING. REALES'!#REF!</f>
        <v>#REF!</v>
      </c>
      <c r="F37" s="207" t="e">
        <f>'ING. REALES'!#REF!</f>
        <v>#REF!</v>
      </c>
      <c r="G37" s="207" t="e">
        <f>'ING. REALES'!#REF!</f>
        <v>#REF!</v>
      </c>
      <c r="H37" s="207" t="e">
        <f>'ING. REALES'!#REF!</f>
        <v>#REF!</v>
      </c>
      <c r="I37" s="207" t="e">
        <f>'ING. REALES'!#REF!</f>
        <v>#REF!</v>
      </c>
      <c r="J37" s="207" t="e">
        <f>'ING. REALES'!#REF!</f>
        <v>#REF!</v>
      </c>
      <c r="K37" s="207" t="e">
        <f>'ING. REALES'!#REF!</f>
        <v>#REF!</v>
      </c>
      <c r="L37" s="207" t="e">
        <f>'ING. REALES'!#REF!</f>
        <v>#REF!</v>
      </c>
      <c r="M37" s="207" t="e">
        <f>'ING. REALES'!#REF!</f>
        <v>#REF!</v>
      </c>
      <c r="N37" s="207" t="e">
        <f>'ING. REALES'!#REF!</f>
        <v>#REF!</v>
      </c>
      <c r="O37" s="207" t="e">
        <f>'ING. REALES'!#REF!</f>
        <v>#REF!</v>
      </c>
      <c r="P37" s="134" t="e">
        <f t="shared" si="15"/>
        <v>#REF!</v>
      </c>
      <c r="Q37" s="199" t="e">
        <f t="shared" si="2"/>
        <v>#REF!</v>
      </c>
    </row>
    <row r="38" spans="1:17" x14ac:dyDescent="0.2">
      <c r="A38" s="29">
        <v>14299</v>
      </c>
      <c r="B38" s="404" t="s">
        <v>528</v>
      </c>
      <c r="C38" s="207">
        <f>'ING. REALES'!L38</f>
        <v>5000</v>
      </c>
      <c r="D38" s="207" t="e">
        <f>'ING. REALES'!#REF!</f>
        <v>#REF!</v>
      </c>
      <c r="E38" s="207" t="e">
        <f>'ING. REALES'!#REF!</f>
        <v>#REF!</v>
      </c>
      <c r="F38" s="207" t="e">
        <f>'ING. REALES'!#REF!</f>
        <v>#REF!</v>
      </c>
      <c r="G38" s="207" t="e">
        <f>'ING. REALES'!#REF!</f>
        <v>#REF!</v>
      </c>
      <c r="H38" s="207" t="e">
        <f>'ING. REALES'!#REF!</f>
        <v>#REF!</v>
      </c>
      <c r="I38" s="207" t="e">
        <f>'ING. REALES'!#REF!</f>
        <v>#REF!</v>
      </c>
      <c r="J38" s="207" t="e">
        <f>'ING. REALES'!#REF!</f>
        <v>#REF!</v>
      </c>
      <c r="K38" s="207" t="e">
        <f>'ING. REALES'!#REF!</f>
        <v>#REF!</v>
      </c>
      <c r="L38" s="207" t="e">
        <f>'ING. REALES'!#REF!</f>
        <v>#REF!</v>
      </c>
      <c r="M38" s="207" t="e">
        <f>'ING. REALES'!#REF!</f>
        <v>#REF!</v>
      </c>
      <c r="N38" s="207" t="e">
        <f>'ING. REALES'!#REF!</f>
        <v>#REF!</v>
      </c>
      <c r="O38" s="207" t="e">
        <f>'ING. REALES'!#REF!</f>
        <v>#REF!</v>
      </c>
      <c r="P38" s="133" t="e">
        <f t="shared" ref="P38" si="16">P41+P47+P49</f>
        <v>#REF!</v>
      </c>
      <c r="Q38" s="199" t="e">
        <f t="shared" si="2"/>
        <v>#REF!</v>
      </c>
    </row>
    <row r="39" spans="1:17" x14ac:dyDescent="0.2">
      <c r="A39" s="36">
        <v>15</v>
      </c>
      <c r="B39" s="403" t="s">
        <v>9</v>
      </c>
      <c r="C39" s="206">
        <f>C40+C42+C50</f>
        <v>8505.7199999999993</v>
      </c>
      <c r="D39" s="206" t="e">
        <f>D40+D42+D50</f>
        <v>#REF!</v>
      </c>
      <c r="E39" s="206" t="e">
        <f t="shared" ref="E39:O39" si="17">E40+E42+E50</f>
        <v>#REF!</v>
      </c>
      <c r="F39" s="206" t="e">
        <f t="shared" si="17"/>
        <v>#REF!</v>
      </c>
      <c r="G39" s="206" t="e">
        <f t="shared" si="17"/>
        <v>#REF!</v>
      </c>
      <c r="H39" s="206" t="e">
        <f t="shared" si="17"/>
        <v>#REF!</v>
      </c>
      <c r="I39" s="206" t="e">
        <f t="shared" si="17"/>
        <v>#REF!</v>
      </c>
      <c r="J39" s="206" t="e">
        <f t="shared" si="17"/>
        <v>#REF!</v>
      </c>
      <c r="K39" s="206" t="e">
        <f t="shared" si="17"/>
        <v>#REF!</v>
      </c>
      <c r="L39" s="206" t="e">
        <f t="shared" si="17"/>
        <v>#REF!</v>
      </c>
      <c r="M39" s="206" t="e">
        <f t="shared" si="17"/>
        <v>#REF!</v>
      </c>
      <c r="N39" s="206" t="e">
        <f t="shared" si="17"/>
        <v>#REF!</v>
      </c>
      <c r="O39" s="206" t="e">
        <f t="shared" si="17"/>
        <v>#REF!</v>
      </c>
      <c r="P39" s="133">
        <f t="shared" ref="P39" si="18">SUM(P40)</f>
        <v>0</v>
      </c>
      <c r="Q39" s="199">
        <f t="shared" si="2"/>
        <v>8505.7199999999993</v>
      </c>
    </row>
    <row r="40" spans="1:17" x14ac:dyDescent="0.2">
      <c r="A40" s="36">
        <v>151</v>
      </c>
      <c r="B40" s="403" t="s">
        <v>10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134"/>
      <c r="Q40" s="199">
        <f t="shared" si="2"/>
        <v>0</v>
      </c>
    </row>
    <row r="41" spans="1:17" x14ac:dyDescent="0.2">
      <c r="A41" s="29">
        <v>15105</v>
      </c>
      <c r="B41" s="404" t="s">
        <v>529</v>
      </c>
      <c r="C41" s="401">
        <v>0</v>
      </c>
      <c r="D41" s="401">
        <v>0</v>
      </c>
      <c r="E41" s="401">
        <v>0</v>
      </c>
      <c r="F41" s="401">
        <v>0</v>
      </c>
      <c r="G41" s="401">
        <v>0</v>
      </c>
      <c r="H41" s="401">
        <v>0</v>
      </c>
      <c r="I41" s="401">
        <v>0</v>
      </c>
      <c r="J41" s="401">
        <v>0</v>
      </c>
      <c r="K41" s="401">
        <v>0</v>
      </c>
      <c r="L41" s="401">
        <v>0</v>
      </c>
      <c r="M41" s="401">
        <v>0</v>
      </c>
      <c r="N41" s="401">
        <v>0</v>
      </c>
      <c r="O41" s="401">
        <v>0</v>
      </c>
      <c r="P41" s="133" t="e">
        <f>SUM(P42:P45)</f>
        <v>#REF!</v>
      </c>
      <c r="Q41" s="199" t="e">
        <f t="shared" si="2"/>
        <v>#REF!</v>
      </c>
    </row>
    <row r="42" spans="1:17" x14ac:dyDescent="0.2">
      <c r="A42" s="36">
        <v>153</v>
      </c>
      <c r="B42" s="403" t="s">
        <v>10</v>
      </c>
      <c r="C42" s="206">
        <f>SUM(C43:C49)</f>
        <v>8505.7199999999993</v>
      </c>
      <c r="D42" s="206" t="e">
        <f>SUM(D43:D49)</f>
        <v>#REF!</v>
      </c>
      <c r="E42" s="206" t="e">
        <f t="shared" ref="E42:O42" si="19">SUM(E43:E49)</f>
        <v>#REF!</v>
      </c>
      <c r="F42" s="206" t="e">
        <f t="shared" si="19"/>
        <v>#REF!</v>
      </c>
      <c r="G42" s="206" t="e">
        <f t="shared" si="19"/>
        <v>#REF!</v>
      </c>
      <c r="H42" s="206" t="e">
        <f t="shared" si="19"/>
        <v>#REF!</v>
      </c>
      <c r="I42" s="206" t="e">
        <f t="shared" si="19"/>
        <v>#REF!</v>
      </c>
      <c r="J42" s="206" t="e">
        <f t="shared" si="19"/>
        <v>#REF!</v>
      </c>
      <c r="K42" s="206" t="e">
        <f t="shared" si="19"/>
        <v>#REF!</v>
      </c>
      <c r="L42" s="206" t="e">
        <f t="shared" si="19"/>
        <v>#REF!</v>
      </c>
      <c r="M42" s="206" t="e">
        <f t="shared" si="19"/>
        <v>#REF!</v>
      </c>
      <c r="N42" s="206" t="e">
        <f t="shared" si="19"/>
        <v>#REF!</v>
      </c>
      <c r="O42" s="206" t="e">
        <f t="shared" si="19"/>
        <v>#REF!</v>
      </c>
      <c r="P42" s="134" t="e">
        <f t="shared" ref="P42:P45" si="20">SUM(D42:O42)</f>
        <v>#REF!</v>
      </c>
      <c r="Q42" s="199" t="e">
        <f t="shared" si="2"/>
        <v>#REF!</v>
      </c>
    </row>
    <row r="43" spans="1:17" x14ac:dyDescent="0.2">
      <c r="A43" s="29">
        <v>15301</v>
      </c>
      <c r="B43" s="404" t="s">
        <v>530</v>
      </c>
      <c r="C43" s="207">
        <f>'ING. REALES'!L43</f>
        <v>7500</v>
      </c>
      <c r="D43" s="207" t="e">
        <f>'ING. REALES'!#REF!</f>
        <v>#REF!</v>
      </c>
      <c r="E43" s="207" t="e">
        <f>'ING. REALES'!#REF!</f>
        <v>#REF!</v>
      </c>
      <c r="F43" s="207" t="e">
        <f>'ING. REALES'!#REF!</f>
        <v>#REF!</v>
      </c>
      <c r="G43" s="207" t="e">
        <f>'ING. REALES'!#REF!</f>
        <v>#REF!</v>
      </c>
      <c r="H43" s="207" t="e">
        <f>'ING. REALES'!#REF!</f>
        <v>#REF!</v>
      </c>
      <c r="I43" s="207" t="e">
        <f>'ING. REALES'!#REF!</f>
        <v>#REF!</v>
      </c>
      <c r="J43" s="207" t="e">
        <f>'ING. REALES'!#REF!</f>
        <v>#REF!</v>
      </c>
      <c r="K43" s="207" t="e">
        <f>'ING. REALES'!#REF!</f>
        <v>#REF!</v>
      </c>
      <c r="L43" s="207" t="e">
        <f>'ING. REALES'!#REF!</f>
        <v>#REF!</v>
      </c>
      <c r="M43" s="207" t="e">
        <f>'ING. REALES'!#REF!</f>
        <v>#REF!</v>
      </c>
      <c r="N43" s="207" t="e">
        <f>'ING. REALES'!#REF!</f>
        <v>#REF!</v>
      </c>
      <c r="O43" s="207" t="e">
        <f>'ING. REALES'!#REF!</f>
        <v>#REF!</v>
      </c>
      <c r="P43" s="134" t="e">
        <f t="shared" si="20"/>
        <v>#REF!</v>
      </c>
      <c r="Q43" s="199" t="e">
        <f t="shared" si="2"/>
        <v>#REF!</v>
      </c>
    </row>
    <row r="44" spans="1:17" x14ac:dyDescent="0.2">
      <c r="A44" s="29">
        <v>15302</v>
      </c>
      <c r="B44" s="404" t="s">
        <v>531</v>
      </c>
      <c r="C44" s="207">
        <f>'ING. REALES'!L44</f>
        <v>1000</v>
      </c>
      <c r="D44" s="207" t="e">
        <f>'ING. REALES'!#REF!</f>
        <v>#REF!</v>
      </c>
      <c r="E44" s="207" t="e">
        <f>'ING. REALES'!#REF!</f>
        <v>#REF!</v>
      </c>
      <c r="F44" s="207" t="e">
        <f>'ING. REALES'!#REF!</f>
        <v>#REF!</v>
      </c>
      <c r="G44" s="207" t="e">
        <f>'ING. REALES'!#REF!</f>
        <v>#REF!</v>
      </c>
      <c r="H44" s="207" t="e">
        <f>'ING. REALES'!#REF!</f>
        <v>#REF!</v>
      </c>
      <c r="I44" s="207" t="e">
        <f>'ING. REALES'!#REF!</f>
        <v>#REF!</v>
      </c>
      <c r="J44" s="207" t="e">
        <f>'ING. REALES'!#REF!</f>
        <v>#REF!</v>
      </c>
      <c r="K44" s="207" t="e">
        <f>'ING. REALES'!#REF!</f>
        <v>#REF!</v>
      </c>
      <c r="L44" s="207" t="e">
        <f>'ING. REALES'!#REF!</f>
        <v>#REF!</v>
      </c>
      <c r="M44" s="207" t="e">
        <f>'ING. REALES'!#REF!</f>
        <v>#REF!</v>
      </c>
      <c r="N44" s="207" t="e">
        <f>'ING. REALES'!#REF!</f>
        <v>#REF!</v>
      </c>
      <c r="O44" s="207" t="e">
        <f>'ING. REALES'!#REF!</f>
        <v>#REF!</v>
      </c>
      <c r="P44" s="134" t="e">
        <f t="shared" si="20"/>
        <v>#REF!</v>
      </c>
      <c r="Q44" s="199" t="e">
        <f t="shared" si="2"/>
        <v>#REF!</v>
      </c>
    </row>
    <row r="45" spans="1:17" x14ac:dyDescent="0.2">
      <c r="A45" s="29">
        <v>15310</v>
      </c>
      <c r="B45" s="404" t="s">
        <v>532</v>
      </c>
      <c r="C45" s="207">
        <f>'ING. REALES'!L45</f>
        <v>0</v>
      </c>
      <c r="D45" s="207" t="e">
        <f>'ING. REALES'!#REF!</f>
        <v>#REF!</v>
      </c>
      <c r="E45" s="207" t="e">
        <f>'ING. REALES'!#REF!</f>
        <v>#REF!</v>
      </c>
      <c r="F45" s="207" t="e">
        <f>'ING. REALES'!#REF!</f>
        <v>#REF!</v>
      </c>
      <c r="G45" s="207" t="e">
        <f>'ING. REALES'!#REF!</f>
        <v>#REF!</v>
      </c>
      <c r="H45" s="207" t="e">
        <f>'ING. REALES'!#REF!</f>
        <v>#REF!</v>
      </c>
      <c r="I45" s="207" t="e">
        <f>'ING. REALES'!#REF!</f>
        <v>#REF!</v>
      </c>
      <c r="J45" s="207" t="e">
        <f>'ING. REALES'!#REF!</f>
        <v>#REF!</v>
      </c>
      <c r="K45" s="207" t="e">
        <f>'ING. REALES'!#REF!</f>
        <v>#REF!</v>
      </c>
      <c r="L45" s="207" t="e">
        <f>'ING. REALES'!#REF!</f>
        <v>#REF!</v>
      </c>
      <c r="M45" s="207" t="e">
        <f>'ING. REALES'!#REF!</f>
        <v>#REF!</v>
      </c>
      <c r="N45" s="207" t="e">
        <f>'ING. REALES'!#REF!</f>
        <v>#REF!</v>
      </c>
      <c r="O45" s="207" t="e">
        <f>'ING. REALES'!#REF!</f>
        <v>#REF!</v>
      </c>
      <c r="P45" s="134" t="e">
        <f t="shared" si="20"/>
        <v>#REF!</v>
      </c>
      <c r="Q45" s="199" t="e">
        <f t="shared" si="2"/>
        <v>#REF!</v>
      </c>
    </row>
    <row r="46" spans="1:17" ht="13.5" customHeight="1" x14ac:dyDescent="0.2">
      <c r="A46" s="29">
        <v>15312</v>
      </c>
      <c r="B46" s="404" t="s">
        <v>533</v>
      </c>
      <c r="C46" s="207">
        <f>'ING. REALES'!L46</f>
        <v>5.72</v>
      </c>
      <c r="D46" s="207" t="e">
        <f>'ING. REALES'!#REF!</f>
        <v>#REF!</v>
      </c>
      <c r="E46" s="207" t="e">
        <f>'ING. REALES'!#REF!</f>
        <v>#REF!</v>
      </c>
      <c r="F46" s="207" t="e">
        <f>'ING. REALES'!#REF!</f>
        <v>#REF!</v>
      </c>
      <c r="G46" s="207" t="e">
        <f>'ING. REALES'!#REF!</f>
        <v>#REF!</v>
      </c>
      <c r="H46" s="207" t="e">
        <f>'ING. REALES'!#REF!</f>
        <v>#REF!</v>
      </c>
      <c r="I46" s="207" t="e">
        <f>'ING. REALES'!#REF!</f>
        <v>#REF!</v>
      </c>
      <c r="J46" s="207" t="e">
        <f>'ING. REALES'!#REF!</f>
        <v>#REF!</v>
      </c>
      <c r="K46" s="207" t="e">
        <f>'ING. REALES'!#REF!</f>
        <v>#REF!</v>
      </c>
      <c r="L46" s="207" t="e">
        <f>'ING. REALES'!#REF!</f>
        <v>#REF!</v>
      </c>
      <c r="M46" s="207" t="e">
        <f>'ING. REALES'!#REF!</f>
        <v>#REF!</v>
      </c>
      <c r="N46" s="207" t="e">
        <f>'ING. REALES'!#REF!</f>
        <v>#REF!</v>
      </c>
      <c r="O46" s="207" t="e">
        <f>'ING. REALES'!#REF!</f>
        <v>#REF!</v>
      </c>
      <c r="P46" s="134"/>
      <c r="Q46" s="199">
        <f t="shared" si="2"/>
        <v>5.72</v>
      </c>
    </row>
    <row r="47" spans="1:17" hidden="1" x14ac:dyDescent="0.2">
      <c r="A47" s="29">
        <v>15314</v>
      </c>
      <c r="B47" s="404" t="s">
        <v>534</v>
      </c>
      <c r="C47" s="207">
        <f>'ING. REALES'!L47</f>
        <v>0</v>
      </c>
      <c r="D47" s="207" t="e">
        <f>'ING. REALES'!#REF!</f>
        <v>#REF!</v>
      </c>
      <c r="E47" s="207" t="e">
        <f>'ING. REALES'!#REF!</f>
        <v>#REF!</v>
      </c>
      <c r="F47" s="207" t="e">
        <f>'ING. REALES'!#REF!</f>
        <v>#REF!</v>
      </c>
      <c r="G47" s="207" t="e">
        <f>'ING. REALES'!#REF!</f>
        <v>#REF!</v>
      </c>
      <c r="H47" s="207" t="e">
        <f>'ING. REALES'!#REF!</f>
        <v>#REF!</v>
      </c>
      <c r="I47" s="207" t="e">
        <f>'ING. REALES'!#REF!</f>
        <v>#REF!</v>
      </c>
      <c r="J47" s="207" t="e">
        <f>'ING. REALES'!#REF!</f>
        <v>#REF!</v>
      </c>
      <c r="K47" s="207" t="e">
        <f>'ING. REALES'!#REF!</f>
        <v>#REF!</v>
      </c>
      <c r="L47" s="207" t="e">
        <f>'ING. REALES'!#REF!</f>
        <v>#REF!</v>
      </c>
      <c r="M47" s="207" t="e">
        <f>'ING. REALES'!#REF!</f>
        <v>#REF!</v>
      </c>
      <c r="N47" s="207" t="e">
        <f>'ING. REALES'!#REF!</f>
        <v>#REF!</v>
      </c>
      <c r="O47" s="207" t="e">
        <f>'ING. REALES'!#REF!</f>
        <v>#REF!</v>
      </c>
      <c r="P47" s="133"/>
      <c r="Q47" s="199">
        <f t="shared" si="2"/>
        <v>0</v>
      </c>
    </row>
    <row r="48" spans="1:17" hidden="1" x14ac:dyDescent="0.2">
      <c r="A48" s="36">
        <v>154</v>
      </c>
      <c r="B48" s="403" t="s">
        <v>430</v>
      </c>
      <c r="C48" s="207">
        <f>'ING. REALES'!L48</f>
        <v>0</v>
      </c>
      <c r="D48" s="207" t="e">
        <f>'ING. REALES'!#REF!</f>
        <v>#REF!</v>
      </c>
      <c r="E48" s="207" t="e">
        <f>'ING. REALES'!#REF!</f>
        <v>#REF!</v>
      </c>
      <c r="F48" s="207" t="e">
        <f>'ING. REALES'!#REF!</f>
        <v>#REF!</v>
      </c>
      <c r="G48" s="207" t="e">
        <f>'ING. REALES'!#REF!</f>
        <v>#REF!</v>
      </c>
      <c r="H48" s="207" t="e">
        <f>'ING. REALES'!#REF!</f>
        <v>#REF!</v>
      </c>
      <c r="I48" s="207" t="e">
        <f>'ING. REALES'!#REF!</f>
        <v>#REF!</v>
      </c>
      <c r="J48" s="207" t="e">
        <f>'ING. REALES'!#REF!</f>
        <v>#REF!</v>
      </c>
      <c r="K48" s="207" t="e">
        <f>'ING. REALES'!#REF!</f>
        <v>#REF!</v>
      </c>
      <c r="L48" s="207" t="e">
        <f>'ING. REALES'!#REF!</f>
        <v>#REF!</v>
      </c>
      <c r="M48" s="207" t="e">
        <f>'ING. REALES'!#REF!</f>
        <v>#REF!</v>
      </c>
      <c r="N48" s="207" t="e">
        <f>'ING. REALES'!#REF!</f>
        <v>#REF!</v>
      </c>
      <c r="O48" s="207" t="e">
        <f>'ING. REALES'!#REF!</f>
        <v>#REF!</v>
      </c>
      <c r="P48" s="200">
        <v>0</v>
      </c>
      <c r="Q48" s="199">
        <f t="shared" si="2"/>
        <v>0</v>
      </c>
    </row>
    <row r="49" spans="1:17" x14ac:dyDescent="0.2">
      <c r="A49" s="29">
        <v>15402</v>
      </c>
      <c r="B49" s="404" t="s">
        <v>535</v>
      </c>
      <c r="C49" s="207">
        <f>'ING. REALES'!L49</f>
        <v>0</v>
      </c>
      <c r="D49" s="207" t="e">
        <f>'ING. REALES'!#REF!</f>
        <v>#REF!</v>
      </c>
      <c r="E49" s="207" t="e">
        <f>'ING. REALES'!#REF!</f>
        <v>#REF!</v>
      </c>
      <c r="F49" s="207" t="e">
        <f>'ING. REALES'!#REF!</f>
        <v>#REF!</v>
      </c>
      <c r="G49" s="207" t="e">
        <f>'ING. REALES'!#REF!</f>
        <v>#REF!</v>
      </c>
      <c r="H49" s="207" t="e">
        <f>'ING. REALES'!#REF!</f>
        <v>#REF!</v>
      </c>
      <c r="I49" s="207" t="e">
        <f>'ING. REALES'!#REF!</f>
        <v>#REF!</v>
      </c>
      <c r="J49" s="207" t="e">
        <f>'ING. REALES'!#REF!</f>
        <v>#REF!</v>
      </c>
      <c r="K49" s="207" t="e">
        <f>'ING. REALES'!#REF!</f>
        <v>#REF!</v>
      </c>
      <c r="L49" s="207" t="e">
        <f>'ING. REALES'!#REF!</f>
        <v>#REF!</v>
      </c>
      <c r="M49" s="207" t="e">
        <f>'ING. REALES'!#REF!</f>
        <v>#REF!</v>
      </c>
      <c r="N49" s="207" t="e">
        <f>'ING. REALES'!#REF!</f>
        <v>#REF!</v>
      </c>
      <c r="O49" s="207" t="e">
        <f>'ING. REALES'!#REF!</f>
        <v>#REF!</v>
      </c>
      <c r="P49" s="133">
        <f>P50</f>
        <v>0</v>
      </c>
      <c r="Q49" s="199">
        <f t="shared" si="2"/>
        <v>0</v>
      </c>
    </row>
    <row r="50" spans="1:17" x14ac:dyDescent="0.2">
      <c r="A50" s="36">
        <v>157</v>
      </c>
      <c r="B50" s="403" t="s">
        <v>336</v>
      </c>
      <c r="C50" s="206">
        <v>0</v>
      </c>
      <c r="D50" s="206">
        <v>0</v>
      </c>
      <c r="E50" s="206">
        <v>0</v>
      </c>
      <c r="F50" s="206">
        <v>0</v>
      </c>
      <c r="G50" s="206">
        <v>0</v>
      </c>
      <c r="H50" s="206">
        <v>0</v>
      </c>
      <c r="I50" s="206">
        <v>0</v>
      </c>
      <c r="J50" s="206">
        <v>0</v>
      </c>
      <c r="K50" s="206">
        <v>0</v>
      </c>
      <c r="L50" s="206">
        <v>0</v>
      </c>
      <c r="M50" s="206">
        <v>0</v>
      </c>
      <c r="N50" s="206">
        <v>0</v>
      </c>
      <c r="O50" s="206">
        <v>0</v>
      </c>
      <c r="P50" s="134">
        <f t="shared" ref="P50" si="21">SUM(D50:O50)</f>
        <v>0</v>
      </c>
      <c r="Q50" s="199">
        <f t="shared" si="2"/>
        <v>0</v>
      </c>
    </row>
    <row r="51" spans="1:17" x14ac:dyDescent="0.2">
      <c r="A51" s="29">
        <v>15703</v>
      </c>
      <c r="B51" s="404" t="s">
        <v>536</v>
      </c>
      <c r="C51" s="401">
        <f>'ING. REALES'!L51</f>
        <v>0</v>
      </c>
      <c r="D51" s="401" t="e">
        <f>'ING. REALES'!#REF!</f>
        <v>#REF!</v>
      </c>
      <c r="E51" s="401" t="e">
        <f>'ING. REALES'!#REF!</f>
        <v>#REF!</v>
      </c>
      <c r="F51" s="401" t="e">
        <f>'ING. REALES'!#REF!</f>
        <v>#REF!</v>
      </c>
      <c r="G51" s="401" t="e">
        <f>'ING. REALES'!#REF!</f>
        <v>#REF!</v>
      </c>
      <c r="H51" s="401" t="e">
        <f>'ING. REALES'!#REF!</f>
        <v>#REF!</v>
      </c>
      <c r="I51" s="401" t="e">
        <f>'ING. REALES'!#REF!</f>
        <v>#REF!</v>
      </c>
      <c r="J51" s="401" t="e">
        <f>'ING. REALES'!#REF!</f>
        <v>#REF!</v>
      </c>
      <c r="K51" s="401" t="e">
        <f>'ING. REALES'!#REF!</f>
        <v>#REF!</v>
      </c>
      <c r="L51" s="401" t="e">
        <f>'ING. REALES'!#REF!</f>
        <v>#REF!</v>
      </c>
      <c r="M51" s="401" t="e">
        <f>'ING. REALES'!#REF!</f>
        <v>#REF!</v>
      </c>
      <c r="N51" s="401" t="e">
        <f>'ING. REALES'!#REF!</f>
        <v>#REF!</v>
      </c>
      <c r="O51" s="401" t="e">
        <f>'ING. REALES'!#REF!</f>
        <v>#REF!</v>
      </c>
      <c r="P51" s="133" t="e">
        <f t="shared" ref="P51:P52" si="22">P52</f>
        <v>#REF!</v>
      </c>
      <c r="Q51" s="199" t="e">
        <f t="shared" si="2"/>
        <v>#REF!</v>
      </c>
    </row>
    <row r="52" spans="1:17" x14ac:dyDescent="0.2">
      <c r="A52" s="36">
        <v>16</v>
      </c>
      <c r="B52" s="403" t="s">
        <v>96</v>
      </c>
      <c r="C52" s="401">
        <f>C53</f>
        <v>419935.57</v>
      </c>
      <c r="D52" s="401" t="e">
        <f>D53</f>
        <v>#REF!</v>
      </c>
      <c r="E52" s="401" t="e">
        <f t="shared" ref="E52:O52" si="23">E53</f>
        <v>#REF!</v>
      </c>
      <c r="F52" s="401" t="e">
        <f t="shared" si="23"/>
        <v>#REF!</v>
      </c>
      <c r="G52" s="401" t="e">
        <f t="shared" si="23"/>
        <v>#REF!</v>
      </c>
      <c r="H52" s="401" t="e">
        <f t="shared" si="23"/>
        <v>#REF!</v>
      </c>
      <c r="I52" s="401" t="e">
        <f t="shared" si="23"/>
        <v>#REF!</v>
      </c>
      <c r="J52" s="401" t="e">
        <f t="shared" si="23"/>
        <v>#REF!</v>
      </c>
      <c r="K52" s="401" t="e">
        <f t="shared" si="23"/>
        <v>#REF!</v>
      </c>
      <c r="L52" s="401" t="e">
        <f t="shared" si="23"/>
        <v>#REF!</v>
      </c>
      <c r="M52" s="401" t="e">
        <f t="shared" si="23"/>
        <v>#REF!</v>
      </c>
      <c r="N52" s="401" t="e">
        <f t="shared" si="23"/>
        <v>#REF!</v>
      </c>
      <c r="O52" s="401" t="e">
        <f t="shared" si="23"/>
        <v>#REF!</v>
      </c>
      <c r="P52" s="203" t="e">
        <f t="shared" si="22"/>
        <v>#REF!</v>
      </c>
      <c r="Q52" s="199" t="e">
        <f t="shared" si="2"/>
        <v>#REF!</v>
      </c>
    </row>
    <row r="53" spans="1:17" x14ac:dyDescent="0.2">
      <c r="A53" s="36">
        <v>162</v>
      </c>
      <c r="B53" s="403" t="s">
        <v>337</v>
      </c>
      <c r="C53" s="206">
        <f>SUM(C54)</f>
        <v>419935.57</v>
      </c>
      <c r="D53" s="206" t="e">
        <f>SUM(D54)</f>
        <v>#REF!</v>
      </c>
      <c r="E53" s="206" t="e">
        <f t="shared" ref="E53:O53" si="24">SUM(E54)</f>
        <v>#REF!</v>
      </c>
      <c r="F53" s="206" t="e">
        <f t="shared" si="24"/>
        <v>#REF!</v>
      </c>
      <c r="G53" s="206" t="e">
        <f t="shared" si="24"/>
        <v>#REF!</v>
      </c>
      <c r="H53" s="206" t="e">
        <f t="shared" si="24"/>
        <v>#REF!</v>
      </c>
      <c r="I53" s="206" t="e">
        <f t="shared" si="24"/>
        <v>#REF!</v>
      </c>
      <c r="J53" s="206" t="e">
        <f t="shared" si="24"/>
        <v>#REF!</v>
      </c>
      <c r="K53" s="206" t="e">
        <f t="shared" si="24"/>
        <v>#REF!</v>
      </c>
      <c r="L53" s="206" t="e">
        <f t="shared" si="24"/>
        <v>#REF!</v>
      </c>
      <c r="M53" s="206" t="e">
        <f t="shared" si="24"/>
        <v>#REF!</v>
      </c>
      <c r="N53" s="206" t="e">
        <f t="shared" si="24"/>
        <v>#REF!</v>
      </c>
      <c r="O53" s="206" t="e">
        <f t="shared" si="24"/>
        <v>#REF!</v>
      </c>
      <c r="P53" s="204" t="e">
        <f t="shared" ref="P53" si="25">SUM(D53:O53)</f>
        <v>#REF!</v>
      </c>
      <c r="Q53" s="199" t="e">
        <f t="shared" si="2"/>
        <v>#REF!</v>
      </c>
    </row>
    <row r="54" spans="1:17" x14ac:dyDescent="0.2">
      <c r="A54" s="29">
        <v>16201</v>
      </c>
      <c r="B54" s="404" t="s">
        <v>537</v>
      </c>
      <c r="C54" s="401">
        <f>'ING. REALES'!L54</f>
        <v>419935.57</v>
      </c>
      <c r="D54" s="401" t="e">
        <f>'ING. REALES'!#REF!</f>
        <v>#REF!</v>
      </c>
      <c r="E54" s="401" t="e">
        <f>'ING. REALES'!#REF!</f>
        <v>#REF!</v>
      </c>
      <c r="F54" s="401" t="e">
        <f>'ING. REALES'!#REF!</f>
        <v>#REF!</v>
      </c>
      <c r="G54" s="401" t="e">
        <f>'ING. REALES'!#REF!</f>
        <v>#REF!</v>
      </c>
      <c r="H54" s="401" t="e">
        <f>'ING. REALES'!#REF!</f>
        <v>#REF!</v>
      </c>
      <c r="I54" s="401" t="e">
        <f>'ING. REALES'!#REF!</f>
        <v>#REF!</v>
      </c>
      <c r="J54" s="401" t="e">
        <f>'ING. REALES'!#REF!</f>
        <v>#REF!</v>
      </c>
      <c r="K54" s="401" t="e">
        <f>'ING. REALES'!#REF!</f>
        <v>#REF!</v>
      </c>
      <c r="L54" s="401" t="e">
        <f>'ING. REALES'!#REF!</f>
        <v>#REF!</v>
      </c>
      <c r="M54" s="401" t="e">
        <f>'ING. REALES'!#REF!</f>
        <v>#REF!</v>
      </c>
      <c r="N54" s="401" t="e">
        <f>'ING. REALES'!#REF!</f>
        <v>#REF!</v>
      </c>
      <c r="O54" s="401" t="e">
        <f>'ING. REALES'!#REF!</f>
        <v>#REF!</v>
      </c>
      <c r="P54" s="203">
        <v>0</v>
      </c>
      <c r="Q54" s="199">
        <f t="shared" si="2"/>
        <v>419935.57</v>
      </c>
    </row>
    <row r="55" spans="1:17" x14ac:dyDescent="0.2">
      <c r="A55" s="36">
        <v>163</v>
      </c>
      <c r="B55" s="403" t="s">
        <v>538</v>
      </c>
      <c r="C55" s="207">
        <v>0</v>
      </c>
      <c r="D55" s="207">
        <v>0</v>
      </c>
      <c r="E55" s="207">
        <v>0</v>
      </c>
      <c r="F55" s="207">
        <v>0</v>
      </c>
      <c r="G55" s="207">
        <v>0</v>
      </c>
      <c r="H55" s="207">
        <v>0</v>
      </c>
      <c r="I55" s="207">
        <v>0</v>
      </c>
      <c r="J55" s="207">
        <v>0</v>
      </c>
      <c r="K55" s="207">
        <v>0</v>
      </c>
      <c r="L55" s="207">
        <v>0</v>
      </c>
      <c r="M55" s="207">
        <v>0</v>
      </c>
      <c r="N55" s="207">
        <v>0</v>
      </c>
      <c r="O55" s="207">
        <v>0</v>
      </c>
      <c r="P55" s="204">
        <v>0</v>
      </c>
      <c r="Q55" s="199">
        <f t="shared" si="2"/>
        <v>0</v>
      </c>
    </row>
    <row r="56" spans="1:17" x14ac:dyDescent="0.2">
      <c r="A56" s="29">
        <v>16304</v>
      </c>
      <c r="B56" s="404" t="s">
        <v>539</v>
      </c>
      <c r="C56" s="206">
        <v>0</v>
      </c>
      <c r="D56" s="206">
        <v>0</v>
      </c>
      <c r="E56" s="206">
        <v>0</v>
      </c>
      <c r="F56" s="206">
        <v>0</v>
      </c>
      <c r="G56" s="206">
        <v>0</v>
      </c>
      <c r="H56" s="206">
        <v>0</v>
      </c>
      <c r="I56" s="206">
        <v>0</v>
      </c>
      <c r="J56" s="206">
        <v>0</v>
      </c>
      <c r="K56" s="206">
        <v>0</v>
      </c>
      <c r="L56" s="206">
        <v>0</v>
      </c>
      <c r="M56" s="206">
        <v>0</v>
      </c>
      <c r="N56" s="206">
        <v>0</v>
      </c>
      <c r="O56" s="206">
        <v>0</v>
      </c>
      <c r="P56" s="203">
        <v>0</v>
      </c>
      <c r="Q56" s="199">
        <f t="shared" si="2"/>
        <v>0</v>
      </c>
    </row>
    <row r="57" spans="1:17" x14ac:dyDescent="0.2">
      <c r="A57" s="36">
        <v>21</v>
      </c>
      <c r="B57" s="403" t="s">
        <v>540</v>
      </c>
      <c r="C57" s="207">
        <v>0</v>
      </c>
      <c r="D57" s="207">
        <v>0</v>
      </c>
      <c r="E57" s="207">
        <v>0</v>
      </c>
      <c r="F57" s="207">
        <v>0</v>
      </c>
      <c r="G57" s="207">
        <v>0</v>
      </c>
      <c r="H57" s="207">
        <v>0</v>
      </c>
      <c r="I57" s="207">
        <v>0</v>
      </c>
      <c r="J57" s="207">
        <v>0</v>
      </c>
      <c r="K57" s="207">
        <v>0</v>
      </c>
      <c r="L57" s="207">
        <v>0</v>
      </c>
      <c r="M57" s="207">
        <v>0</v>
      </c>
      <c r="N57" s="207">
        <v>0</v>
      </c>
      <c r="O57" s="207">
        <v>0</v>
      </c>
      <c r="P57" s="204">
        <v>0</v>
      </c>
      <c r="Q57" s="199">
        <f t="shared" si="2"/>
        <v>0</v>
      </c>
    </row>
    <row r="58" spans="1:17" x14ac:dyDescent="0.2">
      <c r="A58" s="29">
        <v>212</v>
      </c>
      <c r="B58" s="404" t="s">
        <v>541</v>
      </c>
      <c r="C58" s="207">
        <v>0</v>
      </c>
      <c r="D58" s="207">
        <v>0</v>
      </c>
      <c r="E58" s="207">
        <v>0</v>
      </c>
      <c r="F58" s="207">
        <v>0</v>
      </c>
      <c r="G58" s="207">
        <v>0</v>
      </c>
      <c r="H58" s="207">
        <v>0</v>
      </c>
      <c r="I58" s="207">
        <v>0</v>
      </c>
      <c r="J58" s="207">
        <v>0</v>
      </c>
      <c r="K58" s="207">
        <v>0</v>
      </c>
      <c r="L58" s="207">
        <v>0</v>
      </c>
      <c r="M58" s="207">
        <v>0</v>
      </c>
      <c r="N58" s="207">
        <v>0</v>
      </c>
      <c r="O58" s="207">
        <v>0</v>
      </c>
      <c r="P58" s="204">
        <v>0</v>
      </c>
      <c r="Q58" s="199">
        <f t="shared" si="2"/>
        <v>0</v>
      </c>
    </row>
    <row r="59" spans="1:17" x14ac:dyDescent="0.2">
      <c r="A59" s="29">
        <v>21201</v>
      </c>
      <c r="B59" s="404" t="s">
        <v>542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133" t="e">
        <f t="shared" ref="P59:P60" si="26">P60</f>
        <v>#REF!</v>
      </c>
      <c r="Q59" s="199" t="e">
        <f t="shared" si="2"/>
        <v>#REF!</v>
      </c>
    </row>
    <row r="60" spans="1:17" x14ac:dyDescent="0.2">
      <c r="A60" s="36">
        <v>22</v>
      </c>
      <c r="B60" s="403" t="s">
        <v>12</v>
      </c>
      <c r="C60" s="206">
        <f>C61</f>
        <v>1679742.1400000001</v>
      </c>
      <c r="D60" s="206" t="e">
        <f>D61</f>
        <v>#REF!</v>
      </c>
      <c r="E60" s="206" t="e">
        <f t="shared" ref="E60:O60" si="27">E61</f>
        <v>#REF!</v>
      </c>
      <c r="F60" s="206" t="e">
        <f t="shared" si="27"/>
        <v>#REF!</v>
      </c>
      <c r="G60" s="206" t="e">
        <f t="shared" si="27"/>
        <v>#REF!</v>
      </c>
      <c r="H60" s="206" t="e">
        <f t="shared" si="27"/>
        <v>#REF!</v>
      </c>
      <c r="I60" s="206" t="e">
        <f t="shared" si="27"/>
        <v>#REF!</v>
      </c>
      <c r="J60" s="206" t="e">
        <f t="shared" si="27"/>
        <v>#REF!</v>
      </c>
      <c r="K60" s="206" t="e">
        <f t="shared" si="27"/>
        <v>#REF!</v>
      </c>
      <c r="L60" s="206" t="e">
        <f t="shared" si="27"/>
        <v>#REF!</v>
      </c>
      <c r="M60" s="206" t="e">
        <f t="shared" si="27"/>
        <v>#REF!</v>
      </c>
      <c r="N60" s="206" t="e">
        <f t="shared" si="27"/>
        <v>#REF!</v>
      </c>
      <c r="O60" s="206" t="e">
        <f t="shared" si="27"/>
        <v>#REF!</v>
      </c>
      <c r="P60" s="133" t="e">
        <f t="shared" si="26"/>
        <v>#REF!</v>
      </c>
      <c r="Q60" s="199" t="e">
        <f t="shared" si="2"/>
        <v>#REF!</v>
      </c>
    </row>
    <row r="61" spans="1:17" x14ac:dyDescent="0.2">
      <c r="A61" s="36">
        <v>222</v>
      </c>
      <c r="B61" s="403" t="s">
        <v>338</v>
      </c>
      <c r="C61" s="206">
        <f>SUM(C62)</f>
        <v>1679742.1400000001</v>
      </c>
      <c r="D61" s="206" t="e">
        <f>SUM(D62)</f>
        <v>#REF!</v>
      </c>
      <c r="E61" s="206" t="e">
        <f t="shared" ref="E61:O61" si="28">SUM(E62)</f>
        <v>#REF!</v>
      </c>
      <c r="F61" s="206" t="e">
        <f t="shared" si="28"/>
        <v>#REF!</v>
      </c>
      <c r="G61" s="206" t="e">
        <f t="shared" si="28"/>
        <v>#REF!</v>
      </c>
      <c r="H61" s="206" t="e">
        <f t="shared" si="28"/>
        <v>#REF!</v>
      </c>
      <c r="I61" s="206" t="e">
        <f t="shared" si="28"/>
        <v>#REF!</v>
      </c>
      <c r="J61" s="206" t="e">
        <f t="shared" si="28"/>
        <v>#REF!</v>
      </c>
      <c r="K61" s="206" t="e">
        <f t="shared" si="28"/>
        <v>#REF!</v>
      </c>
      <c r="L61" s="206" t="e">
        <f t="shared" si="28"/>
        <v>#REF!</v>
      </c>
      <c r="M61" s="206" t="e">
        <f t="shared" si="28"/>
        <v>#REF!</v>
      </c>
      <c r="N61" s="206" t="e">
        <f t="shared" si="28"/>
        <v>#REF!</v>
      </c>
      <c r="O61" s="206" t="e">
        <f t="shared" si="28"/>
        <v>#REF!</v>
      </c>
      <c r="P61" s="134" t="e">
        <f t="shared" ref="P61" si="29">SUM(D61:O61)</f>
        <v>#REF!</v>
      </c>
      <c r="Q61" s="199" t="e">
        <f t="shared" si="2"/>
        <v>#REF!</v>
      </c>
    </row>
    <row r="62" spans="1:17" x14ac:dyDescent="0.2">
      <c r="A62" s="29">
        <v>22201</v>
      </c>
      <c r="B62" s="404" t="s">
        <v>543</v>
      </c>
      <c r="C62" s="401">
        <f>'ING. REALES'!L62</f>
        <v>1679742.1400000001</v>
      </c>
      <c r="D62" s="401" t="e">
        <f>'ING. REALES'!#REF!</f>
        <v>#REF!</v>
      </c>
      <c r="E62" s="401" t="e">
        <f>'ING. REALES'!#REF!</f>
        <v>#REF!</v>
      </c>
      <c r="F62" s="401" t="e">
        <f>'ING. REALES'!#REF!</f>
        <v>#REF!</v>
      </c>
      <c r="G62" s="401" t="e">
        <f>'ING. REALES'!#REF!</f>
        <v>#REF!</v>
      </c>
      <c r="H62" s="401" t="e">
        <f>'ING. REALES'!#REF!</f>
        <v>#REF!</v>
      </c>
      <c r="I62" s="401" t="e">
        <f>'ING. REALES'!#REF!</f>
        <v>#REF!</v>
      </c>
      <c r="J62" s="401" t="e">
        <f>'ING. REALES'!#REF!</f>
        <v>#REF!</v>
      </c>
      <c r="K62" s="401" t="e">
        <f>'ING. REALES'!#REF!</f>
        <v>#REF!</v>
      </c>
      <c r="L62" s="401" t="e">
        <f>'ING. REALES'!#REF!</f>
        <v>#REF!</v>
      </c>
      <c r="M62" s="401" t="e">
        <f>'ING. REALES'!#REF!</f>
        <v>#REF!</v>
      </c>
      <c r="N62" s="401" t="e">
        <f>'ING. REALES'!#REF!</f>
        <v>#REF!</v>
      </c>
      <c r="O62" s="401" t="e">
        <f>'ING. REALES'!#REF!</f>
        <v>#REF!</v>
      </c>
      <c r="P62" s="203">
        <f t="shared" ref="P62:P63" si="30">P63</f>
        <v>0</v>
      </c>
      <c r="Q62" s="199">
        <f t="shared" si="2"/>
        <v>1679742.1400000001</v>
      </c>
    </row>
    <row r="63" spans="1:17" x14ac:dyDescent="0.2">
      <c r="A63" s="36">
        <v>31</v>
      </c>
      <c r="B63" s="403" t="s">
        <v>339</v>
      </c>
      <c r="C63" s="206">
        <f>C64</f>
        <v>0</v>
      </c>
      <c r="D63" s="206">
        <f>D64</f>
        <v>0</v>
      </c>
      <c r="E63" s="206">
        <f t="shared" ref="E63:O63" si="31">E64</f>
        <v>0</v>
      </c>
      <c r="F63" s="206">
        <f t="shared" si="31"/>
        <v>0</v>
      </c>
      <c r="G63" s="206">
        <f t="shared" si="31"/>
        <v>0</v>
      </c>
      <c r="H63" s="206">
        <f t="shared" si="31"/>
        <v>0</v>
      </c>
      <c r="I63" s="206">
        <f t="shared" si="31"/>
        <v>0</v>
      </c>
      <c r="J63" s="206">
        <f t="shared" si="31"/>
        <v>0</v>
      </c>
      <c r="K63" s="206">
        <f t="shared" si="31"/>
        <v>0</v>
      </c>
      <c r="L63" s="206">
        <f t="shared" si="31"/>
        <v>0</v>
      </c>
      <c r="M63" s="206">
        <f t="shared" si="31"/>
        <v>0</v>
      </c>
      <c r="N63" s="206">
        <f t="shared" si="31"/>
        <v>0</v>
      </c>
      <c r="O63" s="206">
        <f t="shared" si="31"/>
        <v>0</v>
      </c>
      <c r="P63" s="203">
        <f t="shared" si="30"/>
        <v>0</v>
      </c>
      <c r="Q63" s="199">
        <f t="shared" si="2"/>
        <v>0</v>
      </c>
    </row>
    <row r="64" spans="1:17" x14ac:dyDescent="0.2">
      <c r="A64" s="36">
        <v>313</v>
      </c>
      <c r="B64" s="403" t="s">
        <v>340</v>
      </c>
      <c r="C64" s="207">
        <v>0</v>
      </c>
      <c r="D64" s="207">
        <v>0</v>
      </c>
      <c r="E64" s="207">
        <v>0</v>
      </c>
      <c r="F64" s="207">
        <v>0</v>
      </c>
      <c r="G64" s="207">
        <v>0</v>
      </c>
      <c r="H64" s="207">
        <v>0</v>
      </c>
      <c r="I64" s="207">
        <v>0</v>
      </c>
      <c r="J64" s="207">
        <v>0</v>
      </c>
      <c r="K64" s="207">
        <v>0</v>
      </c>
      <c r="L64" s="207">
        <v>0</v>
      </c>
      <c r="M64" s="207">
        <v>0</v>
      </c>
      <c r="N64" s="207">
        <v>0</v>
      </c>
      <c r="O64" s="207">
        <v>0</v>
      </c>
      <c r="P64" s="204">
        <v>0</v>
      </c>
      <c r="Q64" s="199">
        <f t="shared" si="2"/>
        <v>0</v>
      </c>
    </row>
    <row r="65" spans="1:17" x14ac:dyDescent="0.2">
      <c r="A65" s="29">
        <v>31308</v>
      </c>
      <c r="B65" s="404" t="s">
        <v>237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3" t="e">
        <f t="shared" ref="P65" si="32">P66+P68</f>
        <v>#REF!</v>
      </c>
      <c r="Q65" s="199" t="e">
        <f>C65-P65</f>
        <v>#REF!</v>
      </c>
    </row>
    <row r="66" spans="1:17" x14ac:dyDescent="0.2">
      <c r="A66" s="36">
        <v>32</v>
      </c>
      <c r="B66" s="403" t="s">
        <v>13</v>
      </c>
      <c r="C66" s="206">
        <f>C67+C69</f>
        <v>2634834.9500000002</v>
      </c>
      <c r="D66" s="206" t="e">
        <f>D67+D69</f>
        <v>#REF!</v>
      </c>
      <c r="E66" s="206" t="e">
        <f t="shared" ref="E66:O66" si="33">E67+E69</f>
        <v>#REF!</v>
      </c>
      <c r="F66" s="206" t="e">
        <f t="shared" si="33"/>
        <v>#REF!</v>
      </c>
      <c r="G66" s="206" t="e">
        <f t="shared" si="33"/>
        <v>#REF!</v>
      </c>
      <c r="H66" s="206" t="e">
        <f t="shared" si="33"/>
        <v>#REF!</v>
      </c>
      <c r="I66" s="206" t="e">
        <f t="shared" si="33"/>
        <v>#REF!</v>
      </c>
      <c r="J66" s="206" t="e">
        <f t="shared" si="33"/>
        <v>#REF!</v>
      </c>
      <c r="K66" s="206" t="e">
        <f t="shared" si="33"/>
        <v>#REF!</v>
      </c>
      <c r="L66" s="206" t="e">
        <f t="shared" si="33"/>
        <v>#REF!</v>
      </c>
      <c r="M66" s="206" t="e">
        <f t="shared" si="33"/>
        <v>#REF!</v>
      </c>
      <c r="N66" s="206" t="e">
        <f t="shared" si="33"/>
        <v>#REF!</v>
      </c>
      <c r="O66" s="206" t="e">
        <f t="shared" si="33"/>
        <v>#REF!</v>
      </c>
      <c r="P66" s="203" t="e">
        <f t="shared" ref="P66" si="34">P67</f>
        <v>#REF!</v>
      </c>
      <c r="Q66" s="199" t="e">
        <f t="shared" si="2"/>
        <v>#REF!</v>
      </c>
    </row>
    <row r="67" spans="1:17" x14ac:dyDescent="0.2">
      <c r="A67" s="36">
        <v>321</v>
      </c>
      <c r="B67" s="403" t="s">
        <v>341</v>
      </c>
      <c r="C67" s="206">
        <f>SUM(C68)</f>
        <v>890888.33000000007</v>
      </c>
      <c r="D67" s="206" t="e">
        <f>SUM(D68)</f>
        <v>#REF!</v>
      </c>
      <c r="E67" s="206" t="e">
        <f t="shared" ref="E67:O67" si="35">SUM(E68)</f>
        <v>#REF!</v>
      </c>
      <c r="F67" s="206" t="e">
        <f t="shared" si="35"/>
        <v>#REF!</v>
      </c>
      <c r="G67" s="206" t="e">
        <f t="shared" si="35"/>
        <v>#REF!</v>
      </c>
      <c r="H67" s="206" t="e">
        <f t="shared" si="35"/>
        <v>#REF!</v>
      </c>
      <c r="I67" s="206" t="e">
        <f t="shared" si="35"/>
        <v>#REF!</v>
      </c>
      <c r="J67" s="206" t="e">
        <f t="shared" si="35"/>
        <v>#REF!</v>
      </c>
      <c r="K67" s="206" t="e">
        <f t="shared" si="35"/>
        <v>#REF!</v>
      </c>
      <c r="L67" s="206" t="e">
        <f t="shared" si="35"/>
        <v>#REF!</v>
      </c>
      <c r="M67" s="206" t="e">
        <f t="shared" si="35"/>
        <v>#REF!</v>
      </c>
      <c r="N67" s="206" t="e">
        <f t="shared" si="35"/>
        <v>#REF!</v>
      </c>
      <c r="O67" s="206" t="e">
        <f t="shared" si="35"/>
        <v>#REF!</v>
      </c>
      <c r="P67" s="204" t="e">
        <f t="shared" ref="P67" si="36">SUM(D67:O67)</f>
        <v>#REF!</v>
      </c>
      <c r="Q67" s="199" t="e">
        <f t="shared" si="2"/>
        <v>#REF!</v>
      </c>
    </row>
    <row r="68" spans="1:17" x14ac:dyDescent="0.2">
      <c r="A68" s="29">
        <v>32102</v>
      </c>
      <c r="B68" s="406" t="s">
        <v>575</v>
      </c>
      <c r="C68" s="401">
        <f>'ING. REALES'!L69</f>
        <v>890888.33000000007</v>
      </c>
      <c r="D68" s="401" t="e">
        <f>'ING. REALES'!#REF!</f>
        <v>#REF!</v>
      </c>
      <c r="E68" s="401" t="e">
        <f>'ING. REALES'!#REF!</f>
        <v>#REF!</v>
      </c>
      <c r="F68" s="401" t="e">
        <f>'ING. REALES'!#REF!</f>
        <v>#REF!</v>
      </c>
      <c r="G68" s="401" t="e">
        <f>'ING. REALES'!#REF!</f>
        <v>#REF!</v>
      </c>
      <c r="H68" s="401" t="e">
        <f>'ING. REALES'!#REF!</f>
        <v>#REF!</v>
      </c>
      <c r="I68" s="401" t="e">
        <f>'ING. REALES'!#REF!</f>
        <v>#REF!</v>
      </c>
      <c r="J68" s="401" t="e">
        <f>'ING. REALES'!#REF!</f>
        <v>#REF!</v>
      </c>
      <c r="K68" s="401" t="e">
        <f>'ING. REALES'!#REF!</f>
        <v>#REF!</v>
      </c>
      <c r="L68" s="401" t="e">
        <f>'ING. REALES'!#REF!</f>
        <v>#REF!</v>
      </c>
      <c r="M68" s="401" t="e">
        <f>'ING. REALES'!#REF!</f>
        <v>#REF!</v>
      </c>
      <c r="N68" s="401" t="e">
        <f>'ING. REALES'!#REF!</f>
        <v>#REF!</v>
      </c>
      <c r="O68" s="401" t="e">
        <f>'ING. REALES'!#REF!</f>
        <v>#REF!</v>
      </c>
      <c r="P68" s="203" t="e">
        <f>#REF!</f>
        <v>#REF!</v>
      </c>
      <c r="Q68" s="199" t="e">
        <f t="shared" si="2"/>
        <v>#REF!</v>
      </c>
    </row>
    <row r="69" spans="1:17" x14ac:dyDescent="0.2">
      <c r="A69" s="36">
        <v>322</v>
      </c>
      <c r="B69" s="403" t="s">
        <v>342</v>
      </c>
      <c r="C69" s="466">
        <f>C70</f>
        <v>1743946.62</v>
      </c>
      <c r="D69" s="466" t="e">
        <f>D70</f>
        <v>#REF!</v>
      </c>
      <c r="E69" s="466" t="e">
        <f t="shared" ref="E69:O69" si="37">E70</f>
        <v>#REF!</v>
      </c>
      <c r="F69" s="466" t="e">
        <f t="shared" si="37"/>
        <v>#REF!</v>
      </c>
      <c r="G69" s="466" t="e">
        <f t="shared" si="37"/>
        <v>#REF!</v>
      </c>
      <c r="H69" s="466" t="e">
        <f t="shared" si="37"/>
        <v>#REF!</v>
      </c>
      <c r="I69" s="466" t="e">
        <f t="shared" si="37"/>
        <v>#REF!</v>
      </c>
      <c r="J69" s="466" t="e">
        <f t="shared" si="37"/>
        <v>#REF!</v>
      </c>
      <c r="K69" s="466" t="e">
        <f t="shared" si="37"/>
        <v>#REF!</v>
      </c>
      <c r="L69" s="466" t="e">
        <f t="shared" si="37"/>
        <v>#REF!</v>
      </c>
      <c r="M69" s="466" t="e">
        <f t="shared" si="37"/>
        <v>#REF!</v>
      </c>
      <c r="N69" s="466" t="e">
        <f t="shared" si="37"/>
        <v>#REF!</v>
      </c>
      <c r="O69" s="466" t="e">
        <f t="shared" si="37"/>
        <v>#REF!</v>
      </c>
      <c r="P69" s="467"/>
      <c r="Q69" s="199"/>
    </row>
    <row r="70" spans="1:17" ht="13.5" thickBot="1" x14ac:dyDescent="0.25">
      <c r="A70" s="37">
        <v>32201</v>
      </c>
      <c r="B70" s="407" t="s">
        <v>342</v>
      </c>
      <c r="C70" s="468">
        <f>'ING. REALES'!L71</f>
        <v>1743946.62</v>
      </c>
      <c r="D70" s="468" t="e">
        <f>'ING. REALES'!#REF!</f>
        <v>#REF!</v>
      </c>
      <c r="E70" s="468" t="e">
        <f>'ING. REALES'!#REF!</f>
        <v>#REF!</v>
      </c>
      <c r="F70" s="468" t="e">
        <f>'ING. REALES'!#REF!</f>
        <v>#REF!</v>
      </c>
      <c r="G70" s="468" t="e">
        <f>'ING. REALES'!#REF!</f>
        <v>#REF!</v>
      </c>
      <c r="H70" s="468" t="e">
        <f>'ING. REALES'!#REF!</f>
        <v>#REF!</v>
      </c>
      <c r="I70" s="468" t="e">
        <f>'ING. REALES'!#REF!</f>
        <v>#REF!</v>
      </c>
      <c r="J70" s="468" t="e">
        <f>'ING. REALES'!#REF!</f>
        <v>#REF!</v>
      </c>
      <c r="K70" s="468" t="e">
        <f>'ING. REALES'!#REF!</f>
        <v>#REF!</v>
      </c>
      <c r="L70" s="468" t="e">
        <f>'ING. REALES'!#REF!</f>
        <v>#REF!</v>
      </c>
      <c r="M70" s="468" t="e">
        <f>'ING. REALES'!#REF!</f>
        <v>#REF!</v>
      </c>
      <c r="N70" s="468" t="e">
        <f>'ING. REALES'!#REF!</f>
        <v>#REF!</v>
      </c>
      <c r="O70" s="468" t="e">
        <f>'ING. REALES'!#REF!</f>
        <v>#REF!</v>
      </c>
      <c r="P70" s="467"/>
      <c r="Q70" s="199"/>
    </row>
    <row r="71" spans="1:17" ht="13.5" thickBot="1" x14ac:dyDescent="0.25">
      <c r="A71" s="1179"/>
      <c r="B71" s="1180"/>
      <c r="C71" s="135">
        <f>C8+C18+C35+C39+C52+C57+C60+C63+C66</f>
        <v>5046719.1100000003</v>
      </c>
      <c r="D71" s="135" t="e">
        <f>D8+D18+D35+D39+D52+D57+D60+D63+D66</f>
        <v>#REF!</v>
      </c>
      <c r="E71" s="135" t="e">
        <f t="shared" ref="E71:O71" si="38">E8+E18+E35+E39+E52+E57+E60+E63+E66</f>
        <v>#REF!</v>
      </c>
      <c r="F71" s="135" t="e">
        <f t="shared" si="38"/>
        <v>#REF!</v>
      </c>
      <c r="G71" s="135" t="e">
        <f t="shared" si="38"/>
        <v>#REF!</v>
      </c>
      <c r="H71" s="135" t="e">
        <f t="shared" si="38"/>
        <v>#REF!</v>
      </c>
      <c r="I71" s="135" t="e">
        <f t="shared" si="38"/>
        <v>#REF!</v>
      </c>
      <c r="J71" s="135" t="e">
        <f t="shared" si="38"/>
        <v>#REF!</v>
      </c>
      <c r="K71" s="135" t="e">
        <f t="shared" si="38"/>
        <v>#REF!</v>
      </c>
      <c r="L71" s="135" t="e">
        <f t="shared" si="38"/>
        <v>#REF!</v>
      </c>
      <c r="M71" s="135" t="e">
        <f t="shared" si="38"/>
        <v>#REF!</v>
      </c>
      <c r="N71" s="135" t="e">
        <f t="shared" si="38"/>
        <v>#REF!</v>
      </c>
      <c r="O71" s="135" t="e">
        <f t="shared" si="38"/>
        <v>#REF!</v>
      </c>
      <c r="P71" s="135" t="e">
        <f>P8+P17+P34+P38+P51+P59+P65</f>
        <v>#REF!</v>
      </c>
      <c r="Q71" s="199" t="e">
        <f t="shared" si="2"/>
        <v>#REF!</v>
      </c>
    </row>
    <row r="72" spans="1:17" ht="13.5" thickBot="1" x14ac:dyDescent="0.25">
      <c r="A72" s="11"/>
      <c r="B72" s="452"/>
      <c r="C72" s="135">
        <f>C9+C19+C32+C36+C40+C42+C50+C53+C55+C61+C64+C67+C69</f>
        <v>5046719.1100000003</v>
      </c>
      <c r="D72" s="135" t="e">
        <f>D9+D19+D32+D36+D40+D42+D50+D53+D55+D61+D64+D67+D69</f>
        <v>#REF!</v>
      </c>
      <c r="E72" s="135" t="e">
        <f t="shared" ref="E72:O72" si="39">E9+E19+E32+E36+E40+E42+E50+E53+E55+E61+E64+E67+E69</f>
        <v>#REF!</v>
      </c>
      <c r="F72" s="135" t="e">
        <f t="shared" si="39"/>
        <v>#REF!</v>
      </c>
      <c r="G72" s="135" t="e">
        <f t="shared" si="39"/>
        <v>#REF!</v>
      </c>
      <c r="H72" s="135" t="e">
        <f t="shared" si="39"/>
        <v>#REF!</v>
      </c>
      <c r="I72" s="135" t="e">
        <f t="shared" si="39"/>
        <v>#REF!</v>
      </c>
      <c r="J72" s="135" t="e">
        <f t="shared" si="39"/>
        <v>#REF!</v>
      </c>
      <c r="K72" s="135" t="e">
        <f t="shared" si="39"/>
        <v>#REF!</v>
      </c>
      <c r="L72" s="135" t="e">
        <f t="shared" si="39"/>
        <v>#REF!</v>
      </c>
      <c r="M72" s="135" t="e">
        <f t="shared" si="39"/>
        <v>#REF!</v>
      </c>
      <c r="N72" s="135" t="e">
        <f t="shared" si="39"/>
        <v>#REF!</v>
      </c>
      <c r="O72" s="135" t="e">
        <f t="shared" si="39"/>
        <v>#REF!</v>
      </c>
      <c r="P72" s="135"/>
      <c r="Q72" s="199"/>
    </row>
    <row r="73" spans="1:17" ht="13.5" thickBot="1" x14ac:dyDescent="0.25">
      <c r="A73" s="1179"/>
      <c r="B73" s="1180"/>
      <c r="C73" s="135">
        <f>C10+C11+C12+C13+C14+C15+C16+C17+C20+C21+C22+C23+C24+C25+C26+C27+C28+C29+C30+C31+C33+C34+C37+C38+C41+C43+C44+C45+C46+C49+C51+C54+C56+C58+C59+C62+C65+C68+C70</f>
        <v>5046719.1100000003</v>
      </c>
      <c r="D73" s="135" t="e">
        <f>D10+D11+D12+D13+D14+D15+D16+D17+D20+D21+D22+D23+D24+D25+D26+D27+D28+D29+D30+D31+D33+D34+D37+D38+D41+D43+D44+D45+D46+D49+D51+D54+D56+D58+D59+D62+D65+D68+D70</f>
        <v>#REF!</v>
      </c>
      <c r="E73" s="135" t="e">
        <f t="shared" ref="E73:O73" si="40">E10+E11+E12+E13+E14+E15+E16+E17+E20+E21+E22+E23+E24+E25+E26+E27+E28+E29+E30+E31+E33+E34+E37+E38+E41+E43+E44+E45+E46+E49+E51+E54+E56+E58+E59+E62+E65+E68+E70</f>
        <v>#REF!</v>
      </c>
      <c r="F73" s="135" t="e">
        <f t="shared" si="40"/>
        <v>#REF!</v>
      </c>
      <c r="G73" s="135" t="e">
        <f t="shared" si="40"/>
        <v>#REF!</v>
      </c>
      <c r="H73" s="135" t="e">
        <f t="shared" si="40"/>
        <v>#REF!</v>
      </c>
      <c r="I73" s="135" t="e">
        <f t="shared" si="40"/>
        <v>#REF!</v>
      </c>
      <c r="J73" s="135" t="e">
        <f t="shared" si="40"/>
        <v>#REF!</v>
      </c>
      <c r="K73" s="135" t="e">
        <f t="shared" si="40"/>
        <v>#REF!</v>
      </c>
      <c r="L73" s="135" t="e">
        <f t="shared" si="40"/>
        <v>#REF!</v>
      </c>
      <c r="M73" s="135" t="e">
        <f t="shared" si="40"/>
        <v>#REF!</v>
      </c>
      <c r="N73" s="135" t="e">
        <f t="shared" si="40"/>
        <v>#REF!</v>
      </c>
      <c r="O73" s="135" t="e">
        <f t="shared" si="40"/>
        <v>#REF!</v>
      </c>
      <c r="P73" s="135" t="e">
        <f t="shared" ref="P73" si="41">+P71</f>
        <v>#REF!</v>
      </c>
      <c r="Q73" s="199" t="e">
        <f t="shared" si="2"/>
        <v>#REF!</v>
      </c>
    </row>
    <row r="74" spans="1:17" x14ac:dyDescent="0.2">
      <c r="P74" s="138"/>
    </row>
    <row r="75" spans="1:17" x14ac:dyDescent="0.2">
      <c r="C75" s="469">
        <f>C73-'ING. REALES'!L73</f>
        <v>0</v>
      </c>
      <c r="P75" s="137" t="e">
        <f>'ING. REALES'!L73-DISTRIBUCIÓN!P73</f>
        <v>#REF!</v>
      </c>
    </row>
    <row r="76" spans="1:17" x14ac:dyDescent="0.2">
      <c r="P76" s="138"/>
    </row>
    <row r="77" spans="1:17" x14ac:dyDescent="0.2">
      <c r="P77" s="188"/>
    </row>
  </sheetData>
  <autoFilter ref="A5:P73"/>
  <mergeCells count="5">
    <mergeCell ref="A71:B71"/>
    <mergeCell ref="A73:B73"/>
    <mergeCell ref="A1:P3"/>
    <mergeCell ref="A5:A7"/>
    <mergeCell ref="B5:B7"/>
  </mergeCells>
  <pageMargins left="0.11811023622047245" right="0.11811023622047245" top="0.55118110236220474" bottom="0.55118110236220474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0.39997558519241921"/>
  </sheetPr>
  <dimension ref="A2:T30"/>
  <sheetViews>
    <sheetView showGridLines="0" workbookViewId="0">
      <selection activeCell="J9" sqref="J9"/>
    </sheetView>
  </sheetViews>
  <sheetFormatPr baseColWidth="10" defaultColWidth="9.140625" defaultRowHeight="12.75" x14ac:dyDescent="0.2"/>
  <cols>
    <col min="1" max="1" width="5.42578125" style="30" customWidth="1"/>
    <col min="2" max="2" width="30.140625" style="30" customWidth="1"/>
    <col min="3" max="3" width="17.7109375" style="30" customWidth="1"/>
    <col min="4" max="4" width="9.5703125" style="565" customWidth="1"/>
    <col min="5" max="5" width="15.140625" style="565" customWidth="1"/>
    <col min="6" max="6" width="9.140625" style="565" customWidth="1"/>
    <col min="7" max="7" width="11.28515625" style="565" customWidth="1"/>
    <col min="8" max="8" width="12.42578125" style="565" customWidth="1"/>
    <col min="9" max="9" width="14.42578125" style="30" customWidth="1"/>
    <col min="10" max="10" width="15.42578125" style="30" customWidth="1"/>
    <col min="11" max="15" width="9.140625" style="30" hidden="1" customWidth="1"/>
    <col min="16" max="16" width="10" style="30" hidden="1" customWidth="1"/>
    <col min="17" max="17" width="9.140625" style="30" hidden="1" customWidth="1"/>
    <col min="18" max="18" width="9.140625" style="309" customWidth="1"/>
    <col min="19" max="21" width="9.140625" style="30" customWidth="1"/>
    <col min="22" max="16384" width="9.140625" style="30"/>
  </cols>
  <sheetData>
    <row r="2" spans="1:20" ht="12.75" customHeight="1" x14ac:dyDescent="0.2">
      <c r="A2" s="1194" t="s">
        <v>780</v>
      </c>
      <c r="B2" s="1194"/>
      <c r="C2" s="1194"/>
      <c r="D2" s="1194"/>
      <c r="E2" s="1194"/>
      <c r="F2" s="1194"/>
      <c r="G2" s="1194"/>
      <c r="H2" s="1194"/>
      <c r="I2" s="1194"/>
      <c r="J2" s="1194"/>
      <c r="K2" s="1194"/>
      <c r="L2" s="7"/>
      <c r="M2" s="7"/>
      <c r="N2" s="7"/>
      <c r="O2" s="7"/>
      <c r="P2" s="7"/>
      <c r="Q2" s="7"/>
    </row>
    <row r="3" spans="1:20" ht="46.5" customHeight="1" thickBot="1" x14ac:dyDescent="0.25">
      <c r="A3" s="1195"/>
      <c r="B3" s="1195"/>
      <c r="C3" s="1195"/>
      <c r="D3" s="1195"/>
      <c r="E3" s="1195"/>
      <c r="F3" s="1195"/>
      <c r="G3" s="1195"/>
      <c r="H3" s="1195"/>
      <c r="I3" s="1195"/>
      <c r="J3" s="1195"/>
      <c r="K3" s="1195"/>
      <c r="L3" s="7"/>
      <c r="M3" s="7"/>
      <c r="N3" s="7"/>
      <c r="O3" s="7"/>
      <c r="P3" s="7"/>
      <c r="Q3" s="7"/>
    </row>
    <row r="4" spans="1:20" ht="27.75" customHeight="1" thickBot="1" x14ac:dyDescent="0.25">
      <c r="A4" s="1196" t="s">
        <v>379</v>
      </c>
      <c r="B4" s="1196" t="s">
        <v>579</v>
      </c>
      <c r="C4" s="1190" t="s">
        <v>580</v>
      </c>
      <c r="D4" s="1191" t="s">
        <v>381</v>
      </c>
      <c r="E4" s="1191" t="s">
        <v>344</v>
      </c>
      <c r="F4" s="1204" t="s">
        <v>345</v>
      </c>
      <c r="G4" s="1211" t="s">
        <v>346</v>
      </c>
      <c r="H4" s="1212"/>
      <c r="I4" s="299" t="s">
        <v>17</v>
      </c>
      <c r="J4" s="1208" t="s">
        <v>490</v>
      </c>
      <c r="K4" s="1207" t="s">
        <v>347</v>
      </c>
      <c r="L4" s="1196"/>
      <c r="M4" s="1196"/>
      <c r="N4" s="1196"/>
      <c r="O4" s="1196"/>
      <c r="P4" s="1196" t="s">
        <v>348</v>
      </c>
      <c r="Q4" s="1196" t="s">
        <v>349</v>
      </c>
    </row>
    <row r="5" spans="1:20" ht="23.25" customHeight="1" thickBot="1" x14ac:dyDescent="0.25">
      <c r="A5" s="1196"/>
      <c r="B5" s="1196"/>
      <c r="C5" s="1190"/>
      <c r="D5" s="1191"/>
      <c r="E5" s="1191"/>
      <c r="F5" s="1204"/>
      <c r="G5" s="1188" t="s">
        <v>387</v>
      </c>
      <c r="H5" s="1192" t="s">
        <v>16</v>
      </c>
      <c r="I5" s="1202" t="s">
        <v>350</v>
      </c>
      <c r="J5" s="1209"/>
      <c r="K5" s="33" t="s">
        <v>351</v>
      </c>
      <c r="L5" s="1196" t="s">
        <v>352</v>
      </c>
      <c r="M5" s="1196"/>
      <c r="N5" s="1196"/>
      <c r="O5" s="1196"/>
      <c r="P5" s="1196"/>
      <c r="Q5" s="1196"/>
    </row>
    <row r="6" spans="1:20" ht="15.75" customHeight="1" thickBot="1" x14ac:dyDescent="0.25">
      <c r="A6" s="1196"/>
      <c r="B6" s="1196"/>
      <c r="C6" s="1190"/>
      <c r="D6" s="1191"/>
      <c r="E6" s="1191"/>
      <c r="F6" s="1204"/>
      <c r="G6" s="1189"/>
      <c r="H6" s="1193"/>
      <c r="I6" s="1203"/>
      <c r="J6" s="1210"/>
      <c r="K6" s="33" t="s">
        <v>353</v>
      </c>
      <c r="L6" s="28" t="s">
        <v>354</v>
      </c>
      <c r="M6" s="28" t="s">
        <v>19</v>
      </c>
      <c r="N6" s="28" t="s">
        <v>355</v>
      </c>
      <c r="O6" s="28" t="s">
        <v>356</v>
      </c>
      <c r="P6" s="1196"/>
      <c r="Q6" s="1196"/>
    </row>
    <row r="7" spans="1:20" ht="31.5" customHeight="1" x14ac:dyDescent="0.2">
      <c r="A7" s="300">
        <v>1</v>
      </c>
      <c r="B7" s="301" t="s">
        <v>606</v>
      </c>
      <c r="C7" s="268"/>
      <c r="D7" s="552">
        <v>1</v>
      </c>
      <c r="E7" s="553" t="s">
        <v>346</v>
      </c>
      <c r="F7" s="554" t="s">
        <v>20</v>
      </c>
      <c r="G7" s="839">
        <v>611.11</v>
      </c>
      <c r="H7" s="555">
        <f>G7*12</f>
        <v>7333.32</v>
      </c>
      <c r="I7" s="302">
        <v>0</v>
      </c>
      <c r="J7" s="303">
        <f>+I7+H7</f>
        <v>7333.32</v>
      </c>
      <c r="K7" s="40">
        <v>0</v>
      </c>
      <c r="L7" s="39"/>
      <c r="M7" s="39">
        <v>0</v>
      </c>
      <c r="N7" s="39"/>
      <c r="O7" s="39">
        <v>0</v>
      </c>
      <c r="P7" s="39">
        <v>0</v>
      </c>
      <c r="Q7" s="39"/>
      <c r="S7" s="31"/>
      <c r="T7" s="41"/>
    </row>
    <row r="8" spans="1:20" ht="31.5" customHeight="1" thickBot="1" x14ac:dyDescent="0.25">
      <c r="A8" s="304">
        <v>2</v>
      </c>
      <c r="B8" s="261" t="s">
        <v>765</v>
      </c>
      <c r="C8" s="305"/>
      <c r="D8" s="556">
        <v>1</v>
      </c>
      <c r="E8" s="557" t="s">
        <v>346</v>
      </c>
      <c r="F8" s="912" t="s">
        <v>20</v>
      </c>
      <c r="G8" s="558">
        <v>400</v>
      </c>
      <c r="H8" s="559">
        <f>G8*12</f>
        <v>4800</v>
      </c>
      <c r="I8" s="306">
        <v>0</v>
      </c>
      <c r="J8" s="307">
        <f>+I8+H8</f>
        <v>4800</v>
      </c>
      <c r="K8" s="40">
        <v>0</v>
      </c>
      <c r="L8" s="39"/>
      <c r="M8" s="39">
        <v>0</v>
      </c>
      <c r="N8" s="39"/>
      <c r="O8" s="39">
        <v>0</v>
      </c>
      <c r="P8" s="39">
        <v>0</v>
      </c>
      <c r="Q8" s="39"/>
      <c r="S8" s="31"/>
      <c r="T8" s="41"/>
    </row>
    <row r="9" spans="1:20" ht="14.25" customHeight="1" thickBot="1" x14ac:dyDescent="0.25">
      <c r="A9" s="1198" t="s">
        <v>378</v>
      </c>
      <c r="B9" s="1199"/>
      <c r="C9" s="1199"/>
      <c r="D9" s="1199"/>
      <c r="E9" s="1199"/>
      <c r="F9" s="1199"/>
      <c r="G9" s="913">
        <f>SUM(G7:G8)</f>
        <v>1011.11</v>
      </c>
      <c r="H9" s="918">
        <f>SUM(H7:H8)</f>
        <v>12133.32</v>
      </c>
      <c r="I9" s="269">
        <f>I7</f>
        <v>0</v>
      </c>
      <c r="J9" s="273">
        <f>SUM(J7:J8)</f>
        <v>12133.32</v>
      </c>
      <c r="K9" s="45" t="e">
        <f>SUM(#REF!)</f>
        <v>#REF!</v>
      </c>
      <c r="L9" s="44" t="e">
        <f>SUM(#REF!)</f>
        <v>#REF!</v>
      </c>
      <c r="M9" s="44" t="e">
        <f>SUM(#REF!)</f>
        <v>#REF!</v>
      </c>
      <c r="N9" s="44" t="e">
        <f>SUM(#REF!)</f>
        <v>#REF!</v>
      </c>
      <c r="O9" s="44" t="e">
        <f>SUM(#REF!)</f>
        <v>#REF!</v>
      </c>
      <c r="P9" s="44" t="e">
        <f>SUM(#REF!)</f>
        <v>#REF!</v>
      </c>
      <c r="Q9" s="44" t="e">
        <f>SUM(#REF!)</f>
        <v>#REF!</v>
      </c>
    </row>
    <row r="10" spans="1:20" ht="13.5" hidden="1" thickBot="1" x14ac:dyDescent="0.25">
      <c r="A10" s="46"/>
      <c r="B10" s="46"/>
      <c r="C10" s="38" t="s">
        <v>359</v>
      </c>
      <c r="D10" s="560"/>
      <c r="E10" s="560" t="s">
        <v>26</v>
      </c>
      <c r="F10" s="561" t="s">
        <v>21</v>
      </c>
      <c r="G10" s="914"/>
      <c r="H10" s="562">
        <f t="shared" ref="H10:H17" si="0">G10*12</f>
        <v>0</v>
      </c>
      <c r="I10" s="270"/>
      <c r="J10" s="274"/>
      <c r="K10" s="42">
        <v>0</v>
      </c>
      <c r="L10" s="43"/>
      <c r="M10" s="43">
        <v>0</v>
      </c>
      <c r="N10" s="43"/>
      <c r="O10" s="43">
        <f t="shared" ref="O10:O17" si="1">SUM(L10:N10)</f>
        <v>0</v>
      </c>
      <c r="P10" s="43">
        <f t="shared" ref="P10:P17" si="2">H10*0.01</f>
        <v>0</v>
      </c>
      <c r="Q10" s="43"/>
    </row>
    <row r="11" spans="1:20" ht="13.5" hidden="1" thickBot="1" x14ac:dyDescent="0.25">
      <c r="A11" s="46"/>
      <c r="B11" s="46"/>
      <c r="C11" s="38" t="s">
        <v>360</v>
      </c>
      <c r="D11" s="560"/>
      <c r="E11" s="560" t="s">
        <v>26</v>
      </c>
      <c r="F11" s="561" t="s">
        <v>21</v>
      </c>
      <c r="G11" s="914"/>
      <c r="H11" s="562">
        <f t="shared" si="0"/>
        <v>0</v>
      </c>
      <c r="I11" s="270"/>
      <c r="J11" s="274"/>
      <c r="K11" s="42">
        <v>0</v>
      </c>
      <c r="L11" s="43"/>
      <c r="M11" s="43">
        <v>0</v>
      </c>
      <c r="N11" s="43"/>
      <c r="O11" s="43">
        <f t="shared" si="1"/>
        <v>0</v>
      </c>
      <c r="P11" s="43">
        <f t="shared" si="2"/>
        <v>0</v>
      </c>
      <c r="Q11" s="43"/>
    </row>
    <row r="12" spans="1:20" ht="13.5" hidden="1" thickBot="1" x14ac:dyDescent="0.25">
      <c r="A12" s="46"/>
      <c r="B12" s="46"/>
      <c r="C12" s="38" t="s">
        <v>361</v>
      </c>
      <c r="D12" s="560"/>
      <c r="E12" s="560" t="s">
        <v>26</v>
      </c>
      <c r="F12" s="561" t="s">
        <v>21</v>
      </c>
      <c r="G12" s="914"/>
      <c r="H12" s="562">
        <f t="shared" si="0"/>
        <v>0</v>
      </c>
      <c r="I12" s="270"/>
      <c r="J12" s="274"/>
      <c r="K12" s="42">
        <v>0</v>
      </c>
      <c r="L12" s="43"/>
      <c r="M12" s="43">
        <v>0</v>
      </c>
      <c r="N12" s="43"/>
      <c r="O12" s="43">
        <f t="shared" si="1"/>
        <v>0</v>
      </c>
      <c r="P12" s="43">
        <f t="shared" si="2"/>
        <v>0</v>
      </c>
      <c r="Q12" s="43"/>
    </row>
    <row r="13" spans="1:20" ht="13.5" hidden="1" thickBot="1" x14ac:dyDescent="0.25">
      <c r="A13" s="46"/>
      <c r="B13" s="46"/>
      <c r="C13" s="38" t="s">
        <v>362</v>
      </c>
      <c r="D13" s="560"/>
      <c r="E13" s="560" t="s">
        <v>26</v>
      </c>
      <c r="F13" s="561" t="s">
        <v>21</v>
      </c>
      <c r="G13" s="914"/>
      <c r="H13" s="562">
        <f t="shared" si="0"/>
        <v>0</v>
      </c>
      <c r="I13" s="270"/>
      <c r="J13" s="274"/>
      <c r="K13" s="42">
        <v>0</v>
      </c>
      <c r="L13" s="43"/>
      <c r="M13" s="43">
        <v>0</v>
      </c>
      <c r="N13" s="43"/>
      <c r="O13" s="43">
        <f t="shared" si="1"/>
        <v>0</v>
      </c>
      <c r="P13" s="43">
        <f t="shared" si="2"/>
        <v>0</v>
      </c>
      <c r="Q13" s="43"/>
    </row>
    <row r="14" spans="1:20" ht="13.5" hidden="1" thickBot="1" x14ac:dyDescent="0.25">
      <c r="A14" s="46"/>
      <c r="B14" s="46"/>
      <c r="C14" s="38" t="s">
        <v>363</v>
      </c>
      <c r="D14" s="560"/>
      <c r="E14" s="560" t="s">
        <v>26</v>
      </c>
      <c r="F14" s="561" t="s">
        <v>21</v>
      </c>
      <c r="G14" s="914"/>
      <c r="H14" s="562">
        <f t="shared" si="0"/>
        <v>0</v>
      </c>
      <c r="I14" s="270"/>
      <c r="J14" s="274"/>
      <c r="K14" s="42">
        <v>0</v>
      </c>
      <c r="L14" s="43"/>
      <c r="M14" s="43">
        <v>0</v>
      </c>
      <c r="N14" s="43"/>
      <c r="O14" s="43">
        <f t="shared" si="1"/>
        <v>0</v>
      </c>
      <c r="P14" s="43">
        <f t="shared" si="2"/>
        <v>0</v>
      </c>
      <c r="Q14" s="43"/>
    </row>
    <row r="15" spans="1:20" ht="19.5" hidden="1" customHeight="1" x14ac:dyDescent="0.2">
      <c r="A15" s="46"/>
      <c r="B15" s="46"/>
      <c r="C15" s="38" t="s">
        <v>364</v>
      </c>
      <c r="D15" s="560"/>
      <c r="E15" s="560" t="s">
        <v>26</v>
      </c>
      <c r="F15" s="561" t="s">
        <v>21</v>
      </c>
      <c r="G15" s="914"/>
      <c r="H15" s="562">
        <f t="shared" si="0"/>
        <v>0</v>
      </c>
      <c r="I15" s="270"/>
      <c r="J15" s="274"/>
      <c r="K15" s="42">
        <v>0</v>
      </c>
      <c r="L15" s="43"/>
      <c r="M15" s="43">
        <v>0</v>
      </c>
      <c r="N15" s="43"/>
      <c r="O15" s="43">
        <f t="shared" si="1"/>
        <v>0</v>
      </c>
      <c r="P15" s="43">
        <f t="shared" si="2"/>
        <v>0</v>
      </c>
      <c r="Q15" s="43"/>
    </row>
    <row r="16" spans="1:20" ht="13.5" hidden="1" thickBot="1" x14ac:dyDescent="0.25">
      <c r="A16" s="46"/>
      <c r="B16" s="46"/>
      <c r="C16" s="38" t="s">
        <v>366</v>
      </c>
      <c r="D16" s="560"/>
      <c r="E16" s="560" t="s">
        <v>26</v>
      </c>
      <c r="F16" s="561" t="s">
        <v>21</v>
      </c>
      <c r="G16" s="914"/>
      <c r="H16" s="562">
        <f t="shared" si="0"/>
        <v>0</v>
      </c>
      <c r="I16" s="270"/>
      <c r="J16" s="274"/>
      <c r="K16" s="42">
        <v>0</v>
      </c>
      <c r="L16" s="43"/>
      <c r="M16" s="43">
        <v>0</v>
      </c>
      <c r="N16" s="43"/>
      <c r="O16" s="43">
        <f t="shared" si="1"/>
        <v>0</v>
      </c>
      <c r="P16" s="43">
        <f t="shared" si="2"/>
        <v>0</v>
      </c>
      <c r="Q16" s="43"/>
    </row>
    <row r="17" spans="1:17" ht="13.5" hidden="1" thickBot="1" x14ac:dyDescent="0.25">
      <c r="A17" s="46"/>
      <c r="B17" s="46"/>
      <c r="C17" s="38" t="s">
        <v>368</v>
      </c>
      <c r="D17" s="560"/>
      <c r="E17" s="560" t="s">
        <v>26</v>
      </c>
      <c r="F17" s="561" t="s">
        <v>21</v>
      </c>
      <c r="G17" s="914"/>
      <c r="H17" s="562">
        <f t="shared" si="0"/>
        <v>0</v>
      </c>
      <c r="I17" s="270"/>
      <c r="J17" s="274"/>
      <c r="K17" s="42">
        <v>0</v>
      </c>
      <c r="L17" s="43"/>
      <c r="M17" s="43">
        <v>0</v>
      </c>
      <c r="N17" s="43"/>
      <c r="O17" s="43">
        <f t="shared" si="1"/>
        <v>0</v>
      </c>
      <c r="P17" s="43">
        <f t="shared" si="2"/>
        <v>0</v>
      </c>
      <c r="Q17" s="43"/>
    </row>
    <row r="18" spans="1:17" ht="13.5" hidden="1" thickBot="1" x14ac:dyDescent="0.25">
      <c r="A18" s="1200" t="s">
        <v>369</v>
      </c>
      <c r="B18" s="1201"/>
      <c r="C18" s="1201"/>
      <c r="D18" s="1201"/>
      <c r="E18" s="1201"/>
      <c r="F18" s="1201"/>
      <c r="G18" s="915">
        <f t="shared" ref="G18:Q18" si="3">SUM(G10:G17)</f>
        <v>0</v>
      </c>
      <c r="H18" s="563">
        <f t="shared" si="3"/>
        <v>0</v>
      </c>
      <c r="I18" s="271">
        <f t="shared" si="3"/>
        <v>0</v>
      </c>
      <c r="J18" s="275">
        <f t="shared" si="3"/>
        <v>0</v>
      </c>
      <c r="K18" s="45">
        <f t="shared" si="3"/>
        <v>0</v>
      </c>
      <c r="L18" s="44">
        <f t="shared" si="3"/>
        <v>0</v>
      </c>
      <c r="M18" s="44">
        <f t="shared" si="3"/>
        <v>0</v>
      </c>
      <c r="N18" s="44">
        <f t="shared" si="3"/>
        <v>0</v>
      </c>
      <c r="O18" s="44">
        <f t="shared" si="3"/>
        <v>0</v>
      </c>
      <c r="P18" s="44">
        <f t="shared" si="3"/>
        <v>0</v>
      </c>
      <c r="Q18" s="44">
        <f t="shared" si="3"/>
        <v>0</v>
      </c>
    </row>
    <row r="19" spans="1:17" ht="26.25" hidden="1" thickBot="1" x14ac:dyDescent="0.25">
      <c r="A19" s="46"/>
      <c r="B19" s="46"/>
      <c r="C19" s="38" t="s">
        <v>370</v>
      </c>
      <c r="D19" s="560"/>
      <c r="E19" s="560" t="s">
        <v>26</v>
      </c>
      <c r="F19" s="561" t="s">
        <v>24</v>
      </c>
      <c r="G19" s="914"/>
      <c r="H19" s="562">
        <f>G19*12</f>
        <v>0</v>
      </c>
      <c r="I19" s="270"/>
      <c r="J19" s="274"/>
      <c r="K19" s="42">
        <v>0</v>
      </c>
      <c r="L19" s="43"/>
      <c r="M19" s="43">
        <v>0</v>
      </c>
      <c r="N19" s="43"/>
      <c r="O19" s="43">
        <f>SUM(L19:N19)</f>
        <v>0</v>
      </c>
      <c r="P19" s="43">
        <f>H19*0.01</f>
        <v>0</v>
      </c>
      <c r="Q19" s="43"/>
    </row>
    <row r="20" spans="1:17" ht="13.5" hidden="1" thickBot="1" x14ac:dyDescent="0.25">
      <c r="A20" s="1200" t="s">
        <v>371</v>
      </c>
      <c r="B20" s="1201"/>
      <c r="C20" s="1201"/>
      <c r="D20" s="1201"/>
      <c r="E20" s="1201"/>
      <c r="F20" s="1201"/>
      <c r="G20" s="915">
        <f>SUM(G19)</f>
        <v>0</v>
      </c>
      <c r="H20" s="919">
        <f>SUM(H19)</f>
        <v>0</v>
      </c>
      <c r="I20" s="271">
        <f>SUM(I19)</f>
        <v>0</v>
      </c>
      <c r="J20" s="275">
        <f>SUM(J19)</f>
        <v>0</v>
      </c>
      <c r="K20" s="45">
        <f t="shared" ref="K20:Q20" si="4">SUM(K19)</f>
        <v>0</v>
      </c>
      <c r="L20" s="44">
        <f t="shared" si="4"/>
        <v>0</v>
      </c>
      <c r="M20" s="44">
        <f t="shared" si="4"/>
        <v>0</v>
      </c>
      <c r="N20" s="44">
        <f t="shared" si="4"/>
        <v>0</v>
      </c>
      <c r="O20" s="44">
        <f t="shared" si="4"/>
        <v>0</v>
      </c>
      <c r="P20" s="44">
        <f t="shared" si="4"/>
        <v>0</v>
      </c>
      <c r="Q20" s="44">
        <f t="shared" si="4"/>
        <v>0</v>
      </c>
    </row>
    <row r="21" spans="1:17" ht="26.25" hidden="1" thickBot="1" x14ac:dyDescent="0.25">
      <c r="A21" s="46"/>
      <c r="B21" s="46"/>
      <c r="C21" s="38" t="s">
        <v>372</v>
      </c>
      <c r="D21" s="560"/>
      <c r="E21" s="560" t="s">
        <v>26</v>
      </c>
      <c r="F21" s="561" t="s">
        <v>253</v>
      </c>
      <c r="G21" s="914"/>
      <c r="H21" s="562">
        <f>G21*12</f>
        <v>0</v>
      </c>
      <c r="I21" s="270"/>
      <c r="J21" s="274"/>
      <c r="K21" s="42">
        <v>0</v>
      </c>
      <c r="L21" s="43"/>
      <c r="M21" s="43">
        <v>0</v>
      </c>
      <c r="N21" s="43"/>
      <c r="O21" s="43">
        <f>SUM(L21:N21)</f>
        <v>0</v>
      </c>
      <c r="P21" s="43">
        <f>H21*0.01</f>
        <v>0</v>
      </c>
      <c r="Q21" s="43"/>
    </row>
    <row r="22" spans="1:17" ht="13.5" hidden="1" thickBot="1" x14ac:dyDescent="0.25">
      <c r="A22" s="46"/>
      <c r="B22" s="46"/>
      <c r="C22" s="38" t="s">
        <v>23</v>
      </c>
      <c r="D22" s="560"/>
      <c r="E22" s="560" t="s">
        <v>26</v>
      </c>
      <c r="F22" s="561" t="s">
        <v>253</v>
      </c>
      <c r="G22" s="914"/>
      <c r="H22" s="562">
        <f>G22*12</f>
        <v>0</v>
      </c>
      <c r="I22" s="270"/>
      <c r="J22" s="274"/>
      <c r="K22" s="42">
        <v>0</v>
      </c>
      <c r="L22" s="43"/>
      <c r="M22" s="43">
        <v>0</v>
      </c>
      <c r="N22" s="43"/>
      <c r="O22" s="43">
        <f>SUM(L22:N22)</f>
        <v>0</v>
      </c>
      <c r="P22" s="43">
        <f>H22*0.01</f>
        <v>0</v>
      </c>
      <c r="Q22" s="43"/>
    </row>
    <row r="23" spans="1:17" ht="13.5" hidden="1" thickBot="1" x14ac:dyDescent="0.25">
      <c r="A23" s="46"/>
      <c r="B23" s="46"/>
      <c r="C23" s="38" t="s">
        <v>373</v>
      </c>
      <c r="D23" s="560"/>
      <c r="E23" s="560" t="s">
        <v>26</v>
      </c>
      <c r="F23" s="561" t="s">
        <v>253</v>
      </c>
      <c r="G23" s="914"/>
      <c r="H23" s="562">
        <f>G23*12</f>
        <v>0</v>
      </c>
      <c r="I23" s="270"/>
      <c r="J23" s="274"/>
      <c r="K23" s="42">
        <v>0</v>
      </c>
      <c r="L23" s="43"/>
      <c r="M23" s="43">
        <v>0</v>
      </c>
      <c r="N23" s="43"/>
      <c r="O23" s="43">
        <f>SUM(L23:N23)</f>
        <v>0</v>
      </c>
      <c r="P23" s="43">
        <f>H23*0.01</f>
        <v>0</v>
      </c>
      <c r="Q23" s="43"/>
    </row>
    <row r="24" spans="1:17" ht="13.5" hidden="1" thickBot="1" x14ac:dyDescent="0.25">
      <c r="A24" s="46"/>
      <c r="B24" s="46"/>
      <c r="C24" s="38" t="s">
        <v>374</v>
      </c>
      <c r="D24" s="560"/>
      <c r="E24" s="560" t="s">
        <v>26</v>
      </c>
      <c r="F24" s="561" t="s">
        <v>253</v>
      </c>
      <c r="G24" s="914"/>
      <c r="H24" s="562">
        <f>G24*12</f>
        <v>0</v>
      </c>
      <c r="I24" s="270"/>
      <c r="J24" s="274"/>
      <c r="K24" s="42">
        <v>0</v>
      </c>
      <c r="L24" s="43"/>
      <c r="M24" s="43">
        <v>0</v>
      </c>
      <c r="N24" s="43"/>
      <c r="O24" s="43">
        <f>SUM(L24:N24)</f>
        <v>0</v>
      </c>
      <c r="P24" s="43">
        <f>H24*0.01</f>
        <v>0</v>
      </c>
      <c r="Q24" s="43"/>
    </row>
    <row r="25" spans="1:17" ht="15" hidden="1" customHeight="1" thickBot="1" x14ac:dyDescent="0.25">
      <c r="A25" s="1205" t="s">
        <v>358</v>
      </c>
      <c r="B25" s="1206"/>
      <c r="C25" s="1206"/>
      <c r="D25" s="1206"/>
      <c r="E25" s="1206"/>
      <c r="F25" s="1206"/>
      <c r="G25" s="916">
        <f>SUM(G24)</f>
        <v>0</v>
      </c>
      <c r="H25" s="564">
        <f>SUM(H24)</f>
        <v>0</v>
      </c>
      <c r="I25" s="272">
        <f>SUM(I24)</f>
        <v>0</v>
      </c>
      <c r="J25" s="276">
        <f>SUM(J24)</f>
        <v>0</v>
      </c>
      <c r="K25" s="48">
        <f t="shared" ref="K25:Q25" si="5">SUM(K21:K24)</f>
        <v>0</v>
      </c>
      <c r="L25" s="47">
        <f t="shared" si="5"/>
        <v>0</v>
      </c>
      <c r="M25" s="47">
        <f t="shared" si="5"/>
        <v>0</v>
      </c>
      <c r="N25" s="47">
        <f t="shared" si="5"/>
        <v>0</v>
      </c>
      <c r="O25" s="47">
        <f t="shared" si="5"/>
        <v>0</v>
      </c>
      <c r="P25" s="47">
        <f t="shared" si="5"/>
        <v>0</v>
      </c>
      <c r="Q25" s="47">
        <f t="shared" si="5"/>
        <v>0</v>
      </c>
    </row>
    <row r="26" spans="1:17" ht="13.5" thickBot="1" x14ac:dyDescent="0.25">
      <c r="A26" s="1196" t="s">
        <v>375</v>
      </c>
      <c r="B26" s="1196"/>
      <c r="C26" s="1196"/>
      <c r="D26" s="1196"/>
      <c r="E26" s="1196"/>
      <c r="F26" s="1197"/>
      <c r="G26" s="917">
        <f>G9+G18+G20+G25</f>
        <v>1011.11</v>
      </c>
      <c r="H26" s="920">
        <f t="shared" ref="H26:I26" si="6">H9+H18+H20+H25</f>
        <v>12133.32</v>
      </c>
      <c r="I26" s="267">
        <f t="shared" si="6"/>
        <v>0</v>
      </c>
      <c r="J26" s="49">
        <f>J9+J18+J20+J25</f>
        <v>12133.32</v>
      </c>
      <c r="K26" s="50" t="e">
        <f t="shared" ref="K26:Q26" si="7">K25+K20+K18+K9</f>
        <v>#REF!</v>
      </c>
      <c r="L26" s="49" t="e">
        <f t="shared" si="7"/>
        <v>#REF!</v>
      </c>
      <c r="M26" s="49" t="e">
        <f t="shared" si="7"/>
        <v>#REF!</v>
      </c>
      <c r="N26" s="49" t="e">
        <f t="shared" si="7"/>
        <v>#REF!</v>
      </c>
      <c r="O26" s="49" t="e">
        <f t="shared" si="7"/>
        <v>#REF!</v>
      </c>
      <c r="P26" s="49" t="e">
        <f t="shared" si="7"/>
        <v>#REF!</v>
      </c>
      <c r="Q26" s="49" t="e">
        <f t="shared" si="7"/>
        <v>#REF!</v>
      </c>
    </row>
    <row r="28" spans="1:17" ht="15.75" x14ac:dyDescent="0.25">
      <c r="A28" s="201"/>
      <c r="B28" s="201"/>
    </row>
    <row r="30" spans="1:17" x14ac:dyDescent="0.2">
      <c r="K30" s="31"/>
      <c r="L30" s="31"/>
      <c r="M30" s="31"/>
      <c r="N30" s="31"/>
      <c r="O30" s="31"/>
      <c r="P30" s="31"/>
      <c r="Q30" s="31"/>
    </row>
  </sheetData>
  <mergeCells count="21">
    <mergeCell ref="A2:K3"/>
    <mergeCell ref="A26:F26"/>
    <mergeCell ref="Q4:Q6"/>
    <mergeCell ref="A9:F9"/>
    <mergeCell ref="A18:F18"/>
    <mergeCell ref="A20:F20"/>
    <mergeCell ref="I5:I6"/>
    <mergeCell ref="F4:F6"/>
    <mergeCell ref="A4:A6"/>
    <mergeCell ref="A25:F25"/>
    <mergeCell ref="P4:P6"/>
    <mergeCell ref="L5:O5"/>
    <mergeCell ref="K4:O4"/>
    <mergeCell ref="B4:B6"/>
    <mergeCell ref="J4:J6"/>
    <mergeCell ref="G4:H4"/>
    <mergeCell ref="G5:G6"/>
    <mergeCell ref="C4:C6"/>
    <mergeCell ref="D4:D6"/>
    <mergeCell ref="E4:E6"/>
    <mergeCell ref="H5:H6"/>
  </mergeCells>
  <phoneticPr fontId="0" type="noConversion"/>
  <printOptions horizontalCentered="1"/>
  <pageMargins left="0.15748031496062992" right="0.19685039370078741" top="1.4960629921259843" bottom="0.98425196850393704" header="1.5748031496062993" footer="0"/>
  <pageSetup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8" tint="0.59999389629810485"/>
  </sheetPr>
  <dimension ref="B2:AT108"/>
  <sheetViews>
    <sheetView showGridLines="0" topLeftCell="A58" zoomScale="89" zoomScaleNormal="89" workbookViewId="0">
      <selection activeCell="H96" sqref="H96"/>
    </sheetView>
  </sheetViews>
  <sheetFormatPr baseColWidth="10" defaultRowHeight="12.75" x14ac:dyDescent="0.2"/>
  <cols>
    <col min="1" max="1" width="9" customWidth="1"/>
    <col min="2" max="2" width="3.28515625" customWidth="1"/>
    <col min="3" max="3" width="27.42578125" customWidth="1"/>
    <col min="4" max="4" width="15.5703125" customWidth="1"/>
    <col min="5" max="5" width="6" customWidth="1"/>
    <col min="6" max="6" width="7.42578125" style="27" customWidth="1"/>
    <col min="7" max="7" width="7.28515625" style="27" customWidth="1"/>
    <col min="8" max="8" width="10.28515625" style="27" customWidth="1"/>
    <col min="9" max="9" width="10.7109375" style="27" customWidth="1"/>
    <col min="10" max="10" width="11.7109375" customWidth="1"/>
    <col min="11" max="11" width="9.7109375" style="225" customWidth="1"/>
    <col min="12" max="12" width="10.28515625" customWidth="1"/>
    <col min="13" max="13" width="10.85546875" customWidth="1"/>
    <col min="14" max="14" width="11.85546875" customWidth="1"/>
    <col min="15" max="15" width="8.28515625" customWidth="1"/>
    <col min="16" max="16" width="10.85546875" customWidth="1"/>
    <col min="17" max="17" width="11" style="249" customWidth="1"/>
    <col min="18" max="18" width="10.85546875" customWidth="1"/>
    <col min="19" max="19" width="11.85546875" customWidth="1"/>
    <col min="20" max="22" width="11.42578125" customWidth="1"/>
    <col min="23" max="23" width="8" style="408" customWidth="1"/>
    <col min="24" max="26" width="12.7109375" customWidth="1"/>
    <col min="27" max="29" width="11.42578125" customWidth="1"/>
    <col min="30" max="31" width="12.28515625" customWidth="1"/>
    <col min="32" max="32" width="13.7109375" style="225" customWidth="1"/>
    <col min="33" max="33" width="11.42578125" customWidth="1"/>
    <col min="34" max="34" width="8" style="408" customWidth="1"/>
    <col min="35" max="37" width="12.28515625" customWidth="1"/>
    <col min="38" max="40" width="11.42578125" customWidth="1"/>
    <col min="41" max="42" width="12.28515625" customWidth="1"/>
    <col min="43" max="43" width="14" style="225" customWidth="1"/>
    <col min="44" max="44" width="12.28515625" customWidth="1"/>
    <col min="45" max="45" width="12.7109375" style="225" customWidth="1"/>
    <col min="46" max="46" width="11.42578125" customWidth="1"/>
  </cols>
  <sheetData>
    <row r="2" spans="2:45" x14ac:dyDescent="0.2">
      <c r="B2" s="1222" t="s">
        <v>438</v>
      </c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  <c r="N2" s="1222"/>
      <c r="O2" s="1222"/>
      <c r="P2" s="1222"/>
      <c r="Q2" s="1222"/>
      <c r="R2" s="1222"/>
      <c r="S2" s="1222"/>
    </row>
    <row r="3" spans="2:45" x14ac:dyDescent="0.2">
      <c r="B3" s="1222" t="s">
        <v>763</v>
      </c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1222"/>
      <c r="P3" s="1222"/>
      <c r="Q3" s="1222"/>
      <c r="R3" s="1222"/>
      <c r="S3" s="1222"/>
    </row>
    <row r="4" spans="2:45" x14ac:dyDescent="0.2">
      <c r="B4" s="1222" t="s">
        <v>450</v>
      </c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222"/>
      <c r="Q4" s="1222"/>
      <c r="R4" s="1222"/>
      <c r="S4" s="1222"/>
    </row>
    <row r="5" spans="2:45" ht="6.75" customHeight="1" thickBot="1" x14ac:dyDescent="0.25"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264"/>
      <c r="R5" s="194"/>
      <c r="S5" s="194"/>
    </row>
    <row r="6" spans="2:45" ht="13.5" thickBot="1" x14ac:dyDescent="0.25">
      <c r="B6" s="1223" t="s">
        <v>379</v>
      </c>
      <c r="C6" s="1226" t="s">
        <v>15</v>
      </c>
      <c r="D6" s="1219" t="s">
        <v>380</v>
      </c>
      <c r="E6" s="1226" t="s">
        <v>381</v>
      </c>
      <c r="F6" s="1226" t="s">
        <v>382</v>
      </c>
      <c r="G6" s="1226" t="s">
        <v>383</v>
      </c>
      <c r="H6" s="1233" t="s">
        <v>384</v>
      </c>
      <c r="I6" s="1234"/>
      <c r="J6" s="1235"/>
      <c r="K6" s="1239" t="s">
        <v>576</v>
      </c>
      <c r="L6" s="1240"/>
      <c r="M6" s="1241"/>
      <c r="N6" s="1231" t="s">
        <v>385</v>
      </c>
      <c r="O6" s="1231"/>
      <c r="P6" s="1231"/>
      <c r="Q6" s="1231"/>
      <c r="R6" s="1232"/>
      <c r="S6" s="1219" t="s">
        <v>25</v>
      </c>
      <c r="W6" s="1216" t="s">
        <v>642</v>
      </c>
      <c r="X6" s="1217"/>
      <c r="Y6" s="1217"/>
      <c r="Z6" s="1217"/>
      <c r="AA6" s="1217"/>
      <c r="AB6" s="1217"/>
      <c r="AC6" s="1217"/>
      <c r="AD6" s="1217"/>
      <c r="AE6" s="1217"/>
      <c r="AF6" s="1218"/>
      <c r="AH6" s="1216" t="s">
        <v>642</v>
      </c>
      <c r="AI6" s="1217"/>
      <c r="AJ6" s="1217"/>
      <c r="AK6" s="1217"/>
      <c r="AL6" s="1217"/>
      <c r="AM6" s="1217"/>
      <c r="AN6" s="1217"/>
      <c r="AO6" s="1217"/>
      <c r="AP6" s="1217"/>
      <c r="AQ6" s="1218"/>
    </row>
    <row r="7" spans="2:45" ht="13.5" thickBot="1" x14ac:dyDescent="0.25">
      <c r="B7" s="1224"/>
      <c r="C7" s="1227"/>
      <c r="D7" s="1229"/>
      <c r="E7" s="1227"/>
      <c r="F7" s="1227"/>
      <c r="G7" s="1227"/>
      <c r="H7" s="1236"/>
      <c r="I7" s="1237"/>
      <c r="J7" s="1238"/>
      <c r="K7" s="1242"/>
      <c r="L7" s="1243"/>
      <c r="M7" s="1244"/>
      <c r="N7" s="283" t="s">
        <v>386</v>
      </c>
      <c r="O7" s="1251" t="s">
        <v>632</v>
      </c>
      <c r="P7" s="1252"/>
      <c r="Q7" s="286" t="s">
        <v>611</v>
      </c>
      <c r="R7" s="284"/>
      <c r="S7" s="1220"/>
      <c r="W7" s="1213" t="s">
        <v>624</v>
      </c>
      <c r="X7" s="1214"/>
      <c r="Y7" s="1214"/>
      <c r="Z7" s="1214"/>
      <c r="AA7" s="1214"/>
      <c r="AB7" s="1214"/>
      <c r="AC7" s="1214"/>
      <c r="AD7" s="1214"/>
      <c r="AE7" s="1214"/>
      <c r="AF7" s="1215"/>
      <c r="AH7" s="1213" t="s">
        <v>625</v>
      </c>
      <c r="AI7" s="1214"/>
      <c r="AJ7" s="1214"/>
      <c r="AK7" s="1214"/>
      <c r="AL7" s="1214"/>
      <c r="AM7" s="1214"/>
      <c r="AN7" s="1214"/>
      <c r="AO7" s="1214"/>
      <c r="AP7" s="1214"/>
      <c r="AQ7" s="1215"/>
    </row>
    <row r="8" spans="2:45" x14ac:dyDescent="0.2">
      <c r="B8" s="1224"/>
      <c r="C8" s="1227"/>
      <c r="D8" s="1229"/>
      <c r="E8" s="1227"/>
      <c r="F8" s="1227"/>
      <c r="G8" s="1227"/>
      <c r="H8" s="1249" t="s">
        <v>608</v>
      </c>
      <c r="I8" s="1219" t="s">
        <v>387</v>
      </c>
      <c r="J8" s="1219" t="s">
        <v>16</v>
      </c>
      <c r="K8" s="1245" t="s">
        <v>613</v>
      </c>
      <c r="L8" s="1245" t="s">
        <v>700</v>
      </c>
      <c r="M8" s="1219" t="s">
        <v>18</v>
      </c>
      <c r="N8" s="181" t="s">
        <v>388</v>
      </c>
      <c r="O8" s="182" t="s">
        <v>355</v>
      </c>
      <c r="P8" s="182" t="s">
        <v>19</v>
      </c>
      <c r="Q8" s="183" t="s">
        <v>623</v>
      </c>
      <c r="R8" s="285" t="s">
        <v>4</v>
      </c>
      <c r="S8" s="1220"/>
      <c r="W8" s="415"/>
      <c r="X8" s="416"/>
      <c r="Y8" s="416"/>
      <c r="Z8" s="416"/>
      <c r="AA8" s="416"/>
      <c r="AB8" s="416"/>
      <c r="AC8" s="416"/>
      <c r="AD8" s="416"/>
      <c r="AE8" s="416"/>
      <c r="AF8" s="417"/>
      <c r="AH8" s="415"/>
      <c r="AI8" s="416"/>
      <c r="AJ8" s="416"/>
      <c r="AK8" s="416"/>
      <c r="AL8" s="416"/>
      <c r="AM8" s="416"/>
      <c r="AN8" s="416"/>
      <c r="AO8" s="416"/>
      <c r="AP8" s="416"/>
      <c r="AQ8" s="417"/>
    </row>
    <row r="9" spans="2:45" ht="24.75" customHeight="1" thickBot="1" x14ac:dyDescent="0.25">
      <c r="B9" s="1225"/>
      <c r="C9" s="1228"/>
      <c r="D9" s="1230"/>
      <c r="E9" s="1228"/>
      <c r="F9" s="1228"/>
      <c r="G9" s="1228"/>
      <c r="H9" s="1250"/>
      <c r="I9" s="1221"/>
      <c r="J9" s="1221"/>
      <c r="K9" s="1246"/>
      <c r="L9" s="1248"/>
      <c r="M9" s="1221"/>
      <c r="N9" s="184">
        <v>7.7499999999999999E-2</v>
      </c>
      <c r="O9" s="51">
        <v>0.06</v>
      </c>
      <c r="P9" s="51">
        <v>7.4999999999999997E-2</v>
      </c>
      <c r="Q9" s="262">
        <v>0.01</v>
      </c>
      <c r="R9" s="136"/>
      <c r="S9" s="1221"/>
      <c r="T9" s="409"/>
      <c r="U9" s="409"/>
      <c r="V9" s="409"/>
      <c r="W9" s="418" t="s">
        <v>627</v>
      </c>
      <c r="X9" s="428" t="s">
        <v>384</v>
      </c>
      <c r="Y9" s="431" t="s">
        <v>645</v>
      </c>
      <c r="Z9" s="431" t="s">
        <v>645</v>
      </c>
      <c r="AA9" s="428" t="s">
        <v>19</v>
      </c>
      <c r="AB9" s="428" t="s">
        <v>355</v>
      </c>
      <c r="AC9" s="428" t="s">
        <v>626</v>
      </c>
      <c r="AD9" s="428" t="s">
        <v>623</v>
      </c>
      <c r="AE9" s="436" t="s">
        <v>637</v>
      </c>
      <c r="AF9" s="429" t="s">
        <v>25</v>
      </c>
      <c r="AH9" s="418" t="s">
        <v>627</v>
      </c>
      <c r="AI9" s="428" t="s">
        <v>384</v>
      </c>
      <c r="AJ9" s="431" t="s">
        <v>645</v>
      </c>
      <c r="AK9" s="431" t="s">
        <v>645</v>
      </c>
      <c r="AL9" s="428" t="s">
        <v>19</v>
      </c>
      <c r="AM9" s="428" t="s">
        <v>355</v>
      </c>
      <c r="AN9" s="428" t="s">
        <v>626</v>
      </c>
      <c r="AO9" s="428" t="s">
        <v>623</v>
      </c>
      <c r="AP9" s="436" t="s">
        <v>637</v>
      </c>
      <c r="AQ9" s="429" t="s">
        <v>25</v>
      </c>
    </row>
    <row r="10" spans="2:45" x14ac:dyDescent="0.2">
      <c r="B10" s="52">
        <v>1</v>
      </c>
      <c r="C10" s="32" t="s">
        <v>389</v>
      </c>
      <c r="D10" s="147" t="s">
        <v>555</v>
      </c>
      <c r="E10" s="148">
        <v>1</v>
      </c>
      <c r="F10" s="149" t="s">
        <v>20</v>
      </c>
      <c r="G10" s="149" t="s">
        <v>20</v>
      </c>
      <c r="H10" s="280">
        <v>2700</v>
      </c>
      <c r="I10" s="290">
        <f>E10*H10</f>
        <v>2700</v>
      </c>
      <c r="J10" s="150">
        <f>I10*E10*12</f>
        <v>32400</v>
      </c>
      <c r="K10" s="150">
        <f>100*E10</f>
        <v>100</v>
      </c>
      <c r="L10" s="150">
        <v>0</v>
      </c>
      <c r="M10" s="150">
        <f>I10</f>
        <v>2700</v>
      </c>
      <c r="N10" s="454">
        <f>ROUND(J10*$N$9,2)</f>
        <v>2511</v>
      </c>
      <c r="O10" s="150">
        <v>0</v>
      </c>
      <c r="P10" s="150">
        <f>ROUND((IF(I10&gt;1000,1000*$P$9*12,I10*$P$9*12)),2)*E10</f>
        <v>900</v>
      </c>
      <c r="Q10" s="150">
        <f>ROUND((IF(I10&gt;1000,1000*$Q$9*12,I10*$Q$9*12)),2)</f>
        <v>120</v>
      </c>
      <c r="R10" s="150">
        <f>SUM(N10:Q10)</f>
        <v>3531</v>
      </c>
      <c r="S10" s="140">
        <f>J10+K10+L10+M10+R10</f>
        <v>38731</v>
      </c>
      <c r="T10" s="409"/>
      <c r="U10" s="12"/>
      <c r="V10" s="12"/>
      <c r="W10" s="430" t="s">
        <v>313</v>
      </c>
      <c r="X10" s="150">
        <f>I10*W10</f>
        <v>13500</v>
      </c>
      <c r="Y10" s="150"/>
      <c r="Z10" s="150"/>
      <c r="AA10" s="150">
        <f>ROUND(((P10/12)*W10),2)</f>
        <v>375</v>
      </c>
      <c r="AB10" s="150">
        <f>(O10/12)*W10</f>
        <v>0</v>
      </c>
      <c r="AC10" s="150">
        <f>ROUND(((N10/12)*W10),2)</f>
        <v>1046.25</v>
      </c>
      <c r="AD10" s="150">
        <f t="shared" ref="AD10:AD17" si="0">ROUND(((Q10/12)*W10),2)</f>
        <v>50</v>
      </c>
      <c r="AE10" s="150">
        <f>M10</f>
        <v>2700</v>
      </c>
      <c r="AF10" s="150">
        <f>SUM(X10:AE10)</f>
        <v>17671.25</v>
      </c>
      <c r="AH10" s="411">
        <f>12-W10</f>
        <v>7</v>
      </c>
      <c r="AI10" s="150">
        <f>I10*AH10</f>
        <v>18900</v>
      </c>
      <c r="AJ10" s="150">
        <f>K10</f>
        <v>100</v>
      </c>
      <c r="AK10" s="150"/>
      <c r="AL10" s="150">
        <f t="shared" ref="AL10:AL17" si="1">ROUND(((P10/12)*AH10),2)</f>
        <v>525</v>
      </c>
      <c r="AM10" s="150">
        <f>(O10/12)*AH10</f>
        <v>0</v>
      </c>
      <c r="AN10" s="150">
        <f>ROUND(((N10/12)*AH10),2)</f>
        <v>1464.75</v>
      </c>
      <c r="AO10" s="150">
        <f t="shared" ref="AO10:AO17" si="2">ROUND(((Q10/12)*AH10),2)</f>
        <v>70</v>
      </c>
      <c r="AP10" s="150"/>
      <c r="AQ10" s="150">
        <f t="shared" ref="AQ10:AQ26" si="3">SUM(AI10:AO10)</f>
        <v>21059.75</v>
      </c>
      <c r="AS10" s="287">
        <f t="shared" ref="AS10:AS44" si="4">AC10+AN10-N10</f>
        <v>0</v>
      </c>
    </row>
    <row r="11" spans="2:45" x14ac:dyDescent="0.2">
      <c r="B11" s="52">
        <v>2</v>
      </c>
      <c r="C11" s="32" t="s">
        <v>390</v>
      </c>
      <c r="D11" s="151" t="s">
        <v>556</v>
      </c>
      <c r="E11" s="152">
        <v>1</v>
      </c>
      <c r="F11" s="153" t="s">
        <v>20</v>
      </c>
      <c r="G11" s="153" t="s">
        <v>20</v>
      </c>
      <c r="H11" s="281">
        <v>1050</v>
      </c>
      <c r="I11" s="291">
        <f t="shared" ref="I11:I26" si="5">E11*H11</f>
        <v>1050</v>
      </c>
      <c r="J11" s="155">
        <f t="shared" ref="J11:J17" si="6">I11*E11*12</f>
        <v>12600</v>
      </c>
      <c r="K11" s="155">
        <f t="shared" ref="K11:K14" si="7">100*E11</f>
        <v>100</v>
      </c>
      <c r="L11" s="155">
        <v>0</v>
      </c>
      <c r="M11" s="155">
        <f t="shared" ref="M11:M17" si="8">I11</f>
        <v>1050</v>
      </c>
      <c r="N11" s="455">
        <f t="shared" ref="N11:N17" si="9">ROUND(J11*$N$9,2)</f>
        <v>976.5</v>
      </c>
      <c r="O11" s="155">
        <v>0</v>
      </c>
      <c r="P11" s="155">
        <f t="shared" ref="P11:P17" si="10">ROUND((IF(I11&gt;1000,1000*$P$9*12,I11*$P$9*12)),2)*E11</f>
        <v>900</v>
      </c>
      <c r="Q11" s="155">
        <f>ROUND((IF(I11&gt;1000,1000*$Q$9*12,I11*$Q$9*12)),2)</f>
        <v>120</v>
      </c>
      <c r="R11" s="155">
        <f>SUM(N11:Q11)</f>
        <v>1996.5</v>
      </c>
      <c r="S11" s="140">
        <f t="shared" ref="S11:S17" si="11">J11+K11+L11+M11+R11</f>
        <v>15746.5</v>
      </c>
      <c r="T11" s="409"/>
      <c r="U11" s="12"/>
      <c r="V11" s="12"/>
      <c r="W11" s="413" t="s">
        <v>313</v>
      </c>
      <c r="X11" s="155">
        <f t="shared" ref="X11:X26" si="12">I11*W11</f>
        <v>5250</v>
      </c>
      <c r="Y11" s="155"/>
      <c r="Z11" s="155"/>
      <c r="AA11" s="155">
        <f t="shared" ref="AA11:AA17" si="13">ROUND(((P11/12)*W11),2)</f>
        <v>375</v>
      </c>
      <c r="AB11" s="155">
        <f t="shared" ref="AB11:AB78" si="14">(O11/12)*W11</f>
        <v>0</v>
      </c>
      <c r="AC11" s="155">
        <f>ROUND(((N11/12)*W11),2)</f>
        <v>406.88</v>
      </c>
      <c r="AD11" s="155">
        <f t="shared" si="0"/>
        <v>50</v>
      </c>
      <c r="AE11" s="155">
        <f t="shared" ref="AE11:AE26" si="15">M11</f>
        <v>1050</v>
      </c>
      <c r="AF11" s="155">
        <f t="shared" ref="AF11:AF26" si="16">SUM(X11:AE11)</f>
        <v>7131.88</v>
      </c>
      <c r="AH11" s="412">
        <f t="shared" ref="AH11:AH26" si="17">12-W11</f>
        <v>7</v>
      </c>
      <c r="AI11" s="155">
        <f t="shared" ref="AI11:AI26" si="18">I11*AH11</f>
        <v>7350</v>
      </c>
      <c r="AJ11" s="155">
        <f t="shared" ref="AJ11:AJ26" si="19">K11</f>
        <v>100</v>
      </c>
      <c r="AK11" s="155"/>
      <c r="AL11" s="155">
        <f t="shared" si="1"/>
        <v>525</v>
      </c>
      <c r="AM11" s="155">
        <f t="shared" ref="AM11:AM26" si="20">(O11/12)*AH11</f>
        <v>0</v>
      </c>
      <c r="AN11" s="155">
        <f t="shared" ref="AN11:AN26" si="21">ROUND(((N11/12)*AH11),2)</f>
        <v>569.63</v>
      </c>
      <c r="AO11" s="155">
        <f t="shared" si="2"/>
        <v>70</v>
      </c>
      <c r="AP11" s="155"/>
      <c r="AQ11" s="155">
        <f t="shared" si="3"/>
        <v>8614.6299999999992</v>
      </c>
      <c r="AS11" s="287">
        <f t="shared" si="4"/>
        <v>9.9999999999909051E-3</v>
      </c>
    </row>
    <row r="12" spans="2:45" s="54" customFormat="1" x14ac:dyDescent="0.2">
      <c r="B12" s="52">
        <v>3</v>
      </c>
      <c r="C12" s="32" t="s">
        <v>357</v>
      </c>
      <c r="D12" s="151" t="s">
        <v>557</v>
      </c>
      <c r="E12" s="152">
        <v>1</v>
      </c>
      <c r="F12" s="153" t="s">
        <v>20</v>
      </c>
      <c r="G12" s="153" t="s">
        <v>20</v>
      </c>
      <c r="H12" s="281">
        <v>600</v>
      </c>
      <c r="I12" s="291">
        <f t="shared" si="5"/>
        <v>600</v>
      </c>
      <c r="J12" s="155">
        <f t="shared" si="6"/>
        <v>7200</v>
      </c>
      <c r="K12" s="155">
        <f t="shared" si="7"/>
        <v>100</v>
      </c>
      <c r="L12" s="155">
        <v>0</v>
      </c>
      <c r="M12" s="155">
        <f t="shared" si="8"/>
        <v>600</v>
      </c>
      <c r="N12" s="455">
        <f t="shared" si="9"/>
        <v>558</v>
      </c>
      <c r="O12" s="155">
        <v>0</v>
      </c>
      <c r="P12" s="155">
        <f t="shared" si="10"/>
        <v>540</v>
      </c>
      <c r="Q12" s="155">
        <f t="shared" ref="Q12:Q26" si="22">ROUND((IF(I12&gt;1000,1000*$Q$9*12,I12*$Q$9*12)),2)</f>
        <v>72</v>
      </c>
      <c r="R12" s="155">
        <f t="shared" ref="R12:R17" si="23">SUM(N12:Q12)</f>
        <v>1170</v>
      </c>
      <c r="S12" s="140">
        <f t="shared" si="11"/>
        <v>9070</v>
      </c>
      <c r="T12" s="409"/>
      <c r="U12" s="12"/>
      <c r="V12" s="12"/>
      <c r="W12" s="413" t="s">
        <v>313</v>
      </c>
      <c r="X12" s="155">
        <f t="shared" si="12"/>
        <v>3000</v>
      </c>
      <c r="Y12" s="155"/>
      <c r="Z12" s="155"/>
      <c r="AA12" s="155">
        <f t="shared" si="13"/>
        <v>225</v>
      </c>
      <c r="AB12" s="155">
        <f t="shared" si="14"/>
        <v>0</v>
      </c>
      <c r="AC12" s="155">
        <f t="shared" ref="AC12:AC26" si="24">ROUND(((N12/12)*W12),2)</f>
        <v>232.5</v>
      </c>
      <c r="AD12" s="155">
        <f t="shared" si="0"/>
        <v>30</v>
      </c>
      <c r="AE12" s="155">
        <f t="shared" si="15"/>
        <v>600</v>
      </c>
      <c r="AF12" s="155">
        <f t="shared" si="16"/>
        <v>4087.5</v>
      </c>
      <c r="AH12" s="412">
        <f t="shared" si="17"/>
        <v>7</v>
      </c>
      <c r="AI12" s="155">
        <f t="shared" si="18"/>
        <v>4200</v>
      </c>
      <c r="AJ12" s="155">
        <f t="shared" si="19"/>
        <v>100</v>
      </c>
      <c r="AK12" s="155"/>
      <c r="AL12" s="155">
        <f t="shared" si="1"/>
        <v>315</v>
      </c>
      <c r="AM12" s="155">
        <f t="shared" si="20"/>
        <v>0</v>
      </c>
      <c r="AN12" s="155">
        <f t="shared" si="21"/>
        <v>325.5</v>
      </c>
      <c r="AO12" s="155">
        <f t="shared" si="2"/>
        <v>42</v>
      </c>
      <c r="AP12" s="155"/>
      <c r="AQ12" s="155">
        <f t="shared" si="3"/>
        <v>4982.5</v>
      </c>
      <c r="AS12" s="287">
        <f>AC12+AN12-N12</f>
        <v>0</v>
      </c>
    </row>
    <row r="13" spans="2:45" x14ac:dyDescent="0.2">
      <c r="B13" s="52">
        <v>4</v>
      </c>
      <c r="C13" s="32" t="s">
        <v>434</v>
      </c>
      <c r="D13" s="151" t="s">
        <v>558</v>
      </c>
      <c r="E13" s="152">
        <v>1</v>
      </c>
      <c r="F13" s="153" t="s">
        <v>20</v>
      </c>
      <c r="G13" s="153" t="s">
        <v>20</v>
      </c>
      <c r="H13" s="281">
        <v>850</v>
      </c>
      <c r="I13" s="291">
        <f t="shared" si="5"/>
        <v>850</v>
      </c>
      <c r="J13" s="155">
        <f t="shared" si="6"/>
        <v>10200</v>
      </c>
      <c r="K13" s="155">
        <f t="shared" si="7"/>
        <v>100</v>
      </c>
      <c r="L13" s="155">
        <v>0</v>
      </c>
      <c r="M13" s="155">
        <f t="shared" si="8"/>
        <v>850</v>
      </c>
      <c r="N13" s="455">
        <f t="shared" si="9"/>
        <v>790.5</v>
      </c>
      <c r="O13" s="155">
        <v>0</v>
      </c>
      <c r="P13" s="155">
        <f t="shared" si="10"/>
        <v>765</v>
      </c>
      <c r="Q13" s="155">
        <f t="shared" si="22"/>
        <v>102</v>
      </c>
      <c r="R13" s="155">
        <f t="shared" si="23"/>
        <v>1657.5</v>
      </c>
      <c r="S13" s="140">
        <f t="shared" si="11"/>
        <v>12807.5</v>
      </c>
      <c r="T13" s="409"/>
      <c r="U13" s="12"/>
      <c r="V13" s="12"/>
      <c r="W13" s="413" t="s">
        <v>313</v>
      </c>
      <c r="X13" s="155">
        <f t="shared" si="12"/>
        <v>4250</v>
      </c>
      <c r="Y13" s="155"/>
      <c r="Z13" s="155"/>
      <c r="AA13" s="155">
        <f t="shared" si="13"/>
        <v>318.75</v>
      </c>
      <c r="AB13" s="155">
        <f t="shared" si="14"/>
        <v>0</v>
      </c>
      <c r="AC13" s="155">
        <f t="shared" si="24"/>
        <v>329.38</v>
      </c>
      <c r="AD13" s="155">
        <f t="shared" si="0"/>
        <v>42.5</v>
      </c>
      <c r="AE13" s="155">
        <f t="shared" si="15"/>
        <v>850</v>
      </c>
      <c r="AF13" s="155">
        <f t="shared" si="16"/>
        <v>5790.63</v>
      </c>
      <c r="AH13" s="412">
        <f t="shared" si="17"/>
        <v>7</v>
      </c>
      <c r="AI13" s="155">
        <f t="shared" si="18"/>
        <v>5950</v>
      </c>
      <c r="AJ13" s="155">
        <f t="shared" si="19"/>
        <v>100</v>
      </c>
      <c r="AK13" s="155"/>
      <c r="AL13" s="155">
        <f t="shared" si="1"/>
        <v>446.25</v>
      </c>
      <c r="AM13" s="155">
        <f t="shared" si="20"/>
        <v>0</v>
      </c>
      <c r="AN13" s="155">
        <f t="shared" si="21"/>
        <v>461.13</v>
      </c>
      <c r="AO13" s="155">
        <f t="shared" si="2"/>
        <v>59.5</v>
      </c>
      <c r="AP13" s="155"/>
      <c r="AQ13" s="155">
        <f t="shared" si="3"/>
        <v>7016.88</v>
      </c>
      <c r="AS13" s="287">
        <f t="shared" si="4"/>
        <v>9.9999999999909051E-3</v>
      </c>
    </row>
    <row r="14" spans="2:45" s="54" customFormat="1" ht="12.75" customHeight="1" x14ac:dyDescent="0.2">
      <c r="B14" s="52">
        <v>5</v>
      </c>
      <c r="C14" s="94" t="s">
        <v>604</v>
      </c>
      <c r="D14" s="151" t="s">
        <v>588</v>
      </c>
      <c r="E14" s="152">
        <v>1</v>
      </c>
      <c r="F14" s="153" t="s">
        <v>20</v>
      </c>
      <c r="G14" s="153" t="s">
        <v>20</v>
      </c>
      <c r="H14" s="281">
        <v>600</v>
      </c>
      <c r="I14" s="291">
        <f t="shared" si="5"/>
        <v>600</v>
      </c>
      <c r="J14" s="154">
        <f>I14*E14*12</f>
        <v>7200</v>
      </c>
      <c r="K14" s="154">
        <f t="shared" si="7"/>
        <v>100</v>
      </c>
      <c r="L14" s="154">
        <v>0</v>
      </c>
      <c r="M14" s="155">
        <f t="shared" ref="M14" si="25">I14</f>
        <v>600</v>
      </c>
      <c r="N14" s="455">
        <f>ROUND(J14*$N$9,2)</f>
        <v>558</v>
      </c>
      <c r="O14" s="156">
        <v>0</v>
      </c>
      <c r="P14" s="155">
        <f>ROUND((IF(I14&gt;1000,1000*$P$9*12,I14*$P$9*12)),2)*E14</f>
        <v>540</v>
      </c>
      <c r="Q14" s="155">
        <f t="shared" si="22"/>
        <v>72</v>
      </c>
      <c r="R14" s="155">
        <f t="shared" si="23"/>
        <v>1170</v>
      </c>
      <c r="S14" s="140">
        <f t="shared" si="11"/>
        <v>9070</v>
      </c>
      <c r="T14" s="409"/>
      <c r="U14" s="12"/>
      <c r="V14" s="12"/>
      <c r="W14" s="413" t="s">
        <v>313</v>
      </c>
      <c r="X14" s="155">
        <f t="shared" si="12"/>
        <v>3000</v>
      </c>
      <c r="Y14" s="155"/>
      <c r="Z14" s="155"/>
      <c r="AA14" s="155">
        <f t="shared" si="13"/>
        <v>225</v>
      </c>
      <c r="AB14" s="155">
        <f t="shared" si="14"/>
        <v>0</v>
      </c>
      <c r="AC14" s="155">
        <f t="shared" si="24"/>
        <v>232.5</v>
      </c>
      <c r="AD14" s="155">
        <f t="shared" si="0"/>
        <v>30</v>
      </c>
      <c r="AE14" s="155">
        <f t="shared" si="15"/>
        <v>600</v>
      </c>
      <c r="AF14" s="155">
        <f t="shared" si="16"/>
        <v>4087.5</v>
      </c>
      <c r="AH14" s="412">
        <f t="shared" si="17"/>
        <v>7</v>
      </c>
      <c r="AI14" s="155">
        <f t="shared" si="18"/>
        <v>4200</v>
      </c>
      <c r="AJ14" s="155">
        <f t="shared" si="19"/>
        <v>100</v>
      </c>
      <c r="AK14" s="155"/>
      <c r="AL14" s="155">
        <f t="shared" si="1"/>
        <v>315</v>
      </c>
      <c r="AM14" s="155">
        <f t="shared" si="20"/>
        <v>0</v>
      </c>
      <c r="AN14" s="155">
        <f t="shared" si="21"/>
        <v>325.5</v>
      </c>
      <c r="AO14" s="155">
        <f t="shared" si="2"/>
        <v>42</v>
      </c>
      <c r="AP14" s="155"/>
      <c r="AQ14" s="155">
        <f>SUM(AI14:AO14)</f>
        <v>4982.5</v>
      </c>
      <c r="AS14" s="287">
        <f t="shared" si="4"/>
        <v>0</v>
      </c>
    </row>
    <row r="15" spans="2:45" s="54" customFormat="1" ht="12.75" customHeight="1" x14ac:dyDescent="0.2">
      <c r="B15" s="52">
        <v>6</v>
      </c>
      <c r="C15" s="94" t="s">
        <v>424</v>
      </c>
      <c r="D15" s="151" t="s">
        <v>424</v>
      </c>
      <c r="E15" s="152">
        <v>1</v>
      </c>
      <c r="F15" s="153" t="s">
        <v>20</v>
      </c>
      <c r="G15" s="153" t="s">
        <v>20</v>
      </c>
      <c r="H15" s="281">
        <v>450</v>
      </c>
      <c r="I15" s="291">
        <f t="shared" ref="I15:I16" si="26">E15*H15</f>
        <v>450</v>
      </c>
      <c r="J15" s="154">
        <f>I15*E15*12</f>
        <v>5400</v>
      </c>
      <c r="K15" s="154">
        <f t="shared" ref="K15:K16" si="27">100*E15</f>
        <v>100</v>
      </c>
      <c r="L15" s="154">
        <v>450</v>
      </c>
      <c r="M15" s="155">
        <f t="shared" ref="M15:M16" si="28">I15</f>
        <v>450</v>
      </c>
      <c r="N15" s="455">
        <f>ROUND(J15*$N$9,2)</f>
        <v>418.5</v>
      </c>
      <c r="O15" s="156">
        <v>0</v>
      </c>
      <c r="P15" s="155">
        <f>ROUND((IF(I15&gt;1000,1000*$P$9*12,I15*$P$9*12)),2)*E15</f>
        <v>405</v>
      </c>
      <c r="Q15" s="155">
        <f t="shared" ref="Q15:Q16" si="29">ROUND((IF(I15&gt;1000,1000*$Q$9*12,I15*$Q$9*12)),2)</f>
        <v>54</v>
      </c>
      <c r="R15" s="155">
        <f t="shared" ref="R15:R16" si="30">SUM(N15:Q15)</f>
        <v>877.5</v>
      </c>
      <c r="S15" s="140">
        <f t="shared" ref="S15:S16" si="31">J15+K15+L15+M15+R15</f>
        <v>7277.5</v>
      </c>
      <c r="T15" s="409"/>
      <c r="U15" s="12"/>
      <c r="V15" s="12"/>
      <c r="W15" s="413" t="s">
        <v>313</v>
      </c>
      <c r="X15" s="155">
        <f t="shared" ref="X15:X16" si="32">I15*W15</f>
        <v>2250</v>
      </c>
      <c r="Y15" s="155"/>
      <c r="Z15" s="155"/>
      <c r="AA15" s="155">
        <f t="shared" ref="AA15:AA16" si="33">ROUND(((P15/12)*W15),2)</f>
        <v>168.75</v>
      </c>
      <c r="AB15" s="155">
        <f t="shared" ref="AB15:AB16" si="34">(O15/12)*W15</f>
        <v>0</v>
      </c>
      <c r="AC15" s="155">
        <f t="shared" ref="AC15:AC16" si="35">ROUND(((N15/12)*W15),2)</f>
        <v>174.38</v>
      </c>
      <c r="AD15" s="155">
        <f t="shared" ref="AD15:AD16" si="36">ROUND(((Q15/12)*W15),2)</f>
        <v>22.5</v>
      </c>
      <c r="AE15" s="155">
        <f t="shared" ref="AE15:AE16" si="37">M15</f>
        <v>450</v>
      </c>
      <c r="AF15" s="155">
        <f t="shared" ref="AF15:AF16" si="38">SUM(X15:AE15)</f>
        <v>3065.63</v>
      </c>
      <c r="AH15" s="412">
        <f t="shared" ref="AH15:AH16" si="39">12-W15</f>
        <v>7</v>
      </c>
      <c r="AI15" s="155">
        <f t="shared" ref="AI15:AI16" si="40">I15*AH15</f>
        <v>3150</v>
      </c>
      <c r="AJ15" s="155">
        <f t="shared" ref="AJ15:AJ16" si="41">K15</f>
        <v>100</v>
      </c>
      <c r="AK15" s="155">
        <f>L15</f>
        <v>450</v>
      </c>
      <c r="AL15" s="155">
        <f t="shared" ref="AL15:AL16" si="42">ROUND(((P15/12)*AH15),2)</f>
        <v>236.25</v>
      </c>
      <c r="AM15" s="155">
        <f t="shared" ref="AM15:AM16" si="43">(O15/12)*AH15</f>
        <v>0</v>
      </c>
      <c r="AN15" s="155">
        <f t="shared" ref="AN15:AN16" si="44">ROUND(((N15/12)*AH15),2)</f>
        <v>244.13</v>
      </c>
      <c r="AO15" s="155">
        <f t="shared" ref="AO15:AO16" si="45">ROUND(((Q15/12)*AH15),2)</f>
        <v>31.5</v>
      </c>
      <c r="AP15" s="155"/>
      <c r="AQ15" s="155">
        <f>SUM(AI15:AO15)</f>
        <v>4211.88</v>
      </c>
      <c r="AS15" s="287">
        <f t="shared" ref="AS15:AS16" si="46">AC15+AN15-N15</f>
        <v>9.9999999999909051E-3</v>
      </c>
    </row>
    <row r="16" spans="2:45" s="54" customFormat="1" ht="12.75" customHeight="1" x14ac:dyDescent="0.2">
      <c r="B16" s="52">
        <v>7</v>
      </c>
      <c r="C16" s="94" t="s">
        <v>435</v>
      </c>
      <c r="D16" s="151" t="s">
        <v>559</v>
      </c>
      <c r="E16" s="152">
        <v>1</v>
      </c>
      <c r="F16" s="153" t="s">
        <v>20</v>
      </c>
      <c r="G16" s="153" t="s">
        <v>20</v>
      </c>
      <c r="H16" s="281">
        <v>400</v>
      </c>
      <c r="I16" s="291">
        <f t="shared" si="26"/>
        <v>400</v>
      </c>
      <c r="J16" s="167">
        <f t="shared" ref="J16" si="47">I16*E16*12</f>
        <v>4800</v>
      </c>
      <c r="K16" s="155">
        <f t="shared" si="27"/>
        <v>100</v>
      </c>
      <c r="L16" s="155">
        <v>0</v>
      </c>
      <c r="M16" s="155">
        <f t="shared" si="28"/>
        <v>400</v>
      </c>
      <c r="N16" s="455">
        <f t="shared" ref="N16" si="48">ROUND(J16*$N$9,2)</f>
        <v>372</v>
      </c>
      <c r="O16" s="156">
        <v>0</v>
      </c>
      <c r="P16" s="155">
        <f t="shared" ref="P16" si="49">ROUND((IF(I16&gt;1000,1000*$P$9*12,I16*$P$9*12)),2)*E16</f>
        <v>360</v>
      </c>
      <c r="Q16" s="155">
        <f t="shared" si="29"/>
        <v>48</v>
      </c>
      <c r="R16" s="155">
        <f t="shared" si="30"/>
        <v>780</v>
      </c>
      <c r="S16" s="140">
        <f t="shared" si="31"/>
        <v>6080</v>
      </c>
      <c r="T16" s="409"/>
      <c r="U16" s="12"/>
      <c r="V16" s="12"/>
      <c r="W16" s="413" t="s">
        <v>313</v>
      </c>
      <c r="X16" s="155">
        <f t="shared" si="32"/>
        <v>2000</v>
      </c>
      <c r="Y16" s="155"/>
      <c r="Z16" s="155"/>
      <c r="AA16" s="155">
        <f t="shared" si="33"/>
        <v>150</v>
      </c>
      <c r="AB16" s="155">
        <f t="shared" si="34"/>
        <v>0</v>
      </c>
      <c r="AC16" s="155">
        <f t="shared" si="35"/>
        <v>155</v>
      </c>
      <c r="AD16" s="155">
        <f t="shared" si="36"/>
        <v>20</v>
      </c>
      <c r="AE16" s="155">
        <f t="shared" si="37"/>
        <v>400</v>
      </c>
      <c r="AF16" s="155">
        <f t="shared" si="38"/>
        <v>2725</v>
      </c>
      <c r="AH16" s="412">
        <f t="shared" si="39"/>
        <v>7</v>
      </c>
      <c r="AI16" s="155">
        <f t="shared" si="40"/>
        <v>2800</v>
      </c>
      <c r="AJ16" s="155">
        <f t="shared" si="41"/>
        <v>100</v>
      </c>
      <c r="AK16" s="155"/>
      <c r="AL16" s="155">
        <f t="shared" si="42"/>
        <v>210</v>
      </c>
      <c r="AM16" s="155">
        <f t="shared" si="43"/>
        <v>0</v>
      </c>
      <c r="AN16" s="155">
        <f t="shared" si="44"/>
        <v>217</v>
      </c>
      <c r="AO16" s="155">
        <f t="shared" si="45"/>
        <v>28</v>
      </c>
      <c r="AP16" s="155"/>
      <c r="AQ16" s="155">
        <f t="shared" ref="AQ16" si="50">SUM(AI16:AO16)</f>
        <v>3355</v>
      </c>
      <c r="AS16" s="287">
        <f t="shared" si="46"/>
        <v>0</v>
      </c>
    </row>
    <row r="17" spans="2:45" s="54" customFormat="1" ht="12.75" customHeight="1" x14ac:dyDescent="0.2">
      <c r="B17" s="52">
        <v>8</v>
      </c>
      <c r="C17" s="94" t="s">
        <v>715</v>
      </c>
      <c r="D17" s="151" t="s">
        <v>716</v>
      </c>
      <c r="E17" s="152">
        <v>1</v>
      </c>
      <c r="F17" s="153" t="s">
        <v>20</v>
      </c>
      <c r="G17" s="153" t="s">
        <v>20</v>
      </c>
      <c r="H17" s="281">
        <v>0</v>
      </c>
      <c r="I17" s="291">
        <f t="shared" si="5"/>
        <v>0</v>
      </c>
      <c r="J17" s="167">
        <f t="shared" si="6"/>
        <v>0</v>
      </c>
      <c r="K17" s="155">
        <v>0</v>
      </c>
      <c r="L17" s="155">
        <v>0</v>
      </c>
      <c r="M17" s="155">
        <f t="shared" si="8"/>
        <v>0</v>
      </c>
      <c r="N17" s="455">
        <f t="shared" si="9"/>
        <v>0</v>
      </c>
      <c r="O17" s="156">
        <v>0</v>
      </c>
      <c r="P17" s="155">
        <f t="shared" si="10"/>
        <v>0</v>
      </c>
      <c r="Q17" s="155">
        <f t="shared" si="22"/>
        <v>0</v>
      </c>
      <c r="R17" s="155">
        <f t="shared" si="23"/>
        <v>0</v>
      </c>
      <c r="S17" s="140">
        <f t="shared" si="11"/>
        <v>0</v>
      </c>
      <c r="T17" s="409"/>
      <c r="U17" s="12"/>
      <c r="V17" s="12"/>
      <c r="W17" s="413" t="s">
        <v>313</v>
      </c>
      <c r="X17" s="155">
        <f t="shared" si="12"/>
        <v>0</v>
      </c>
      <c r="Y17" s="155"/>
      <c r="Z17" s="155"/>
      <c r="AA17" s="155">
        <f t="shared" si="13"/>
        <v>0</v>
      </c>
      <c r="AB17" s="155">
        <f t="shared" si="14"/>
        <v>0</v>
      </c>
      <c r="AC17" s="155">
        <f t="shared" si="24"/>
        <v>0</v>
      </c>
      <c r="AD17" s="155">
        <f t="shared" si="0"/>
        <v>0</v>
      </c>
      <c r="AE17" s="155">
        <f t="shared" si="15"/>
        <v>0</v>
      </c>
      <c r="AF17" s="155">
        <f t="shared" si="16"/>
        <v>0</v>
      </c>
      <c r="AH17" s="412">
        <f t="shared" si="17"/>
        <v>7</v>
      </c>
      <c r="AI17" s="155">
        <f t="shared" si="18"/>
        <v>0</v>
      </c>
      <c r="AJ17" s="155">
        <f t="shared" si="19"/>
        <v>0</v>
      </c>
      <c r="AK17" s="155"/>
      <c r="AL17" s="155">
        <f t="shared" si="1"/>
        <v>0</v>
      </c>
      <c r="AM17" s="155">
        <f t="shared" si="20"/>
        <v>0</v>
      </c>
      <c r="AN17" s="155">
        <f t="shared" si="21"/>
        <v>0</v>
      </c>
      <c r="AO17" s="155">
        <f t="shared" si="2"/>
        <v>0</v>
      </c>
      <c r="AP17" s="155"/>
      <c r="AQ17" s="155">
        <f t="shared" si="3"/>
        <v>0</v>
      </c>
      <c r="AS17" s="287">
        <f t="shared" si="4"/>
        <v>0</v>
      </c>
    </row>
    <row r="18" spans="2:45" ht="13.5" thickBot="1" x14ac:dyDescent="0.25">
      <c r="B18" s="55"/>
      <c r="C18" s="65" t="s">
        <v>391</v>
      </c>
      <c r="D18" s="157"/>
      <c r="E18" s="158">
        <f>SUM(E10:E17)</f>
        <v>8</v>
      </c>
      <c r="F18" s="159"/>
      <c r="G18" s="159"/>
      <c r="H18" s="159"/>
      <c r="I18" s="160">
        <f t="shared" ref="I18:N18" si="51">SUM(I10:I17)</f>
        <v>6650</v>
      </c>
      <c r="J18" s="160">
        <f t="shared" si="51"/>
        <v>79800</v>
      </c>
      <c r="K18" s="160">
        <f t="shared" si="51"/>
        <v>700</v>
      </c>
      <c r="L18" s="160">
        <f t="shared" si="51"/>
        <v>450</v>
      </c>
      <c r="M18" s="160">
        <f t="shared" si="51"/>
        <v>6650</v>
      </c>
      <c r="N18" s="456">
        <f t="shared" si="51"/>
        <v>6184.5</v>
      </c>
      <c r="O18" s="160">
        <f>SUM(O10:O13)</f>
        <v>0</v>
      </c>
      <c r="P18" s="160">
        <f>SUM(P10:P17)</f>
        <v>4410</v>
      </c>
      <c r="Q18" s="160">
        <f>SUM(Q10:Q17)</f>
        <v>588</v>
      </c>
      <c r="R18" s="160">
        <f>SUM(R10:R17)</f>
        <v>11182.5</v>
      </c>
      <c r="S18" s="57">
        <f>SUM(S10:S17)</f>
        <v>98782.5</v>
      </c>
      <c r="T18" s="409"/>
      <c r="U18" s="12"/>
      <c r="V18" s="12"/>
      <c r="W18" s="422"/>
      <c r="X18" s="422">
        <f>SUM(X10:X17)</f>
        <v>33250</v>
      </c>
      <c r="Y18" s="422"/>
      <c r="Z18" s="422"/>
      <c r="AA18" s="422">
        <f t="shared" ref="AA18:AF18" si="52">SUM(AA10:AA17)</f>
        <v>1837.5</v>
      </c>
      <c r="AB18" s="422">
        <f t="shared" si="52"/>
        <v>0</v>
      </c>
      <c r="AC18" s="422">
        <f t="shared" si="52"/>
        <v>2576.8900000000003</v>
      </c>
      <c r="AD18" s="422">
        <f t="shared" si="52"/>
        <v>245</v>
      </c>
      <c r="AE18" s="422">
        <f t="shared" si="52"/>
        <v>6650</v>
      </c>
      <c r="AF18" s="422">
        <f t="shared" si="52"/>
        <v>44559.39</v>
      </c>
      <c r="AH18" s="422"/>
      <c r="AI18" s="422">
        <f>SUM(AI10:AI17)</f>
        <v>46550</v>
      </c>
      <c r="AJ18" s="422">
        <f>SUM(AJ10:AJ17)</f>
        <v>700</v>
      </c>
      <c r="AK18" s="422"/>
      <c r="AL18" s="422">
        <f>SUM(AL10:AL17)</f>
        <v>2572.5</v>
      </c>
      <c r="AM18" s="422">
        <f>SUM(AM10:AM17)</f>
        <v>0</v>
      </c>
      <c r="AN18" s="422">
        <f>SUM(AN10:AN17)</f>
        <v>3607.6400000000003</v>
      </c>
      <c r="AO18" s="422">
        <f>SUM(AO10:AO17)</f>
        <v>343</v>
      </c>
      <c r="AP18" s="422"/>
      <c r="AQ18" s="422">
        <f>SUM(AQ10:AQ17)</f>
        <v>54223.139999999992</v>
      </c>
      <c r="AS18" s="287">
        <f t="shared" si="4"/>
        <v>3.0000000000654836E-2</v>
      </c>
    </row>
    <row r="19" spans="2:45" ht="13.5" thickTop="1" x14ac:dyDescent="0.2">
      <c r="B19" s="52">
        <v>7</v>
      </c>
      <c r="C19" s="32" t="s">
        <v>359</v>
      </c>
      <c r="D19" s="151" t="s">
        <v>560</v>
      </c>
      <c r="E19" s="152">
        <v>1</v>
      </c>
      <c r="F19" s="153" t="s">
        <v>21</v>
      </c>
      <c r="G19" s="153" t="s">
        <v>21</v>
      </c>
      <c r="H19" s="281">
        <v>0</v>
      </c>
      <c r="I19" s="291">
        <f>E19*H19</f>
        <v>0</v>
      </c>
      <c r="J19" s="155">
        <f>I19*12</f>
        <v>0</v>
      </c>
      <c r="K19" s="155">
        <f t="shared" ref="K19:K26" si="53">100*E19</f>
        <v>100</v>
      </c>
      <c r="L19" s="155">
        <v>0</v>
      </c>
      <c r="M19" s="155">
        <f>I19</f>
        <v>0</v>
      </c>
      <c r="N19" s="455">
        <f>ROUND(J19*$N$9,2)</f>
        <v>0</v>
      </c>
      <c r="O19" s="155">
        <v>0</v>
      </c>
      <c r="P19" s="155">
        <f t="shared" ref="P19:P26" si="54">ROUND((IF(I19&gt;1000,1000*$P$9*12,I19*$P$9*12)),2)</f>
        <v>0</v>
      </c>
      <c r="Q19" s="155">
        <f t="shared" si="22"/>
        <v>0</v>
      </c>
      <c r="R19" s="155">
        <f t="shared" ref="R19:R26" si="55">SUM(N19:Q19)</f>
        <v>0</v>
      </c>
      <c r="S19" s="140">
        <f t="shared" ref="S19:S26" si="56">J19+K19+L19+M19+R19</f>
        <v>100</v>
      </c>
      <c r="T19" s="409"/>
      <c r="U19" s="12"/>
      <c r="V19" s="12"/>
      <c r="W19" s="413" t="s">
        <v>312</v>
      </c>
      <c r="X19" s="155">
        <f t="shared" si="12"/>
        <v>0</v>
      </c>
      <c r="Y19" s="155"/>
      <c r="Z19" s="155"/>
      <c r="AA19" s="155">
        <f t="shared" ref="AA19:AA26" si="57">ROUND(((P19/12)*W19),2)</f>
        <v>0</v>
      </c>
      <c r="AB19" s="155">
        <f t="shared" si="14"/>
        <v>0</v>
      </c>
      <c r="AC19" s="155">
        <f t="shared" si="24"/>
        <v>0</v>
      </c>
      <c r="AD19" s="155">
        <f t="shared" ref="AD19:AD26" si="58">ROUND(((Q19/12)*W19),2)</f>
        <v>0</v>
      </c>
      <c r="AE19" s="155">
        <f t="shared" si="15"/>
        <v>0</v>
      </c>
      <c r="AF19" s="155">
        <f t="shared" si="16"/>
        <v>0</v>
      </c>
      <c r="AH19" s="413">
        <f t="shared" si="17"/>
        <v>8</v>
      </c>
      <c r="AI19" s="155">
        <f t="shared" si="18"/>
        <v>0</v>
      </c>
      <c r="AJ19" s="155">
        <f t="shared" si="19"/>
        <v>100</v>
      </c>
      <c r="AK19" s="155"/>
      <c r="AL19" s="155">
        <f t="shared" ref="AL19:AL26" si="59">ROUND(((P19/12)*AH19),2)</f>
        <v>0</v>
      </c>
      <c r="AM19" s="155">
        <f t="shared" si="20"/>
        <v>0</v>
      </c>
      <c r="AN19" s="155">
        <f t="shared" si="21"/>
        <v>0</v>
      </c>
      <c r="AO19" s="155">
        <f t="shared" ref="AO19:AO26" si="60">ROUND(((Q19/12)*AH19),2)</f>
        <v>0</v>
      </c>
      <c r="AP19" s="155"/>
      <c r="AQ19" s="155">
        <f t="shared" si="3"/>
        <v>100</v>
      </c>
      <c r="AS19" s="287">
        <f t="shared" si="4"/>
        <v>0</v>
      </c>
    </row>
    <row r="20" spans="2:45" x14ac:dyDescent="0.2">
      <c r="B20" s="52">
        <v>8</v>
      </c>
      <c r="C20" s="32" t="s">
        <v>675</v>
      </c>
      <c r="D20" s="151" t="s">
        <v>560</v>
      </c>
      <c r="E20" s="152">
        <v>1</v>
      </c>
      <c r="F20" s="153" t="s">
        <v>21</v>
      </c>
      <c r="G20" s="153" t="s">
        <v>21</v>
      </c>
      <c r="H20" s="281">
        <v>500</v>
      </c>
      <c r="I20" s="291">
        <f t="shared" ref="I20" si="61">E20*H20</f>
        <v>500</v>
      </c>
      <c r="J20" s="155">
        <f t="shared" ref="J20" si="62">I20*12</f>
        <v>6000</v>
      </c>
      <c r="K20" s="155">
        <f t="shared" ref="K20" si="63">100*E20</f>
        <v>100</v>
      </c>
      <c r="L20" s="155">
        <v>0</v>
      </c>
      <c r="M20" s="155">
        <f t="shared" ref="M20" si="64">I20</f>
        <v>500</v>
      </c>
      <c r="N20" s="455">
        <f>ROUND(J20*$N$9,2)</f>
        <v>465</v>
      </c>
      <c r="O20" s="155">
        <v>0</v>
      </c>
      <c r="P20" s="155">
        <f t="shared" ref="P20" si="65">ROUND((IF(I20&gt;1000,1000*$P$9*12,I20*$P$9*12)),2)</f>
        <v>450</v>
      </c>
      <c r="Q20" s="155">
        <f t="shared" si="22"/>
        <v>60</v>
      </c>
      <c r="R20" s="155">
        <f t="shared" ref="R20" si="66">SUM(N20:Q20)</f>
        <v>975</v>
      </c>
      <c r="S20" s="140">
        <f t="shared" ref="S20" si="67">J20+K20+L20+M20+R20</f>
        <v>7575</v>
      </c>
      <c r="T20" s="12"/>
      <c r="U20" s="12"/>
      <c r="V20" s="12"/>
      <c r="W20" s="413" t="s">
        <v>312</v>
      </c>
      <c r="X20" s="155">
        <f t="shared" ref="X20" si="68">I20*W20</f>
        <v>2000</v>
      </c>
      <c r="Y20" s="155"/>
      <c r="Z20" s="155"/>
      <c r="AA20" s="155">
        <f t="shared" ref="AA20" si="69">ROUND(((P20/12)*W20),2)</f>
        <v>150</v>
      </c>
      <c r="AB20" s="155">
        <f t="shared" ref="AB20" si="70">(O20/12)*W20</f>
        <v>0</v>
      </c>
      <c r="AC20" s="155">
        <f t="shared" ref="AC20" si="71">ROUND(((N20/12)*W20),2)</f>
        <v>155</v>
      </c>
      <c r="AD20" s="155">
        <f t="shared" ref="AD20" si="72">ROUND(((Q20/12)*W20),2)</f>
        <v>20</v>
      </c>
      <c r="AE20" s="155">
        <f t="shared" ref="AE20" si="73">M20</f>
        <v>500</v>
      </c>
      <c r="AF20" s="155">
        <f t="shared" ref="AF20" si="74">SUM(X20:AE20)</f>
        <v>2825</v>
      </c>
      <c r="AH20" s="413">
        <f t="shared" ref="AH20" si="75">12-W20</f>
        <v>8</v>
      </c>
      <c r="AI20" s="155">
        <f t="shared" ref="AI20" si="76">I20*AH20</f>
        <v>4000</v>
      </c>
      <c r="AJ20" s="155">
        <f t="shared" ref="AJ20" si="77">K20</f>
        <v>100</v>
      </c>
      <c r="AK20" s="155"/>
      <c r="AL20" s="155">
        <f t="shared" ref="AL20" si="78">ROUND(((P20/12)*AH20),2)</f>
        <v>300</v>
      </c>
      <c r="AM20" s="155">
        <f t="shared" ref="AM20" si="79">(O20/12)*AH20</f>
        <v>0</v>
      </c>
      <c r="AN20" s="155">
        <f t="shared" ref="AN20" si="80">ROUND(((N20/12)*AH20),2)</f>
        <v>310</v>
      </c>
      <c r="AO20" s="155">
        <f t="shared" ref="AO20" si="81">ROUND(((Q20/12)*AH20),2)</f>
        <v>40</v>
      </c>
      <c r="AP20" s="155"/>
      <c r="AQ20" s="155">
        <f t="shared" ref="AQ20" si="82">SUM(AI20:AO20)</f>
        <v>4750</v>
      </c>
      <c r="AS20" s="287">
        <f t="shared" ref="AS20" si="83">AC20+AN20-N20</f>
        <v>0</v>
      </c>
    </row>
    <row r="21" spans="2:45" x14ac:dyDescent="0.2">
      <c r="B21" s="52">
        <v>8</v>
      </c>
      <c r="C21" s="32" t="s">
        <v>711</v>
      </c>
      <c r="D21" s="151" t="s">
        <v>712</v>
      </c>
      <c r="E21" s="152">
        <v>1</v>
      </c>
      <c r="F21" s="153" t="s">
        <v>21</v>
      </c>
      <c r="G21" s="153" t="s">
        <v>21</v>
      </c>
      <c r="H21" s="281">
        <v>800</v>
      </c>
      <c r="I21" s="291">
        <f t="shared" ref="I21" si="84">E21*H21</f>
        <v>800</v>
      </c>
      <c r="J21" s="155">
        <f t="shared" ref="J21" si="85">I21*12</f>
        <v>9600</v>
      </c>
      <c r="K21" s="155">
        <f t="shared" ref="K21" si="86">100*E21</f>
        <v>100</v>
      </c>
      <c r="L21" s="155">
        <v>0</v>
      </c>
      <c r="M21" s="155">
        <f t="shared" ref="M21" si="87">I21</f>
        <v>800</v>
      </c>
      <c r="N21" s="455">
        <f>ROUND(J21*$N$9,2)</f>
        <v>744</v>
      </c>
      <c r="O21" s="155">
        <v>0</v>
      </c>
      <c r="P21" s="155">
        <f t="shared" ref="P21" si="88">ROUND((IF(I21&gt;1000,1000*$P$9*12,I21*$P$9*12)),2)</f>
        <v>720</v>
      </c>
      <c r="Q21" s="155">
        <f t="shared" ref="Q21" si="89">ROUND((IF(I21&gt;1000,1000*$Q$9*12,I21*$Q$9*12)),2)</f>
        <v>96</v>
      </c>
      <c r="R21" s="155">
        <f t="shared" ref="R21" si="90">SUM(N21:Q21)</f>
        <v>1560</v>
      </c>
      <c r="S21" s="140">
        <f t="shared" ref="S21" si="91">J21+K21+L21+M21+R21</f>
        <v>12060</v>
      </c>
      <c r="T21" s="12"/>
      <c r="U21" s="12"/>
      <c r="V21" s="12"/>
      <c r="W21" s="413" t="s">
        <v>312</v>
      </c>
      <c r="X21" s="155">
        <f t="shared" ref="X21" si="92">I21*W21</f>
        <v>3200</v>
      </c>
      <c r="Y21" s="155"/>
      <c r="Z21" s="155"/>
      <c r="AA21" s="155">
        <f t="shared" ref="AA21" si="93">ROUND(((P21/12)*W21),2)</f>
        <v>240</v>
      </c>
      <c r="AB21" s="155">
        <f t="shared" ref="AB21" si="94">(O21/12)*W21</f>
        <v>0</v>
      </c>
      <c r="AC21" s="155">
        <f t="shared" ref="AC21" si="95">ROUND(((N21/12)*W21),2)</f>
        <v>248</v>
      </c>
      <c r="AD21" s="155">
        <f t="shared" ref="AD21" si="96">ROUND(((Q21/12)*W21),2)</f>
        <v>32</v>
      </c>
      <c r="AE21" s="155">
        <f t="shared" ref="AE21" si="97">M21</f>
        <v>800</v>
      </c>
      <c r="AF21" s="155">
        <f t="shared" ref="AF21" si="98">SUM(X21:AE21)</f>
        <v>4520</v>
      </c>
      <c r="AH21" s="413">
        <f t="shared" ref="AH21" si="99">12-W21</f>
        <v>8</v>
      </c>
      <c r="AI21" s="155">
        <f t="shared" ref="AI21" si="100">I21*AH21</f>
        <v>6400</v>
      </c>
      <c r="AJ21" s="155">
        <f t="shared" ref="AJ21" si="101">K21</f>
        <v>100</v>
      </c>
      <c r="AK21" s="155"/>
      <c r="AL21" s="155">
        <f t="shared" ref="AL21" si="102">ROUND(((P21/12)*AH21),2)</f>
        <v>480</v>
      </c>
      <c r="AM21" s="155">
        <f t="shared" ref="AM21" si="103">(O21/12)*AH21</f>
        <v>0</v>
      </c>
      <c r="AN21" s="155">
        <f t="shared" ref="AN21" si="104">ROUND(((N21/12)*AH21),2)</f>
        <v>496</v>
      </c>
      <c r="AO21" s="155">
        <f t="shared" ref="AO21" si="105">ROUND(((Q21/12)*AH21),2)</f>
        <v>64</v>
      </c>
      <c r="AP21" s="155"/>
      <c r="AQ21" s="155">
        <f t="shared" ref="AQ21" si="106">SUM(AI21:AO21)</f>
        <v>7540</v>
      </c>
      <c r="AS21" s="287">
        <f t="shared" ref="AS21" si="107">AC21+AN21-N21</f>
        <v>0</v>
      </c>
    </row>
    <row r="22" spans="2:45" x14ac:dyDescent="0.2">
      <c r="B22" s="52">
        <v>9</v>
      </c>
      <c r="C22" s="32" t="s">
        <v>360</v>
      </c>
      <c r="D22" s="151" t="s">
        <v>561</v>
      </c>
      <c r="E22" s="152">
        <v>1</v>
      </c>
      <c r="F22" s="153" t="s">
        <v>21</v>
      </c>
      <c r="G22" s="153" t="s">
        <v>21</v>
      </c>
      <c r="H22" s="281">
        <v>800</v>
      </c>
      <c r="I22" s="291">
        <f t="shared" si="5"/>
        <v>800</v>
      </c>
      <c r="J22" s="155">
        <f t="shared" ref="J22:J26" si="108">I22*12</f>
        <v>9600</v>
      </c>
      <c r="K22" s="155">
        <f t="shared" si="53"/>
        <v>100</v>
      </c>
      <c r="L22" s="155">
        <v>0</v>
      </c>
      <c r="M22" s="155">
        <f t="shared" ref="M22:M26" si="109">I22</f>
        <v>800</v>
      </c>
      <c r="N22" s="455">
        <f>ROUND(J22*$N$9,2)</f>
        <v>744</v>
      </c>
      <c r="O22" s="155">
        <v>0</v>
      </c>
      <c r="P22" s="155">
        <f t="shared" si="54"/>
        <v>720</v>
      </c>
      <c r="Q22" s="155">
        <f t="shared" si="22"/>
        <v>96</v>
      </c>
      <c r="R22" s="155">
        <f t="shared" si="55"/>
        <v>1560</v>
      </c>
      <c r="S22" s="140">
        <f t="shared" si="56"/>
        <v>12060</v>
      </c>
      <c r="T22" s="12"/>
      <c r="U22" s="12"/>
      <c r="V22" s="12"/>
      <c r="W22" s="413" t="s">
        <v>312</v>
      </c>
      <c r="X22" s="155">
        <f t="shared" si="12"/>
        <v>3200</v>
      </c>
      <c r="Y22" s="155"/>
      <c r="Z22" s="155"/>
      <c r="AA22" s="155">
        <f t="shared" si="57"/>
        <v>240</v>
      </c>
      <c r="AB22" s="155">
        <f t="shared" si="14"/>
        <v>0</v>
      </c>
      <c r="AC22" s="155">
        <f t="shared" si="24"/>
        <v>248</v>
      </c>
      <c r="AD22" s="155">
        <f t="shared" si="58"/>
        <v>32</v>
      </c>
      <c r="AE22" s="155">
        <f t="shared" si="15"/>
        <v>800</v>
      </c>
      <c r="AF22" s="155">
        <f t="shared" si="16"/>
        <v>4520</v>
      </c>
      <c r="AH22" s="413">
        <f t="shared" si="17"/>
        <v>8</v>
      </c>
      <c r="AI22" s="155">
        <f t="shared" si="18"/>
        <v>6400</v>
      </c>
      <c r="AJ22" s="155">
        <f t="shared" si="19"/>
        <v>100</v>
      </c>
      <c r="AK22" s="155"/>
      <c r="AL22" s="155">
        <f t="shared" si="59"/>
        <v>480</v>
      </c>
      <c r="AM22" s="155">
        <f t="shared" si="20"/>
        <v>0</v>
      </c>
      <c r="AN22" s="155">
        <f t="shared" si="21"/>
        <v>496</v>
      </c>
      <c r="AO22" s="155">
        <f t="shared" si="60"/>
        <v>64</v>
      </c>
      <c r="AP22" s="155"/>
      <c r="AQ22" s="155">
        <f t="shared" si="3"/>
        <v>7540</v>
      </c>
      <c r="AS22" s="287">
        <f t="shared" si="4"/>
        <v>0</v>
      </c>
    </row>
    <row r="23" spans="2:45" s="59" customFormat="1" x14ac:dyDescent="0.2">
      <c r="B23" s="52">
        <v>10</v>
      </c>
      <c r="C23" s="288" t="s">
        <v>590</v>
      </c>
      <c r="D23" s="226" t="s">
        <v>367</v>
      </c>
      <c r="E23" s="227">
        <v>1</v>
      </c>
      <c r="F23" s="228" t="s">
        <v>21</v>
      </c>
      <c r="G23" s="228" t="s">
        <v>21</v>
      </c>
      <c r="H23" s="282">
        <v>500</v>
      </c>
      <c r="I23" s="292">
        <f t="shared" si="5"/>
        <v>500</v>
      </c>
      <c r="J23" s="229">
        <f t="shared" si="108"/>
        <v>6000</v>
      </c>
      <c r="K23" s="229">
        <f t="shared" si="53"/>
        <v>100</v>
      </c>
      <c r="L23" s="229">
        <v>0</v>
      </c>
      <c r="M23" s="229">
        <f t="shared" si="109"/>
        <v>500</v>
      </c>
      <c r="N23" s="457">
        <f t="shared" ref="N23:N26" si="110">ROUND(J23*$N$9,2)</f>
        <v>465</v>
      </c>
      <c r="O23" s="229">
        <v>0</v>
      </c>
      <c r="P23" s="229">
        <f t="shared" si="54"/>
        <v>450</v>
      </c>
      <c r="Q23" s="229">
        <f t="shared" si="22"/>
        <v>60</v>
      </c>
      <c r="R23" s="229">
        <f t="shared" si="55"/>
        <v>975</v>
      </c>
      <c r="S23" s="230">
        <f t="shared" si="56"/>
        <v>7575</v>
      </c>
      <c r="T23" s="58"/>
      <c r="U23" s="58"/>
      <c r="V23" s="58"/>
      <c r="W23" s="413" t="s">
        <v>312</v>
      </c>
      <c r="X23" s="229">
        <f t="shared" si="12"/>
        <v>2000</v>
      </c>
      <c r="Y23" s="229"/>
      <c r="Z23" s="229"/>
      <c r="AA23" s="229">
        <f t="shared" si="57"/>
        <v>150</v>
      </c>
      <c r="AB23" s="229">
        <f t="shared" si="14"/>
        <v>0</v>
      </c>
      <c r="AC23" s="229">
        <f t="shared" si="24"/>
        <v>155</v>
      </c>
      <c r="AD23" s="229">
        <f t="shared" si="58"/>
        <v>20</v>
      </c>
      <c r="AE23" s="229">
        <f t="shared" si="15"/>
        <v>500</v>
      </c>
      <c r="AF23" s="229">
        <f t="shared" si="16"/>
        <v>2825</v>
      </c>
      <c r="AH23" s="413">
        <f t="shared" si="17"/>
        <v>8</v>
      </c>
      <c r="AI23" s="229">
        <f t="shared" si="18"/>
        <v>4000</v>
      </c>
      <c r="AJ23" s="229">
        <f t="shared" si="19"/>
        <v>100</v>
      </c>
      <c r="AK23" s="229"/>
      <c r="AL23" s="229">
        <f t="shared" si="59"/>
        <v>300</v>
      </c>
      <c r="AM23" s="229">
        <f t="shared" si="20"/>
        <v>0</v>
      </c>
      <c r="AN23" s="229">
        <f t="shared" si="21"/>
        <v>310</v>
      </c>
      <c r="AO23" s="229">
        <f t="shared" si="60"/>
        <v>40</v>
      </c>
      <c r="AP23" s="229"/>
      <c r="AQ23" s="229">
        <f t="shared" si="3"/>
        <v>4750</v>
      </c>
      <c r="AS23" s="287">
        <f t="shared" si="4"/>
        <v>0</v>
      </c>
    </row>
    <row r="24" spans="2:45" s="59" customFormat="1" x14ac:dyDescent="0.2">
      <c r="B24" s="52">
        <v>11</v>
      </c>
      <c r="C24" s="32" t="s">
        <v>431</v>
      </c>
      <c r="D24" s="151" t="s">
        <v>562</v>
      </c>
      <c r="E24" s="152">
        <v>1</v>
      </c>
      <c r="F24" s="153" t="s">
        <v>21</v>
      </c>
      <c r="G24" s="153" t="s">
        <v>21</v>
      </c>
      <c r="H24" s="281">
        <v>1900</v>
      </c>
      <c r="I24" s="291">
        <f t="shared" si="5"/>
        <v>1900</v>
      </c>
      <c r="J24" s="155">
        <f t="shared" si="108"/>
        <v>22800</v>
      </c>
      <c r="K24" s="155">
        <f t="shared" si="53"/>
        <v>100</v>
      </c>
      <c r="L24" s="155">
        <v>0</v>
      </c>
      <c r="M24" s="155">
        <f t="shared" si="109"/>
        <v>1900</v>
      </c>
      <c r="N24" s="455">
        <f t="shared" si="110"/>
        <v>1767</v>
      </c>
      <c r="O24" s="155">
        <v>0</v>
      </c>
      <c r="P24" s="155">
        <f t="shared" si="54"/>
        <v>900</v>
      </c>
      <c r="Q24" s="155">
        <f t="shared" si="22"/>
        <v>120</v>
      </c>
      <c r="R24" s="155">
        <f t="shared" si="55"/>
        <v>2787</v>
      </c>
      <c r="S24" s="140">
        <f t="shared" si="56"/>
        <v>27587</v>
      </c>
      <c r="T24" s="58"/>
      <c r="U24" s="58"/>
      <c r="V24" s="58"/>
      <c r="W24" s="413" t="s">
        <v>312</v>
      </c>
      <c r="X24" s="155">
        <f t="shared" si="12"/>
        <v>7600</v>
      </c>
      <c r="Y24" s="155"/>
      <c r="Z24" s="155"/>
      <c r="AA24" s="155">
        <f t="shared" si="57"/>
        <v>300</v>
      </c>
      <c r="AB24" s="155">
        <f t="shared" si="14"/>
        <v>0</v>
      </c>
      <c r="AC24" s="155">
        <f t="shared" si="24"/>
        <v>589</v>
      </c>
      <c r="AD24" s="155">
        <f t="shared" si="58"/>
        <v>40</v>
      </c>
      <c r="AE24" s="155">
        <f t="shared" si="15"/>
        <v>1900</v>
      </c>
      <c r="AF24" s="155">
        <f t="shared" si="16"/>
        <v>10429</v>
      </c>
      <c r="AH24" s="413">
        <f t="shared" si="17"/>
        <v>8</v>
      </c>
      <c r="AI24" s="155">
        <f t="shared" si="18"/>
        <v>15200</v>
      </c>
      <c r="AJ24" s="155">
        <f t="shared" si="19"/>
        <v>100</v>
      </c>
      <c r="AK24" s="155"/>
      <c r="AL24" s="155">
        <f t="shared" si="59"/>
        <v>600</v>
      </c>
      <c r="AM24" s="155">
        <f t="shared" si="20"/>
        <v>0</v>
      </c>
      <c r="AN24" s="155">
        <f t="shared" si="21"/>
        <v>1178</v>
      </c>
      <c r="AO24" s="155">
        <f t="shared" si="60"/>
        <v>80</v>
      </c>
      <c r="AP24" s="155"/>
      <c r="AQ24" s="155">
        <f t="shared" si="3"/>
        <v>17158</v>
      </c>
      <c r="AS24" s="287">
        <f t="shared" si="4"/>
        <v>0</v>
      </c>
    </row>
    <row r="25" spans="2:45" s="59" customFormat="1" ht="12.75" customHeight="1" x14ac:dyDescent="0.2">
      <c r="B25" s="52">
        <v>12</v>
      </c>
      <c r="C25" s="289" t="s">
        <v>392</v>
      </c>
      <c r="D25" s="151" t="s">
        <v>365</v>
      </c>
      <c r="E25" s="152">
        <v>1</v>
      </c>
      <c r="F25" s="153" t="s">
        <v>21</v>
      </c>
      <c r="G25" s="153" t="s">
        <v>21</v>
      </c>
      <c r="H25" s="281">
        <v>650</v>
      </c>
      <c r="I25" s="291">
        <f t="shared" si="5"/>
        <v>650</v>
      </c>
      <c r="J25" s="155">
        <f t="shared" si="108"/>
        <v>7800</v>
      </c>
      <c r="K25" s="155">
        <f t="shared" si="53"/>
        <v>100</v>
      </c>
      <c r="L25" s="155">
        <v>0</v>
      </c>
      <c r="M25" s="155">
        <f t="shared" si="109"/>
        <v>650</v>
      </c>
      <c r="N25" s="455">
        <f t="shared" si="110"/>
        <v>604.5</v>
      </c>
      <c r="O25" s="155">
        <v>0</v>
      </c>
      <c r="P25" s="155">
        <f t="shared" si="54"/>
        <v>585</v>
      </c>
      <c r="Q25" s="155">
        <f t="shared" si="22"/>
        <v>78</v>
      </c>
      <c r="R25" s="155">
        <f t="shared" si="55"/>
        <v>1267.5</v>
      </c>
      <c r="S25" s="140">
        <f t="shared" si="56"/>
        <v>9817.5</v>
      </c>
      <c r="T25" s="58"/>
      <c r="U25" s="58"/>
      <c r="V25" s="58"/>
      <c r="W25" s="413" t="s">
        <v>312</v>
      </c>
      <c r="X25" s="155">
        <f t="shared" si="12"/>
        <v>2600</v>
      </c>
      <c r="Y25" s="155"/>
      <c r="Z25" s="155"/>
      <c r="AA25" s="155">
        <f t="shared" si="57"/>
        <v>195</v>
      </c>
      <c r="AB25" s="155">
        <f t="shared" si="14"/>
        <v>0</v>
      </c>
      <c r="AC25" s="155">
        <f t="shared" si="24"/>
        <v>201.5</v>
      </c>
      <c r="AD25" s="155">
        <f t="shared" si="58"/>
        <v>26</v>
      </c>
      <c r="AE25" s="155">
        <f t="shared" si="15"/>
        <v>650</v>
      </c>
      <c r="AF25" s="155">
        <f t="shared" si="16"/>
        <v>3672.5</v>
      </c>
      <c r="AH25" s="413">
        <f t="shared" si="17"/>
        <v>8</v>
      </c>
      <c r="AI25" s="155">
        <f t="shared" si="18"/>
        <v>5200</v>
      </c>
      <c r="AJ25" s="155">
        <f t="shared" si="19"/>
        <v>100</v>
      </c>
      <c r="AK25" s="155"/>
      <c r="AL25" s="155">
        <f t="shared" si="59"/>
        <v>390</v>
      </c>
      <c r="AM25" s="155">
        <f t="shared" si="20"/>
        <v>0</v>
      </c>
      <c r="AN25" s="155">
        <f t="shared" si="21"/>
        <v>403</v>
      </c>
      <c r="AO25" s="155">
        <f t="shared" si="60"/>
        <v>52</v>
      </c>
      <c r="AP25" s="155"/>
      <c r="AQ25" s="155">
        <f t="shared" si="3"/>
        <v>6145</v>
      </c>
      <c r="AS25" s="287">
        <f t="shared" si="4"/>
        <v>0</v>
      </c>
    </row>
    <row r="26" spans="2:45" s="59" customFormat="1" x14ac:dyDescent="0.2">
      <c r="B26" s="52">
        <v>13</v>
      </c>
      <c r="C26" s="289" t="s">
        <v>605</v>
      </c>
      <c r="D26" s="151" t="s">
        <v>22</v>
      </c>
      <c r="E26" s="152">
        <v>1</v>
      </c>
      <c r="F26" s="153" t="s">
        <v>21</v>
      </c>
      <c r="G26" s="153" t="s">
        <v>21</v>
      </c>
      <c r="H26" s="281">
        <v>700</v>
      </c>
      <c r="I26" s="291">
        <f t="shared" si="5"/>
        <v>700</v>
      </c>
      <c r="J26" s="155">
        <f t="shared" si="108"/>
        <v>8400</v>
      </c>
      <c r="K26" s="155">
        <f t="shared" si="53"/>
        <v>100</v>
      </c>
      <c r="L26" s="155">
        <v>0</v>
      </c>
      <c r="M26" s="155">
        <f t="shared" si="109"/>
        <v>700</v>
      </c>
      <c r="N26" s="455">
        <f t="shared" si="110"/>
        <v>651</v>
      </c>
      <c r="O26" s="155">
        <v>0</v>
      </c>
      <c r="P26" s="155">
        <f t="shared" si="54"/>
        <v>630</v>
      </c>
      <c r="Q26" s="155">
        <f t="shared" si="22"/>
        <v>84</v>
      </c>
      <c r="R26" s="155">
        <f t="shared" si="55"/>
        <v>1365</v>
      </c>
      <c r="S26" s="140">
        <f t="shared" si="56"/>
        <v>10565</v>
      </c>
      <c r="T26" s="58"/>
      <c r="U26" s="58"/>
      <c r="V26" s="58"/>
      <c r="W26" s="413" t="s">
        <v>312</v>
      </c>
      <c r="X26" s="155">
        <f t="shared" si="12"/>
        <v>2800</v>
      </c>
      <c r="Y26" s="155"/>
      <c r="Z26" s="155"/>
      <c r="AA26" s="155">
        <f t="shared" si="57"/>
        <v>210</v>
      </c>
      <c r="AB26" s="155">
        <f t="shared" si="14"/>
        <v>0</v>
      </c>
      <c r="AC26" s="155">
        <f t="shared" si="24"/>
        <v>217</v>
      </c>
      <c r="AD26" s="155">
        <f t="shared" si="58"/>
        <v>28</v>
      </c>
      <c r="AE26" s="155">
        <f t="shared" si="15"/>
        <v>700</v>
      </c>
      <c r="AF26" s="155">
        <f t="shared" si="16"/>
        <v>3955</v>
      </c>
      <c r="AH26" s="413">
        <f t="shared" si="17"/>
        <v>8</v>
      </c>
      <c r="AI26" s="155">
        <f t="shared" si="18"/>
        <v>5600</v>
      </c>
      <c r="AJ26" s="155">
        <f t="shared" si="19"/>
        <v>100</v>
      </c>
      <c r="AK26" s="155"/>
      <c r="AL26" s="155">
        <f t="shared" si="59"/>
        <v>420</v>
      </c>
      <c r="AM26" s="155">
        <f t="shared" si="20"/>
        <v>0</v>
      </c>
      <c r="AN26" s="155">
        <f t="shared" si="21"/>
        <v>434</v>
      </c>
      <c r="AO26" s="155">
        <f t="shared" si="60"/>
        <v>56</v>
      </c>
      <c r="AP26" s="155"/>
      <c r="AQ26" s="155">
        <f t="shared" si="3"/>
        <v>6610</v>
      </c>
      <c r="AS26" s="287">
        <f t="shared" si="4"/>
        <v>0</v>
      </c>
    </row>
    <row r="27" spans="2:45" ht="13.5" thickBot="1" x14ac:dyDescent="0.25">
      <c r="B27" s="55"/>
      <c r="C27" s="65" t="s">
        <v>393</v>
      </c>
      <c r="D27" s="157"/>
      <c r="E27" s="158">
        <f>SUM(E19:E26)</f>
        <v>8</v>
      </c>
      <c r="F27" s="159"/>
      <c r="G27" s="159"/>
      <c r="H27" s="159"/>
      <c r="I27" s="160">
        <f t="shared" ref="I27:P27" si="111">SUM(I19:I26)</f>
        <v>5850</v>
      </c>
      <c r="J27" s="161">
        <f t="shared" si="111"/>
        <v>70200</v>
      </c>
      <c r="K27" s="161">
        <f>SUM(K19:K26)</f>
        <v>800</v>
      </c>
      <c r="L27" s="161">
        <f t="shared" ref="L27" si="112">SUM(L19:L26)</f>
        <v>0</v>
      </c>
      <c r="M27" s="161">
        <f t="shared" si="111"/>
        <v>5850</v>
      </c>
      <c r="N27" s="458">
        <f t="shared" si="111"/>
        <v>5440.5</v>
      </c>
      <c r="O27" s="161">
        <f t="shared" si="111"/>
        <v>0</v>
      </c>
      <c r="P27" s="161">
        <f t="shared" si="111"/>
        <v>4455</v>
      </c>
      <c r="Q27" s="161">
        <f>SUM(Q19:Q26)</f>
        <v>594</v>
      </c>
      <c r="R27" s="161">
        <f>SUM(R19:R26)</f>
        <v>10489.5</v>
      </c>
      <c r="S27" s="141">
        <f>SUM(S19:S26)</f>
        <v>87339.5</v>
      </c>
      <c r="T27" s="12"/>
      <c r="U27" s="12"/>
      <c r="V27" s="12"/>
      <c r="W27" s="423"/>
      <c r="X27" s="423">
        <f t="shared" ref="X27:AD27" si="113">SUM(X19:X26)</f>
        <v>23400</v>
      </c>
      <c r="Y27" s="423"/>
      <c r="Z27" s="423"/>
      <c r="AA27" s="423">
        <f t="shared" si="113"/>
        <v>1485</v>
      </c>
      <c r="AB27" s="423">
        <f t="shared" si="113"/>
        <v>0</v>
      </c>
      <c r="AC27" s="423">
        <f t="shared" si="113"/>
        <v>1813.5</v>
      </c>
      <c r="AD27" s="423">
        <f t="shared" si="113"/>
        <v>198</v>
      </c>
      <c r="AE27" s="423">
        <f t="shared" ref="AE27" si="114">SUM(AE19:AE26)</f>
        <v>5850</v>
      </c>
      <c r="AF27" s="423">
        <f>SUM(AF19:AF26)</f>
        <v>32746.5</v>
      </c>
      <c r="AH27" s="423"/>
      <c r="AI27" s="423">
        <f t="shared" ref="AI27:AJ27" si="115">SUM(AI19:AI26)</f>
        <v>46800</v>
      </c>
      <c r="AJ27" s="423">
        <f t="shared" si="115"/>
        <v>800</v>
      </c>
      <c r="AK27" s="423"/>
      <c r="AL27" s="423">
        <f t="shared" ref="AL27" si="116">SUM(AL19:AL26)</f>
        <v>2970</v>
      </c>
      <c r="AM27" s="423">
        <f t="shared" ref="AM27" si="117">SUM(AM19:AM26)</f>
        <v>0</v>
      </c>
      <c r="AN27" s="423">
        <f t="shared" ref="AN27" si="118">SUM(AN19:AN26)</f>
        <v>3627</v>
      </c>
      <c r="AO27" s="423">
        <f t="shared" ref="AO27" si="119">SUM(AO19:AO26)</f>
        <v>396</v>
      </c>
      <c r="AP27" s="423"/>
      <c r="AQ27" s="423">
        <f>SUM(AQ19:AQ26)</f>
        <v>54593</v>
      </c>
      <c r="AS27" s="287">
        <f t="shared" si="4"/>
        <v>0</v>
      </c>
    </row>
    <row r="28" spans="2:45" ht="13.5" hidden="1" thickTop="1" x14ac:dyDescent="0.2">
      <c r="B28" s="52"/>
      <c r="C28" s="32"/>
      <c r="D28" s="151"/>
      <c r="E28" s="152"/>
      <c r="F28" s="153"/>
      <c r="G28" s="153"/>
      <c r="H28" s="153"/>
      <c r="I28" s="291"/>
      <c r="J28" s="155"/>
      <c r="K28" s="155"/>
      <c r="L28" s="155"/>
      <c r="M28" s="155"/>
      <c r="N28" s="455"/>
      <c r="O28" s="155"/>
      <c r="P28" s="155"/>
      <c r="Q28" s="155"/>
      <c r="R28" s="155"/>
      <c r="S28" s="140"/>
      <c r="T28" s="12"/>
      <c r="U28" s="12"/>
      <c r="V28" s="12"/>
      <c r="W28" s="424"/>
      <c r="X28" s="425"/>
      <c r="Y28" s="425"/>
      <c r="Z28" s="425"/>
      <c r="AA28" s="425"/>
      <c r="AB28" s="425">
        <f t="shared" si="14"/>
        <v>0</v>
      </c>
      <c r="AC28" s="425">
        <f t="shared" ref="AC28:AC78" si="120">(N28/12)*W28</f>
        <v>0</v>
      </c>
      <c r="AD28" s="425">
        <f t="shared" ref="AD28:AE65" si="121">(Q28/12)*W28</f>
        <v>0</v>
      </c>
      <c r="AE28" s="425">
        <f t="shared" si="121"/>
        <v>0</v>
      </c>
      <c r="AF28" s="425"/>
      <c r="AH28" s="424"/>
      <c r="AI28" s="425"/>
      <c r="AJ28" s="425"/>
      <c r="AK28" s="425"/>
      <c r="AL28" s="425"/>
      <c r="AM28" s="425">
        <f t="shared" ref="AM28:AM36" si="122">(AA28/12)*AH28</f>
        <v>0</v>
      </c>
      <c r="AN28" s="425">
        <f t="shared" ref="AN28:AN36" si="123">(X28/12)*AH28</f>
        <v>0</v>
      </c>
      <c r="AO28" s="425">
        <f t="shared" ref="AO28:AO36" si="124">(AC28/12)*AH28</f>
        <v>0</v>
      </c>
      <c r="AP28" s="425"/>
      <c r="AQ28" s="425"/>
      <c r="AS28" s="287">
        <f t="shared" si="4"/>
        <v>0</v>
      </c>
    </row>
    <row r="29" spans="2:45" ht="13.5" hidden="1" thickTop="1" x14ac:dyDescent="0.2">
      <c r="B29" s="52">
        <v>15</v>
      </c>
      <c r="C29" s="60"/>
      <c r="D29" s="151" t="s">
        <v>22</v>
      </c>
      <c r="E29" s="152"/>
      <c r="F29" s="153" t="s">
        <v>20</v>
      </c>
      <c r="G29" s="153" t="s">
        <v>394</v>
      </c>
      <c r="H29" s="153"/>
      <c r="I29" s="291"/>
      <c r="J29" s="155">
        <f t="shared" ref="J29:K34" si="125">+I29*12*E29</f>
        <v>0</v>
      </c>
      <c r="K29" s="155">
        <f t="shared" si="125"/>
        <v>0</v>
      </c>
      <c r="L29" s="155">
        <f t="shared" ref="L29:L34" si="126">+J29*12*F29</f>
        <v>0</v>
      </c>
      <c r="M29" s="155">
        <f t="shared" ref="M29:M34" si="127">+I29*E29</f>
        <v>0</v>
      </c>
      <c r="N29" s="455">
        <f t="shared" ref="N29:N34" si="128">+J29*$N$9</f>
        <v>0</v>
      </c>
      <c r="O29" s="155"/>
      <c r="P29" s="155">
        <f t="shared" ref="P29:P34" si="129">IF(I29&gt;685.71,685.71*$P$9*12,I29*$P$9*12)</f>
        <v>0</v>
      </c>
      <c r="Q29" s="155"/>
      <c r="R29" s="155">
        <f t="shared" ref="R29:R34" si="130">SUM(O29:Q29)</f>
        <v>0</v>
      </c>
      <c r="S29" s="140">
        <f t="shared" ref="S29:S34" si="131">SUM(J29:Q29)</f>
        <v>0</v>
      </c>
      <c r="T29" s="12"/>
      <c r="U29" s="12"/>
      <c r="V29" s="12"/>
      <c r="W29" s="424"/>
      <c r="X29" s="425"/>
      <c r="Y29" s="425"/>
      <c r="Z29" s="425"/>
      <c r="AA29" s="425"/>
      <c r="AB29" s="425">
        <f t="shared" si="14"/>
        <v>0</v>
      </c>
      <c r="AC29" s="425">
        <f t="shared" si="120"/>
        <v>0</v>
      </c>
      <c r="AD29" s="425">
        <f t="shared" si="121"/>
        <v>0</v>
      </c>
      <c r="AE29" s="425">
        <f t="shared" si="121"/>
        <v>0</v>
      </c>
      <c r="AF29" s="425">
        <f t="shared" ref="AF29:AF34" si="132">SUM(R29:AC29)</f>
        <v>0</v>
      </c>
      <c r="AH29" s="424"/>
      <c r="AI29" s="425"/>
      <c r="AJ29" s="425"/>
      <c r="AK29" s="425"/>
      <c r="AL29" s="425"/>
      <c r="AM29" s="425">
        <f t="shared" si="122"/>
        <v>0</v>
      </c>
      <c r="AN29" s="425">
        <f t="shared" si="123"/>
        <v>0</v>
      </c>
      <c r="AO29" s="425">
        <f t="shared" si="124"/>
        <v>0</v>
      </c>
      <c r="AP29" s="425"/>
      <c r="AQ29" s="425">
        <f t="shared" ref="AQ29:AQ34" si="133">SUM(AD29:AN29)</f>
        <v>0</v>
      </c>
      <c r="AS29" s="287">
        <f t="shared" si="4"/>
        <v>0</v>
      </c>
    </row>
    <row r="30" spans="2:45" ht="13.5" hidden="1" thickTop="1" x14ac:dyDescent="0.2">
      <c r="B30" s="52">
        <v>16</v>
      </c>
      <c r="C30" s="32"/>
      <c r="D30" s="151"/>
      <c r="E30" s="152"/>
      <c r="F30" s="153" t="s">
        <v>20</v>
      </c>
      <c r="G30" s="153" t="s">
        <v>394</v>
      </c>
      <c r="H30" s="153"/>
      <c r="I30" s="291"/>
      <c r="J30" s="155">
        <f t="shared" si="125"/>
        <v>0</v>
      </c>
      <c r="K30" s="155">
        <f t="shared" si="125"/>
        <v>0</v>
      </c>
      <c r="L30" s="155">
        <f t="shared" si="126"/>
        <v>0</v>
      </c>
      <c r="M30" s="155">
        <f t="shared" si="127"/>
        <v>0</v>
      </c>
      <c r="N30" s="455">
        <f t="shared" si="128"/>
        <v>0</v>
      </c>
      <c r="O30" s="155"/>
      <c r="P30" s="155">
        <f t="shared" si="129"/>
        <v>0</v>
      </c>
      <c r="Q30" s="155"/>
      <c r="R30" s="155">
        <f t="shared" si="130"/>
        <v>0</v>
      </c>
      <c r="S30" s="140">
        <f t="shared" si="131"/>
        <v>0</v>
      </c>
      <c r="T30" s="12"/>
      <c r="U30" s="12"/>
      <c r="V30" s="12"/>
      <c r="W30" s="424"/>
      <c r="X30" s="425"/>
      <c r="Y30" s="425"/>
      <c r="Z30" s="425"/>
      <c r="AA30" s="425"/>
      <c r="AB30" s="425">
        <f t="shared" si="14"/>
        <v>0</v>
      </c>
      <c r="AC30" s="425">
        <f t="shared" si="120"/>
        <v>0</v>
      </c>
      <c r="AD30" s="425">
        <f t="shared" si="121"/>
        <v>0</v>
      </c>
      <c r="AE30" s="425">
        <f t="shared" si="121"/>
        <v>0</v>
      </c>
      <c r="AF30" s="425">
        <f t="shared" si="132"/>
        <v>0</v>
      </c>
      <c r="AH30" s="424"/>
      <c r="AI30" s="425"/>
      <c r="AJ30" s="425"/>
      <c r="AK30" s="425"/>
      <c r="AL30" s="425"/>
      <c r="AM30" s="425">
        <f t="shared" si="122"/>
        <v>0</v>
      </c>
      <c r="AN30" s="425">
        <f t="shared" si="123"/>
        <v>0</v>
      </c>
      <c r="AO30" s="425">
        <f t="shared" si="124"/>
        <v>0</v>
      </c>
      <c r="AP30" s="425"/>
      <c r="AQ30" s="425">
        <f t="shared" si="133"/>
        <v>0</v>
      </c>
      <c r="AS30" s="287">
        <f t="shared" si="4"/>
        <v>0</v>
      </c>
    </row>
    <row r="31" spans="2:45" ht="13.5" hidden="1" thickTop="1" x14ac:dyDescent="0.2">
      <c r="B31" s="52">
        <v>17</v>
      </c>
      <c r="C31" s="32"/>
      <c r="D31" s="151"/>
      <c r="E31" s="152"/>
      <c r="F31" s="153" t="s">
        <v>20</v>
      </c>
      <c r="G31" s="153" t="s">
        <v>394</v>
      </c>
      <c r="H31" s="153"/>
      <c r="I31" s="291"/>
      <c r="J31" s="155">
        <f t="shared" si="125"/>
        <v>0</v>
      </c>
      <c r="K31" s="155">
        <f t="shared" si="125"/>
        <v>0</v>
      </c>
      <c r="L31" s="155">
        <f t="shared" si="126"/>
        <v>0</v>
      </c>
      <c r="M31" s="155">
        <f t="shared" si="127"/>
        <v>0</v>
      </c>
      <c r="N31" s="455">
        <f t="shared" si="128"/>
        <v>0</v>
      </c>
      <c r="O31" s="155"/>
      <c r="P31" s="155">
        <f t="shared" si="129"/>
        <v>0</v>
      </c>
      <c r="Q31" s="155"/>
      <c r="R31" s="155">
        <f t="shared" si="130"/>
        <v>0</v>
      </c>
      <c r="S31" s="140">
        <f t="shared" si="131"/>
        <v>0</v>
      </c>
      <c r="T31" s="12"/>
      <c r="U31" s="12"/>
      <c r="V31" s="12"/>
      <c r="W31" s="424"/>
      <c r="X31" s="425"/>
      <c r="Y31" s="425"/>
      <c r="Z31" s="425"/>
      <c r="AA31" s="425"/>
      <c r="AB31" s="425">
        <f t="shared" si="14"/>
        <v>0</v>
      </c>
      <c r="AC31" s="425">
        <f t="shared" si="120"/>
        <v>0</v>
      </c>
      <c r="AD31" s="425">
        <f t="shared" si="121"/>
        <v>0</v>
      </c>
      <c r="AE31" s="425">
        <f t="shared" si="121"/>
        <v>0</v>
      </c>
      <c r="AF31" s="425">
        <f t="shared" si="132"/>
        <v>0</v>
      </c>
      <c r="AH31" s="424"/>
      <c r="AI31" s="425"/>
      <c r="AJ31" s="425"/>
      <c r="AK31" s="425"/>
      <c r="AL31" s="425"/>
      <c r="AM31" s="425">
        <f t="shared" si="122"/>
        <v>0</v>
      </c>
      <c r="AN31" s="425">
        <f t="shared" si="123"/>
        <v>0</v>
      </c>
      <c r="AO31" s="425">
        <f t="shared" si="124"/>
        <v>0</v>
      </c>
      <c r="AP31" s="425"/>
      <c r="AQ31" s="425">
        <f t="shared" si="133"/>
        <v>0</v>
      </c>
      <c r="AS31" s="287">
        <f t="shared" si="4"/>
        <v>0</v>
      </c>
    </row>
    <row r="32" spans="2:45" ht="13.5" hidden="1" thickTop="1" x14ac:dyDescent="0.2">
      <c r="B32" s="52">
        <v>18</v>
      </c>
      <c r="C32" s="32"/>
      <c r="D32" s="151"/>
      <c r="E32" s="152"/>
      <c r="F32" s="153" t="s">
        <v>20</v>
      </c>
      <c r="G32" s="153" t="s">
        <v>394</v>
      </c>
      <c r="H32" s="153"/>
      <c r="I32" s="291"/>
      <c r="J32" s="155">
        <f t="shared" si="125"/>
        <v>0</v>
      </c>
      <c r="K32" s="155">
        <f t="shared" si="125"/>
        <v>0</v>
      </c>
      <c r="L32" s="155">
        <f t="shared" si="126"/>
        <v>0</v>
      </c>
      <c r="M32" s="155">
        <f t="shared" si="127"/>
        <v>0</v>
      </c>
      <c r="N32" s="455">
        <f t="shared" si="128"/>
        <v>0</v>
      </c>
      <c r="O32" s="155"/>
      <c r="P32" s="155">
        <f t="shared" si="129"/>
        <v>0</v>
      </c>
      <c r="Q32" s="155"/>
      <c r="R32" s="155">
        <f t="shared" si="130"/>
        <v>0</v>
      </c>
      <c r="S32" s="140">
        <f t="shared" si="131"/>
        <v>0</v>
      </c>
      <c r="T32" s="12"/>
      <c r="U32" s="12"/>
      <c r="V32" s="12"/>
      <c r="W32" s="424"/>
      <c r="X32" s="425"/>
      <c r="Y32" s="425"/>
      <c r="Z32" s="425"/>
      <c r="AA32" s="425"/>
      <c r="AB32" s="425">
        <f t="shared" si="14"/>
        <v>0</v>
      </c>
      <c r="AC32" s="425">
        <f t="shared" si="120"/>
        <v>0</v>
      </c>
      <c r="AD32" s="425">
        <f t="shared" si="121"/>
        <v>0</v>
      </c>
      <c r="AE32" s="425">
        <f t="shared" si="121"/>
        <v>0</v>
      </c>
      <c r="AF32" s="425">
        <f t="shared" si="132"/>
        <v>0</v>
      </c>
      <c r="AH32" s="424"/>
      <c r="AI32" s="425"/>
      <c r="AJ32" s="425"/>
      <c r="AK32" s="425"/>
      <c r="AL32" s="425"/>
      <c r="AM32" s="425">
        <f t="shared" si="122"/>
        <v>0</v>
      </c>
      <c r="AN32" s="425">
        <f t="shared" si="123"/>
        <v>0</v>
      </c>
      <c r="AO32" s="425">
        <f t="shared" si="124"/>
        <v>0</v>
      </c>
      <c r="AP32" s="425"/>
      <c r="AQ32" s="425">
        <f t="shared" si="133"/>
        <v>0</v>
      </c>
      <c r="AS32" s="287">
        <f t="shared" si="4"/>
        <v>0</v>
      </c>
    </row>
    <row r="33" spans="2:46" ht="13.5" hidden="1" thickTop="1" x14ac:dyDescent="0.2">
      <c r="B33" s="52">
        <v>19</v>
      </c>
      <c r="C33" s="32"/>
      <c r="D33" s="151"/>
      <c r="E33" s="152"/>
      <c r="F33" s="153" t="s">
        <v>20</v>
      </c>
      <c r="G33" s="153" t="s">
        <v>394</v>
      </c>
      <c r="H33" s="153"/>
      <c r="I33" s="291"/>
      <c r="J33" s="155">
        <f t="shared" si="125"/>
        <v>0</v>
      </c>
      <c r="K33" s="155">
        <f t="shared" si="125"/>
        <v>0</v>
      </c>
      <c r="L33" s="155">
        <f t="shared" si="126"/>
        <v>0</v>
      </c>
      <c r="M33" s="155">
        <f t="shared" si="127"/>
        <v>0</v>
      </c>
      <c r="N33" s="455">
        <f t="shared" si="128"/>
        <v>0</v>
      </c>
      <c r="O33" s="155"/>
      <c r="P33" s="155">
        <f t="shared" si="129"/>
        <v>0</v>
      </c>
      <c r="Q33" s="155"/>
      <c r="R33" s="155">
        <f t="shared" si="130"/>
        <v>0</v>
      </c>
      <c r="S33" s="140">
        <f t="shared" si="131"/>
        <v>0</v>
      </c>
      <c r="T33" s="12"/>
      <c r="U33" s="12"/>
      <c r="V33" s="12"/>
      <c r="W33" s="424"/>
      <c r="X33" s="425"/>
      <c r="Y33" s="425"/>
      <c r="Z33" s="425"/>
      <c r="AA33" s="425"/>
      <c r="AB33" s="425">
        <f t="shared" si="14"/>
        <v>0</v>
      </c>
      <c r="AC33" s="425">
        <f t="shared" si="120"/>
        <v>0</v>
      </c>
      <c r="AD33" s="425">
        <f t="shared" si="121"/>
        <v>0</v>
      </c>
      <c r="AE33" s="425">
        <f t="shared" si="121"/>
        <v>0</v>
      </c>
      <c r="AF33" s="425">
        <f t="shared" si="132"/>
        <v>0</v>
      </c>
      <c r="AH33" s="424"/>
      <c r="AI33" s="425"/>
      <c r="AJ33" s="425"/>
      <c r="AK33" s="425"/>
      <c r="AL33" s="425"/>
      <c r="AM33" s="425">
        <f t="shared" si="122"/>
        <v>0</v>
      </c>
      <c r="AN33" s="425">
        <f t="shared" si="123"/>
        <v>0</v>
      </c>
      <c r="AO33" s="425">
        <f t="shared" si="124"/>
        <v>0</v>
      </c>
      <c r="AP33" s="425"/>
      <c r="AQ33" s="425">
        <f t="shared" si="133"/>
        <v>0</v>
      </c>
      <c r="AS33" s="287">
        <f t="shared" si="4"/>
        <v>0</v>
      </c>
    </row>
    <row r="34" spans="2:46" ht="13.5" hidden="1" thickTop="1" x14ac:dyDescent="0.2">
      <c r="B34" s="52">
        <v>20</v>
      </c>
      <c r="C34" s="32"/>
      <c r="D34" s="151"/>
      <c r="E34" s="152"/>
      <c r="F34" s="153" t="s">
        <v>20</v>
      </c>
      <c r="G34" s="153" t="s">
        <v>394</v>
      </c>
      <c r="H34" s="153"/>
      <c r="I34" s="291"/>
      <c r="J34" s="155">
        <f t="shared" si="125"/>
        <v>0</v>
      </c>
      <c r="K34" s="155">
        <f t="shared" si="125"/>
        <v>0</v>
      </c>
      <c r="L34" s="155">
        <f t="shared" si="126"/>
        <v>0</v>
      </c>
      <c r="M34" s="155">
        <f t="shared" si="127"/>
        <v>0</v>
      </c>
      <c r="N34" s="455">
        <f t="shared" si="128"/>
        <v>0</v>
      </c>
      <c r="O34" s="155"/>
      <c r="P34" s="155">
        <f t="shared" si="129"/>
        <v>0</v>
      </c>
      <c r="Q34" s="155"/>
      <c r="R34" s="155">
        <f t="shared" si="130"/>
        <v>0</v>
      </c>
      <c r="S34" s="140">
        <f t="shared" si="131"/>
        <v>0</v>
      </c>
      <c r="T34" s="12"/>
      <c r="U34" s="12"/>
      <c r="V34" s="12"/>
      <c r="W34" s="424"/>
      <c r="X34" s="425"/>
      <c r="Y34" s="425"/>
      <c r="Z34" s="425"/>
      <c r="AA34" s="425"/>
      <c r="AB34" s="425">
        <f t="shared" si="14"/>
        <v>0</v>
      </c>
      <c r="AC34" s="425">
        <f t="shared" si="120"/>
        <v>0</v>
      </c>
      <c r="AD34" s="425">
        <f t="shared" si="121"/>
        <v>0</v>
      </c>
      <c r="AE34" s="425">
        <f t="shared" si="121"/>
        <v>0</v>
      </c>
      <c r="AF34" s="425">
        <f t="shared" si="132"/>
        <v>0</v>
      </c>
      <c r="AH34" s="424"/>
      <c r="AI34" s="425"/>
      <c r="AJ34" s="425"/>
      <c r="AK34" s="425"/>
      <c r="AL34" s="425"/>
      <c r="AM34" s="425">
        <f t="shared" si="122"/>
        <v>0</v>
      </c>
      <c r="AN34" s="425">
        <f t="shared" si="123"/>
        <v>0</v>
      </c>
      <c r="AO34" s="425">
        <f t="shared" si="124"/>
        <v>0</v>
      </c>
      <c r="AP34" s="425"/>
      <c r="AQ34" s="425">
        <f t="shared" si="133"/>
        <v>0</v>
      </c>
      <c r="AS34" s="287">
        <f t="shared" si="4"/>
        <v>0</v>
      </c>
    </row>
    <row r="35" spans="2:46" ht="14.25" hidden="1" thickTop="1" thickBot="1" x14ac:dyDescent="0.25">
      <c r="B35" s="55"/>
      <c r="C35" s="56" t="s">
        <v>395</v>
      </c>
      <c r="D35" s="157"/>
      <c r="E35" s="162">
        <f>SUM(E29:E34)</f>
        <v>0</v>
      </c>
      <c r="F35" s="159"/>
      <c r="G35" s="159"/>
      <c r="H35" s="159"/>
      <c r="I35" s="163">
        <f t="shared" ref="I35:S35" si="134">SUM(I29:I34)</f>
        <v>0</v>
      </c>
      <c r="J35" s="163">
        <f t="shared" si="134"/>
        <v>0</v>
      </c>
      <c r="K35" s="163">
        <f t="shared" ref="K35" si="135">SUM(K29:K34)</f>
        <v>0</v>
      </c>
      <c r="L35" s="163">
        <f t="shared" ref="L35" si="136">SUM(L29:L34)</f>
        <v>0</v>
      </c>
      <c r="M35" s="163">
        <f t="shared" si="134"/>
        <v>0</v>
      </c>
      <c r="N35" s="459">
        <f t="shared" si="134"/>
        <v>0</v>
      </c>
      <c r="O35" s="163">
        <f t="shared" si="134"/>
        <v>0</v>
      </c>
      <c r="P35" s="163">
        <f t="shared" si="134"/>
        <v>0</v>
      </c>
      <c r="Q35" s="163">
        <f t="shared" si="134"/>
        <v>0</v>
      </c>
      <c r="R35" s="163">
        <f t="shared" si="134"/>
        <v>0</v>
      </c>
      <c r="S35" s="142">
        <f t="shared" si="134"/>
        <v>0</v>
      </c>
      <c r="T35" s="12"/>
      <c r="U35" s="12"/>
      <c r="V35" s="12"/>
      <c r="W35" s="424"/>
      <c r="X35" s="426"/>
      <c r="Y35" s="426"/>
      <c r="Z35" s="426"/>
      <c r="AA35" s="426"/>
      <c r="AB35" s="426">
        <f t="shared" si="14"/>
        <v>0</v>
      </c>
      <c r="AC35" s="426">
        <f t="shared" si="120"/>
        <v>0</v>
      </c>
      <c r="AD35" s="426">
        <f t="shared" si="121"/>
        <v>0</v>
      </c>
      <c r="AE35" s="426">
        <f t="shared" si="121"/>
        <v>0</v>
      </c>
      <c r="AF35" s="426">
        <f t="shared" ref="AF35" si="137">SUM(AF29:AF34)</f>
        <v>0</v>
      </c>
      <c r="AH35" s="424"/>
      <c r="AI35" s="426"/>
      <c r="AJ35" s="426"/>
      <c r="AK35" s="426"/>
      <c r="AL35" s="426"/>
      <c r="AM35" s="426">
        <f t="shared" si="122"/>
        <v>0</v>
      </c>
      <c r="AN35" s="426">
        <f t="shared" si="123"/>
        <v>0</v>
      </c>
      <c r="AO35" s="426">
        <f t="shared" si="124"/>
        <v>0</v>
      </c>
      <c r="AP35" s="426"/>
      <c r="AQ35" s="426">
        <f t="shared" ref="AQ35" si="138">SUM(AQ29:AQ34)</f>
        <v>0</v>
      </c>
      <c r="AS35" s="287">
        <f t="shared" si="4"/>
        <v>0</v>
      </c>
    </row>
    <row r="36" spans="2:46" ht="6.75" hidden="1" customHeight="1" thickTop="1" x14ac:dyDescent="0.2">
      <c r="B36" s="61"/>
      <c r="C36" s="62"/>
      <c r="D36" s="164"/>
      <c r="E36" s="165"/>
      <c r="F36" s="166"/>
      <c r="G36" s="166"/>
      <c r="H36" s="166"/>
      <c r="I36" s="293"/>
      <c r="J36" s="167"/>
      <c r="K36" s="167"/>
      <c r="L36" s="167"/>
      <c r="M36" s="167"/>
      <c r="N36" s="460"/>
      <c r="O36" s="167"/>
      <c r="P36" s="167"/>
      <c r="Q36" s="167"/>
      <c r="R36" s="167"/>
      <c r="S36" s="143"/>
      <c r="T36" s="12"/>
      <c r="U36" s="12"/>
      <c r="V36" s="12"/>
      <c r="W36" s="424"/>
      <c r="X36" s="427"/>
      <c r="Y36" s="427"/>
      <c r="Z36" s="427"/>
      <c r="AA36" s="427"/>
      <c r="AB36" s="427">
        <f t="shared" si="14"/>
        <v>0</v>
      </c>
      <c r="AC36" s="427">
        <f t="shared" si="120"/>
        <v>0</v>
      </c>
      <c r="AD36" s="427">
        <f t="shared" si="121"/>
        <v>0</v>
      </c>
      <c r="AE36" s="427">
        <f t="shared" si="121"/>
        <v>0</v>
      </c>
      <c r="AF36" s="427"/>
      <c r="AH36" s="424"/>
      <c r="AI36" s="427"/>
      <c r="AJ36" s="427"/>
      <c r="AK36" s="427"/>
      <c r="AL36" s="427"/>
      <c r="AM36" s="427">
        <f t="shared" si="122"/>
        <v>0</v>
      </c>
      <c r="AN36" s="427">
        <f t="shared" si="123"/>
        <v>0</v>
      </c>
      <c r="AO36" s="427">
        <f t="shared" si="124"/>
        <v>0</v>
      </c>
      <c r="AP36" s="427"/>
      <c r="AQ36" s="427"/>
      <c r="AS36" s="287">
        <f t="shared" si="4"/>
        <v>0</v>
      </c>
    </row>
    <row r="37" spans="2:46" s="54" customFormat="1" ht="14.25" thickTop="1" thickBot="1" x14ac:dyDescent="0.25">
      <c r="B37" s="63"/>
      <c r="C37" s="64" t="s">
        <v>609</v>
      </c>
      <c r="D37" s="168"/>
      <c r="E37" s="169">
        <f>+E18+E27</f>
        <v>16</v>
      </c>
      <c r="F37" s="170"/>
      <c r="G37" s="170"/>
      <c r="H37" s="170"/>
      <c r="I37" s="171">
        <f>+I35+I27+I18</f>
        <v>12500</v>
      </c>
      <c r="J37" s="171">
        <f t="shared" ref="J37:R37" si="139">+J35+J27+J18</f>
        <v>150000</v>
      </c>
      <c r="K37" s="171">
        <f>+K35+K27+K18</f>
        <v>1500</v>
      </c>
      <c r="L37" s="171">
        <f t="shared" ref="L37" si="140">+L35+L27+L18</f>
        <v>450</v>
      </c>
      <c r="M37" s="171">
        <f>M27+M18</f>
        <v>12500</v>
      </c>
      <c r="N37" s="461">
        <f t="shared" si="139"/>
        <v>11625</v>
      </c>
      <c r="O37" s="171">
        <f t="shared" si="139"/>
        <v>0</v>
      </c>
      <c r="P37" s="171">
        <f t="shared" si="139"/>
        <v>8865</v>
      </c>
      <c r="Q37" s="171">
        <f>Q27+Q18</f>
        <v>1182</v>
      </c>
      <c r="R37" s="171">
        <f t="shared" si="139"/>
        <v>21672</v>
      </c>
      <c r="S37" s="66">
        <f>+S35+S27+S18</f>
        <v>186122</v>
      </c>
      <c r="T37" s="12"/>
      <c r="U37" s="12"/>
      <c r="V37" s="12"/>
      <c r="W37" s="422"/>
      <c r="X37" s="419">
        <f t="shared" ref="X37:AD37" si="141">X27+X18</f>
        <v>56650</v>
      </c>
      <c r="Y37" s="419"/>
      <c r="Z37" s="419"/>
      <c r="AA37" s="419">
        <f t="shared" si="141"/>
        <v>3322.5</v>
      </c>
      <c r="AB37" s="419">
        <f t="shared" si="141"/>
        <v>0</v>
      </c>
      <c r="AC37" s="419">
        <f t="shared" si="141"/>
        <v>4390.3900000000003</v>
      </c>
      <c r="AD37" s="419">
        <f t="shared" si="141"/>
        <v>443</v>
      </c>
      <c r="AE37" s="419">
        <f t="shared" ref="AE37" si="142">AE27+AE18</f>
        <v>12500</v>
      </c>
      <c r="AF37" s="419">
        <f t="shared" ref="AF37" si="143">+AF35+AF27+AF18</f>
        <v>77305.89</v>
      </c>
      <c r="AH37" s="422"/>
      <c r="AI37" s="419">
        <f t="shared" ref="AI37:AO37" si="144">AI27+AI18</f>
        <v>93350</v>
      </c>
      <c r="AJ37" s="419">
        <f t="shared" ref="AJ37" si="145">AJ27+AJ18</f>
        <v>1500</v>
      </c>
      <c r="AK37" s="419"/>
      <c r="AL37" s="419">
        <f t="shared" si="144"/>
        <v>5542.5</v>
      </c>
      <c r="AM37" s="419">
        <f t="shared" si="144"/>
        <v>0</v>
      </c>
      <c r="AN37" s="419">
        <f t="shared" si="144"/>
        <v>7234.64</v>
      </c>
      <c r="AO37" s="419">
        <f t="shared" si="144"/>
        <v>739</v>
      </c>
      <c r="AP37" s="419"/>
      <c r="AQ37" s="419">
        <f t="shared" ref="AQ37" si="146">+AQ35+AQ27+AQ18</f>
        <v>108816.13999999998</v>
      </c>
      <c r="AS37" s="287">
        <f t="shared" si="4"/>
        <v>3.0000000000654836E-2</v>
      </c>
      <c r="AT37"/>
    </row>
    <row r="38" spans="2:46" s="54" customFormat="1" hidden="1" x14ac:dyDescent="0.2">
      <c r="B38" s="52"/>
      <c r="C38" s="32"/>
      <c r="D38" s="151"/>
      <c r="E38" s="152"/>
      <c r="F38" s="153"/>
      <c r="G38" s="153"/>
      <c r="H38" s="153"/>
      <c r="I38" s="291"/>
      <c r="J38" s="155"/>
      <c r="K38" s="155"/>
      <c r="L38" s="155"/>
      <c r="M38" s="155"/>
      <c r="N38" s="465"/>
      <c r="O38" s="155"/>
      <c r="P38" s="155"/>
      <c r="Q38" s="155"/>
      <c r="R38" s="155"/>
      <c r="S38" s="140"/>
      <c r="T38" s="12"/>
      <c r="U38" s="12"/>
      <c r="V38" s="12"/>
      <c r="W38" s="412"/>
      <c r="X38" s="17"/>
      <c r="Y38" s="17"/>
      <c r="Z38" s="17"/>
      <c r="AA38" s="17"/>
      <c r="AB38" s="17">
        <f t="shared" si="14"/>
        <v>0</v>
      </c>
      <c r="AC38" s="17">
        <f t="shared" si="120"/>
        <v>0</v>
      </c>
      <c r="AD38" s="17">
        <f t="shared" si="121"/>
        <v>0</v>
      </c>
      <c r="AE38" s="17"/>
      <c r="AF38" s="234"/>
      <c r="AH38" s="412"/>
      <c r="AI38" s="17"/>
      <c r="AJ38" s="17"/>
      <c r="AK38" s="17"/>
      <c r="AL38" s="17"/>
      <c r="AM38" s="17">
        <f t="shared" ref="AM38:AM51" si="147">(AA38/12)*AH38</f>
        <v>0</v>
      </c>
      <c r="AN38" s="17">
        <f t="shared" ref="AN38:AN51" si="148">(X38/12)*AH38</f>
        <v>0</v>
      </c>
      <c r="AO38" s="17">
        <f t="shared" ref="AO38:AO51" si="149">(AC38/12)*AH38</f>
        <v>0</v>
      </c>
      <c r="AP38" s="17"/>
      <c r="AQ38" s="234"/>
      <c r="AS38" s="287">
        <f t="shared" si="4"/>
        <v>0</v>
      </c>
      <c r="AT38"/>
    </row>
    <row r="39" spans="2:46" s="54" customFormat="1" hidden="1" x14ac:dyDescent="0.2">
      <c r="B39" s="52">
        <v>30</v>
      </c>
      <c r="C39" s="32" t="s">
        <v>396</v>
      </c>
      <c r="D39" s="151" t="s">
        <v>397</v>
      </c>
      <c r="E39" s="152">
        <v>1</v>
      </c>
      <c r="F39" s="153" t="s">
        <v>21</v>
      </c>
      <c r="G39" s="153" t="s">
        <v>398</v>
      </c>
      <c r="H39" s="153"/>
      <c r="I39" s="291">
        <v>0</v>
      </c>
      <c r="J39" s="155">
        <f>+I39*12*E39</f>
        <v>0</v>
      </c>
      <c r="K39" s="155"/>
      <c r="L39" s="155"/>
      <c r="M39" s="155">
        <f>+I39*E39</f>
        <v>0</v>
      </c>
      <c r="N39" s="455">
        <f>+J39*$N$9</f>
        <v>0</v>
      </c>
      <c r="O39" s="155"/>
      <c r="P39" s="155">
        <f>IF(I39&gt;685.71,685.71*$P$9*12,I39*$P$9*12)</f>
        <v>0</v>
      </c>
      <c r="Q39" s="155"/>
      <c r="R39" s="155">
        <f>SUM(O39:Q39)</f>
        <v>0</v>
      </c>
      <c r="S39" s="140">
        <f>SUM(J39:Q39)</f>
        <v>0</v>
      </c>
      <c r="T39" s="12"/>
      <c r="U39" s="12"/>
      <c r="V39" s="12"/>
      <c r="W39" s="412"/>
      <c r="X39" s="17"/>
      <c r="Y39" s="17"/>
      <c r="Z39" s="17"/>
      <c r="AA39" s="17"/>
      <c r="AB39" s="17">
        <f t="shared" si="14"/>
        <v>0</v>
      </c>
      <c r="AC39" s="17">
        <f t="shared" si="120"/>
        <v>0</v>
      </c>
      <c r="AD39" s="17">
        <f t="shared" si="121"/>
        <v>0</v>
      </c>
      <c r="AE39" s="17"/>
      <c r="AF39" s="234">
        <f>SUM(R39:AC39)</f>
        <v>0</v>
      </c>
      <c r="AH39" s="412"/>
      <c r="AI39" s="17"/>
      <c r="AJ39" s="17"/>
      <c r="AK39" s="17"/>
      <c r="AL39" s="17"/>
      <c r="AM39" s="17">
        <f t="shared" si="147"/>
        <v>0</v>
      </c>
      <c r="AN39" s="17">
        <f t="shared" si="148"/>
        <v>0</v>
      </c>
      <c r="AO39" s="17">
        <f t="shared" si="149"/>
        <v>0</v>
      </c>
      <c r="AP39" s="17"/>
      <c r="AQ39" s="234">
        <f>SUM(AD39:AN39)</f>
        <v>0</v>
      </c>
      <c r="AS39" s="287">
        <f t="shared" si="4"/>
        <v>0</v>
      </c>
      <c r="AT39"/>
    </row>
    <row r="40" spans="2:46" s="54" customFormat="1" hidden="1" x14ac:dyDescent="0.2">
      <c r="B40" s="52">
        <v>31</v>
      </c>
      <c r="C40" s="32" t="s">
        <v>399</v>
      </c>
      <c r="D40" s="151" t="s">
        <v>397</v>
      </c>
      <c r="E40" s="152"/>
      <c r="F40" s="153" t="s">
        <v>21</v>
      </c>
      <c r="G40" s="153" t="s">
        <v>398</v>
      </c>
      <c r="H40" s="153"/>
      <c r="I40" s="291">
        <v>0</v>
      </c>
      <c r="J40" s="155">
        <f>+I40*12*E40</f>
        <v>0</v>
      </c>
      <c r="K40" s="155"/>
      <c r="L40" s="155"/>
      <c r="M40" s="155">
        <f>+I40*E40</f>
        <v>0</v>
      </c>
      <c r="N40" s="455">
        <f>+J40*$N$9</f>
        <v>0</v>
      </c>
      <c r="O40" s="156"/>
      <c r="P40" s="155">
        <f>IF(I40&gt;685.71,685.71*$P$9*12,I40*$P$9*12)</f>
        <v>0</v>
      </c>
      <c r="Q40" s="155"/>
      <c r="R40" s="155">
        <f>SUM(O40:Q40)</f>
        <v>0</v>
      </c>
      <c r="S40" s="140">
        <f>SUM(J40:Q40)</f>
        <v>0</v>
      </c>
      <c r="T40" s="12"/>
      <c r="U40" s="12"/>
      <c r="V40" s="12"/>
      <c r="W40" s="412"/>
      <c r="X40" s="17"/>
      <c r="Y40" s="17"/>
      <c r="Z40" s="17"/>
      <c r="AA40" s="17"/>
      <c r="AB40" s="17">
        <f t="shared" si="14"/>
        <v>0</v>
      </c>
      <c r="AC40" s="17">
        <f t="shared" si="120"/>
        <v>0</v>
      </c>
      <c r="AD40" s="17">
        <f t="shared" si="121"/>
        <v>0</v>
      </c>
      <c r="AE40" s="17"/>
      <c r="AF40" s="234">
        <f>SUM(R40:AC40)</f>
        <v>0</v>
      </c>
      <c r="AH40" s="412"/>
      <c r="AI40" s="17"/>
      <c r="AJ40" s="17"/>
      <c r="AK40" s="17"/>
      <c r="AL40" s="17"/>
      <c r="AM40" s="17">
        <f t="shared" si="147"/>
        <v>0</v>
      </c>
      <c r="AN40" s="17">
        <f t="shared" si="148"/>
        <v>0</v>
      </c>
      <c r="AO40" s="17">
        <f t="shared" si="149"/>
        <v>0</v>
      </c>
      <c r="AP40" s="17"/>
      <c r="AQ40" s="234">
        <f>SUM(AD40:AN40)</f>
        <v>0</v>
      </c>
      <c r="AS40" s="287">
        <f t="shared" si="4"/>
        <v>0</v>
      </c>
      <c r="AT40"/>
    </row>
    <row r="41" spans="2:46" s="54" customFormat="1" hidden="1" x14ac:dyDescent="0.2">
      <c r="B41" s="52">
        <v>32</v>
      </c>
      <c r="C41" s="32" t="s">
        <v>400</v>
      </c>
      <c r="D41" s="151" t="s">
        <v>397</v>
      </c>
      <c r="E41" s="152"/>
      <c r="F41" s="153" t="s">
        <v>21</v>
      </c>
      <c r="G41" s="153" t="s">
        <v>398</v>
      </c>
      <c r="H41" s="153"/>
      <c r="I41" s="291">
        <v>0</v>
      </c>
      <c r="J41" s="155">
        <f>+I41*12*E41</f>
        <v>0</v>
      </c>
      <c r="K41" s="155"/>
      <c r="L41" s="155"/>
      <c r="M41" s="155">
        <f>+I41*E41</f>
        <v>0</v>
      </c>
      <c r="N41" s="455">
        <f>+J41*$N$9</f>
        <v>0</v>
      </c>
      <c r="O41" s="156"/>
      <c r="P41" s="155">
        <f>IF(I41&gt;685.71,685.71*$P$9*12,I41*$P$9*12)</f>
        <v>0</v>
      </c>
      <c r="Q41" s="155"/>
      <c r="R41" s="155">
        <f>SUM(O41:Q41)</f>
        <v>0</v>
      </c>
      <c r="S41" s="140">
        <f>SUM(J41:Q41)</f>
        <v>0</v>
      </c>
      <c r="T41" s="12"/>
      <c r="U41" s="12"/>
      <c r="V41" s="12"/>
      <c r="W41" s="412"/>
      <c r="X41" s="17"/>
      <c r="Y41" s="17"/>
      <c r="Z41" s="17"/>
      <c r="AA41" s="17"/>
      <c r="AB41" s="17">
        <f t="shared" si="14"/>
        <v>0</v>
      </c>
      <c r="AC41" s="17">
        <f t="shared" si="120"/>
        <v>0</v>
      </c>
      <c r="AD41" s="17">
        <f t="shared" si="121"/>
        <v>0</v>
      </c>
      <c r="AE41" s="17"/>
      <c r="AF41" s="234">
        <f>SUM(R41:AC41)</f>
        <v>0</v>
      </c>
      <c r="AH41" s="412"/>
      <c r="AI41" s="17"/>
      <c r="AJ41" s="17"/>
      <c r="AK41" s="17"/>
      <c r="AL41" s="17"/>
      <c r="AM41" s="17">
        <f t="shared" si="147"/>
        <v>0</v>
      </c>
      <c r="AN41" s="17">
        <f t="shared" si="148"/>
        <v>0</v>
      </c>
      <c r="AO41" s="17">
        <f t="shared" si="149"/>
        <v>0</v>
      </c>
      <c r="AP41" s="17"/>
      <c r="AQ41" s="234">
        <f>SUM(AD41:AN41)</f>
        <v>0</v>
      </c>
      <c r="AS41" s="287">
        <f t="shared" si="4"/>
        <v>0</v>
      </c>
      <c r="AT41"/>
    </row>
    <row r="42" spans="2:46" s="54" customFormat="1" hidden="1" x14ac:dyDescent="0.2">
      <c r="B42" s="52">
        <v>33</v>
      </c>
      <c r="C42" s="32" t="s">
        <v>401</v>
      </c>
      <c r="D42" s="151" t="s">
        <v>397</v>
      </c>
      <c r="E42" s="152"/>
      <c r="F42" s="153" t="s">
        <v>21</v>
      </c>
      <c r="G42" s="153" t="s">
        <v>398</v>
      </c>
      <c r="H42" s="153"/>
      <c r="I42" s="291">
        <v>0</v>
      </c>
      <c r="J42" s="155">
        <f>+I42*12*E42</f>
        <v>0</v>
      </c>
      <c r="K42" s="155"/>
      <c r="L42" s="155"/>
      <c r="M42" s="155">
        <f>+I42*E42</f>
        <v>0</v>
      </c>
      <c r="N42" s="455">
        <f>+J42*$N$9</f>
        <v>0</v>
      </c>
      <c r="O42" s="156"/>
      <c r="P42" s="155">
        <f>IF(I42&gt;685.71,685.71*$P$9*12,I42*$P$9*12)</f>
        <v>0</v>
      </c>
      <c r="Q42" s="155"/>
      <c r="R42" s="155">
        <f>SUM(O42:Q42)</f>
        <v>0</v>
      </c>
      <c r="S42" s="140">
        <f>SUM(J42:Q42)</f>
        <v>0</v>
      </c>
      <c r="T42" s="12"/>
      <c r="U42" s="12"/>
      <c r="V42" s="12"/>
      <c r="W42" s="412"/>
      <c r="X42" s="17"/>
      <c r="Y42" s="17"/>
      <c r="Z42" s="17"/>
      <c r="AA42" s="17"/>
      <c r="AB42" s="17">
        <f t="shared" si="14"/>
        <v>0</v>
      </c>
      <c r="AC42" s="17">
        <f t="shared" si="120"/>
        <v>0</v>
      </c>
      <c r="AD42" s="17">
        <f t="shared" si="121"/>
        <v>0</v>
      </c>
      <c r="AE42" s="17"/>
      <c r="AF42" s="234">
        <f>SUM(R42:AC42)</f>
        <v>0</v>
      </c>
      <c r="AH42" s="412"/>
      <c r="AI42" s="17"/>
      <c r="AJ42" s="17"/>
      <c r="AK42" s="17"/>
      <c r="AL42" s="17"/>
      <c r="AM42" s="17">
        <f t="shared" si="147"/>
        <v>0</v>
      </c>
      <c r="AN42" s="17">
        <f t="shared" si="148"/>
        <v>0</v>
      </c>
      <c r="AO42" s="17">
        <f t="shared" si="149"/>
        <v>0</v>
      </c>
      <c r="AP42" s="17"/>
      <c r="AQ42" s="234">
        <f>SUM(AD42:AN42)</f>
        <v>0</v>
      </c>
      <c r="AS42" s="287">
        <f t="shared" si="4"/>
        <v>0</v>
      </c>
      <c r="AT42"/>
    </row>
    <row r="43" spans="2:46" s="54" customFormat="1" ht="13.5" hidden="1" thickBot="1" x14ac:dyDescent="0.25">
      <c r="B43" s="55"/>
      <c r="C43" s="56" t="s">
        <v>402</v>
      </c>
      <c r="D43" s="157"/>
      <c r="E43" s="162">
        <f>SUM(E39:E42)</f>
        <v>1</v>
      </c>
      <c r="F43" s="159"/>
      <c r="G43" s="159"/>
      <c r="H43" s="159"/>
      <c r="I43" s="163">
        <f t="shared" ref="I43:S43" si="150">SUM(I39:I42)</f>
        <v>0</v>
      </c>
      <c r="J43" s="163">
        <f t="shared" si="150"/>
        <v>0</v>
      </c>
      <c r="K43" s="163"/>
      <c r="L43" s="163"/>
      <c r="M43" s="163">
        <f t="shared" si="150"/>
        <v>0</v>
      </c>
      <c r="N43" s="459">
        <f t="shared" si="150"/>
        <v>0</v>
      </c>
      <c r="O43" s="163">
        <f t="shared" si="150"/>
        <v>0</v>
      </c>
      <c r="P43" s="163">
        <f t="shared" si="150"/>
        <v>0</v>
      </c>
      <c r="Q43" s="163">
        <f t="shared" si="150"/>
        <v>0</v>
      </c>
      <c r="R43" s="163">
        <f t="shared" si="150"/>
        <v>0</v>
      </c>
      <c r="S43" s="144">
        <f t="shared" si="150"/>
        <v>0</v>
      </c>
      <c r="T43" s="12"/>
      <c r="U43" s="12"/>
      <c r="V43" s="12"/>
      <c r="W43" s="412"/>
      <c r="X43" s="17"/>
      <c r="Y43" s="17"/>
      <c r="Z43" s="17"/>
      <c r="AA43" s="17"/>
      <c r="AB43" s="17">
        <f t="shared" si="14"/>
        <v>0</v>
      </c>
      <c r="AC43" s="17">
        <f t="shared" si="120"/>
        <v>0</v>
      </c>
      <c r="AD43" s="17">
        <f t="shared" si="121"/>
        <v>0</v>
      </c>
      <c r="AE43" s="17"/>
      <c r="AF43" s="234">
        <f t="shared" ref="AF43" si="151">SUM(AF39:AF42)</f>
        <v>0</v>
      </c>
      <c r="AH43" s="412"/>
      <c r="AI43" s="17"/>
      <c r="AJ43" s="17"/>
      <c r="AK43" s="17"/>
      <c r="AL43" s="17"/>
      <c r="AM43" s="17">
        <f t="shared" si="147"/>
        <v>0</v>
      </c>
      <c r="AN43" s="17">
        <f t="shared" si="148"/>
        <v>0</v>
      </c>
      <c r="AO43" s="17">
        <f t="shared" si="149"/>
        <v>0</v>
      </c>
      <c r="AP43" s="17"/>
      <c r="AQ43" s="234">
        <f t="shared" ref="AQ43" si="152">SUM(AQ39:AQ42)</f>
        <v>0</v>
      </c>
      <c r="AS43" s="287">
        <f t="shared" si="4"/>
        <v>0</v>
      </c>
      <c r="AT43"/>
    </row>
    <row r="44" spans="2:46" s="54" customFormat="1" hidden="1" x14ac:dyDescent="0.2">
      <c r="B44" s="52"/>
      <c r="C44" s="32"/>
      <c r="D44" s="151"/>
      <c r="E44" s="152"/>
      <c r="F44" s="153"/>
      <c r="G44" s="153"/>
      <c r="H44" s="153"/>
      <c r="I44" s="291"/>
      <c r="J44" s="155"/>
      <c r="K44" s="155"/>
      <c r="L44" s="155"/>
      <c r="M44" s="155"/>
      <c r="N44" s="455"/>
      <c r="O44" s="156"/>
      <c r="P44" s="155"/>
      <c r="Q44" s="155"/>
      <c r="R44" s="155"/>
      <c r="S44" s="140"/>
      <c r="T44" s="12"/>
      <c r="U44" s="12"/>
      <c r="V44" s="12"/>
      <c r="W44" s="412"/>
      <c r="X44" s="17"/>
      <c r="Y44" s="17"/>
      <c r="Z44" s="17"/>
      <c r="AA44" s="17"/>
      <c r="AB44" s="17">
        <f t="shared" si="14"/>
        <v>0</v>
      </c>
      <c r="AC44" s="17">
        <f t="shared" si="120"/>
        <v>0</v>
      </c>
      <c r="AD44" s="17">
        <f t="shared" si="121"/>
        <v>0</v>
      </c>
      <c r="AE44" s="17"/>
      <c r="AF44" s="234"/>
      <c r="AH44" s="412"/>
      <c r="AI44" s="17"/>
      <c r="AJ44" s="17"/>
      <c r="AK44" s="17"/>
      <c r="AL44" s="17"/>
      <c r="AM44" s="17">
        <f t="shared" si="147"/>
        <v>0</v>
      </c>
      <c r="AN44" s="17">
        <f t="shared" si="148"/>
        <v>0</v>
      </c>
      <c r="AO44" s="17">
        <f t="shared" si="149"/>
        <v>0</v>
      </c>
      <c r="AP44" s="17"/>
      <c r="AQ44" s="234"/>
      <c r="AS44" s="287">
        <f t="shared" si="4"/>
        <v>0</v>
      </c>
      <c r="AT44"/>
    </row>
    <row r="45" spans="2:46" s="54" customFormat="1" hidden="1" x14ac:dyDescent="0.2">
      <c r="B45" s="52">
        <v>34</v>
      </c>
      <c r="C45" s="32" t="s">
        <v>403</v>
      </c>
      <c r="D45" s="151" t="s">
        <v>404</v>
      </c>
      <c r="E45" s="152">
        <v>1</v>
      </c>
      <c r="F45" s="153" t="s">
        <v>21</v>
      </c>
      <c r="G45" s="153" t="s">
        <v>405</v>
      </c>
      <c r="H45" s="153"/>
      <c r="I45" s="291">
        <v>0</v>
      </c>
      <c r="J45" s="155">
        <f>+I45*12*E45</f>
        <v>0</v>
      </c>
      <c r="K45" s="155"/>
      <c r="L45" s="155"/>
      <c r="M45" s="155">
        <f>+I45*E45</f>
        <v>0</v>
      </c>
      <c r="N45" s="455">
        <f>+J45*$N$9</f>
        <v>0</v>
      </c>
      <c r="O45" s="156"/>
      <c r="P45" s="155">
        <f>IF(I45&gt;685.71,685.71*$P$9*12,I45*$P$9*12)</f>
        <v>0</v>
      </c>
      <c r="Q45" s="155"/>
      <c r="R45" s="155">
        <f>SUM(O45:Q45)</f>
        <v>0</v>
      </c>
      <c r="S45" s="140">
        <f>SUM(J45:Q45)</f>
        <v>0</v>
      </c>
      <c r="T45" s="12"/>
      <c r="U45" s="12"/>
      <c r="V45" s="12"/>
      <c r="W45" s="412"/>
      <c r="X45" s="17"/>
      <c r="Y45" s="17"/>
      <c r="Z45" s="17"/>
      <c r="AA45" s="17"/>
      <c r="AB45" s="17">
        <f t="shared" si="14"/>
        <v>0</v>
      </c>
      <c r="AC45" s="17">
        <f t="shared" si="120"/>
        <v>0</v>
      </c>
      <c r="AD45" s="17">
        <f t="shared" si="121"/>
        <v>0</v>
      </c>
      <c r="AE45" s="17"/>
      <c r="AF45" s="234">
        <f>SUM(R45:AC45)</f>
        <v>0</v>
      </c>
      <c r="AH45" s="412"/>
      <c r="AI45" s="17"/>
      <c r="AJ45" s="17"/>
      <c r="AK45" s="17"/>
      <c r="AL45" s="17"/>
      <c r="AM45" s="17">
        <f t="shared" si="147"/>
        <v>0</v>
      </c>
      <c r="AN45" s="17">
        <f t="shared" si="148"/>
        <v>0</v>
      </c>
      <c r="AO45" s="17">
        <f t="shared" si="149"/>
        <v>0</v>
      </c>
      <c r="AP45" s="17"/>
      <c r="AQ45" s="234">
        <f>SUM(AD45:AN45)</f>
        <v>0</v>
      </c>
      <c r="AS45" s="287">
        <f t="shared" ref="AS45:AS68" si="153">AC45+AN45-N45</f>
        <v>0</v>
      </c>
      <c r="AT45"/>
    </row>
    <row r="46" spans="2:46" s="54" customFormat="1" hidden="1" x14ac:dyDescent="0.2">
      <c r="B46" s="52">
        <v>35</v>
      </c>
      <c r="C46" s="32" t="s">
        <v>406</v>
      </c>
      <c r="D46" s="151" t="s">
        <v>404</v>
      </c>
      <c r="E46" s="152"/>
      <c r="F46" s="153" t="s">
        <v>21</v>
      </c>
      <c r="G46" s="153" t="s">
        <v>405</v>
      </c>
      <c r="H46" s="153"/>
      <c r="I46" s="291">
        <v>0</v>
      </c>
      <c r="J46" s="155">
        <f>+I46*12*E46</f>
        <v>0</v>
      </c>
      <c r="K46" s="155"/>
      <c r="L46" s="155"/>
      <c r="M46" s="155">
        <f>+I46*E46</f>
        <v>0</v>
      </c>
      <c r="N46" s="455">
        <f>+J46*$N$9</f>
        <v>0</v>
      </c>
      <c r="O46" s="156"/>
      <c r="P46" s="155">
        <f>IF(I46&gt;685.71,685.71*$P$9*12,I46*$P$9*12)</f>
        <v>0</v>
      </c>
      <c r="Q46" s="155"/>
      <c r="R46" s="155">
        <f>SUM(O46:Q46)</f>
        <v>0</v>
      </c>
      <c r="S46" s="140">
        <f>SUM(J46:Q46)</f>
        <v>0</v>
      </c>
      <c r="T46" s="12"/>
      <c r="U46" s="12"/>
      <c r="V46" s="12"/>
      <c r="W46" s="412"/>
      <c r="X46" s="17"/>
      <c r="Y46" s="17"/>
      <c r="Z46" s="17"/>
      <c r="AA46" s="17"/>
      <c r="AB46" s="17">
        <f t="shared" si="14"/>
        <v>0</v>
      </c>
      <c r="AC46" s="17">
        <f t="shared" si="120"/>
        <v>0</v>
      </c>
      <c r="AD46" s="17">
        <f t="shared" si="121"/>
        <v>0</v>
      </c>
      <c r="AE46" s="17"/>
      <c r="AF46" s="234">
        <f>SUM(R46:AC46)</f>
        <v>0</v>
      </c>
      <c r="AH46" s="412"/>
      <c r="AI46" s="17"/>
      <c r="AJ46" s="17"/>
      <c r="AK46" s="17"/>
      <c r="AL46" s="17"/>
      <c r="AM46" s="17">
        <f t="shared" si="147"/>
        <v>0</v>
      </c>
      <c r="AN46" s="17">
        <f t="shared" si="148"/>
        <v>0</v>
      </c>
      <c r="AO46" s="17">
        <f t="shared" si="149"/>
        <v>0</v>
      </c>
      <c r="AP46" s="17"/>
      <c r="AQ46" s="234">
        <f>SUM(AD46:AN46)</f>
        <v>0</v>
      </c>
      <c r="AS46" s="287">
        <f t="shared" si="153"/>
        <v>0</v>
      </c>
      <c r="AT46"/>
    </row>
    <row r="47" spans="2:46" s="54" customFormat="1" ht="13.5" hidden="1" thickBot="1" x14ac:dyDescent="0.25">
      <c r="B47" s="55"/>
      <c r="C47" s="56" t="s">
        <v>407</v>
      </c>
      <c r="D47" s="157"/>
      <c r="E47" s="162">
        <f>SUM(E45:E46)</f>
        <v>1</v>
      </c>
      <c r="F47" s="159"/>
      <c r="G47" s="159"/>
      <c r="H47" s="159"/>
      <c r="I47" s="163">
        <f t="shared" ref="I47:S47" si="154">SUM(I45:I46)</f>
        <v>0</v>
      </c>
      <c r="J47" s="163">
        <f t="shared" si="154"/>
        <v>0</v>
      </c>
      <c r="K47" s="163"/>
      <c r="L47" s="163"/>
      <c r="M47" s="163">
        <f t="shared" si="154"/>
        <v>0</v>
      </c>
      <c r="N47" s="459">
        <f t="shared" si="154"/>
        <v>0</v>
      </c>
      <c r="O47" s="163">
        <f t="shared" si="154"/>
        <v>0</v>
      </c>
      <c r="P47" s="163">
        <f t="shared" si="154"/>
        <v>0</v>
      </c>
      <c r="Q47" s="163">
        <f t="shared" si="154"/>
        <v>0</v>
      </c>
      <c r="R47" s="163">
        <f t="shared" si="154"/>
        <v>0</v>
      </c>
      <c r="S47" s="144">
        <f t="shared" si="154"/>
        <v>0</v>
      </c>
      <c r="T47" s="12"/>
      <c r="U47" s="12"/>
      <c r="V47" s="12"/>
      <c r="W47" s="412"/>
      <c r="X47" s="17"/>
      <c r="Y47" s="17"/>
      <c r="Z47" s="17"/>
      <c r="AA47" s="17"/>
      <c r="AB47" s="17">
        <f t="shared" si="14"/>
        <v>0</v>
      </c>
      <c r="AC47" s="17">
        <f t="shared" si="120"/>
        <v>0</v>
      </c>
      <c r="AD47" s="17">
        <f t="shared" si="121"/>
        <v>0</v>
      </c>
      <c r="AE47" s="17"/>
      <c r="AF47" s="234">
        <f t="shared" ref="AF47" si="155">SUM(AF45:AF46)</f>
        <v>0</v>
      </c>
      <c r="AH47" s="412"/>
      <c r="AI47" s="17"/>
      <c r="AJ47" s="17"/>
      <c r="AK47" s="17"/>
      <c r="AL47" s="17"/>
      <c r="AM47" s="17">
        <f t="shared" si="147"/>
        <v>0</v>
      </c>
      <c r="AN47" s="17">
        <f t="shared" si="148"/>
        <v>0</v>
      </c>
      <c r="AO47" s="17">
        <f t="shared" si="149"/>
        <v>0</v>
      </c>
      <c r="AP47" s="17"/>
      <c r="AQ47" s="234">
        <f t="shared" ref="AQ47" si="156">SUM(AQ45:AQ46)</f>
        <v>0</v>
      </c>
      <c r="AS47" s="287">
        <f t="shared" si="153"/>
        <v>0</v>
      </c>
      <c r="AT47"/>
    </row>
    <row r="48" spans="2:46" s="54" customFormat="1" hidden="1" x14ac:dyDescent="0.2">
      <c r="B48" s="52"/>
      <c r="C48" s="32"/>
      <c r="D48" s="151"/>
      <c r="E48" s="152"/>
      <c r="F48" s="153"/>
      <c r="G48" s="153"/>
      <c r="H48" s="153"/>
      <c r="I48" s="291"/>
      <c r="J48" s="155"/>
      <c r="K48" s="155"/>
      <c r="L48" s="155"/>
      <c r="M48" s="155"/>
      <c r="N48" s="455"/>
      <c r="O48" s="156"/>
      <c r="P48" s="155"/>
      <c r="Q48" s="155"/>
      <c r="R48" s="155"/>
      <c r="S48" s="140"/>
      <c r="T48" s="12"/>
      <c r="U48" s="12"/>
      <c r="V48" s="12"/>
      <c r="W48" s="412"/>
      <c r="X48" s="17"/>
      <c r="Y48" s="17"/>
      <c r="Z48" s="17"/>
      <c r="AA48" s="17"/>
      <c r="AB48" s="17">
        <f t="shared" si="14"/>
        <v>0</v>
      </c>
      <c r="AC48" s="17">
        <f t="shared" si="120"/>
        <v>0</v>
      </c>
      <c r="AD48" s="17">
        <f t="shared" si="121"/>
        <v>0</v>
      </c>
      <c r="AE48" s="17"/>
      <c r="AF48" s="234"/>
      <c r="AH48" s="412"/>
      <c r="AI48" s="17"/>
      <c r="AJ48" s="17"/>
      <c r="AK48" s="17"/>
      <c r="AL48" s="17"/>
      <c r="AM48" s="17">
        <f t="shared" si="147"/>
        <v>0</v>
      </c>
      <c r="AN48" s="17">
        <f t="shared" si="148"/>
        <v>0</v>
      </c>
      <c r="AO48" s="17">
        <f t="shared" si="149"/>
        <v>0</v>
      </c>
      <c r="AP48" s="17"/>
      <c r="AQ48" s="234"/>
      <c r="AS48" s="287">
        <f t="shared" si="153"/>
        <v>0</v>
      </c>
      <c r="AT48"/>
    </row>
    <row r="49" spans="2:46" s="54" customFormat="1" hidden="1" x14ac:dyDescent="0.2">
      <c r="B49" s="52">
        <v>36</v>
      </c>
      <c r="C49" s="32" t="s">
        <v>408</v>
      </c>
      <c r="D49" s="151" t="s">
        <v>409</v>
      </c>
      <c r="E49" s="152">
        <v>1</v>
      </c>
      <c r="F49" s="153" t="s">
        <v>21</v>
      </c>
      <c r="G49" s="153" t="s">
        <v>410</v>
      </c>
      <c r="H49" s="153"/>
      <c r="I49" s="291">
        <v>0</v>
      </c>
      <c r="J49" s="155">
        <f>+I49*12*E49</f>
        <v>0</v>
      </c>
      <c r="K49" s="155"/>
      <c r="L49" s="155"/>
      <c r="M49" s="155">
        <f>+I49*E49</f>
        <v>0</v>
      </c>
      <c r="N49" s="455">
        <f>+J49*$N$9</f>
        <v>0</v>
      </c>
      <c r="O49" s="156"/>
      <c r="P49" s="155">
        <f>IF(I49&gt;685.71,685.71*$P$9*12,I49*$P$9*12)</f>
        <v>0</v>
      </c>
      <c r="Q49" s="155"/>
      <c r="R49" s="155">
        <f>SUM(O49:Q49)</f>
        <v>0</v>
      </c>
      <c r="S49" s="140">
        <f>SUM(J49:Q49)</f>
        <v>0</v>
      </c>
      <c r="T49" s="12"/>
      <c r="U49" s="12"/>
      <c r="V49" s="12"/>
      <c r="W49" s="412"/>
      <c r="X49" s="17"/>
      <c r="Y49" s="17"/>
      <c r="Z49" s="17"/>
      <c r="AA49" s="17"/>
      <c r="AB49" s="17">
        <f t="shared" si="14"/>
        <v>0</v>
      </c>
      <c r="AC49" s="17">
        <f t="shared" si="120"/>
        <v>0</v>
      </c>
      <c r="AD49" s="17">
        <f t="shared" si="121"/>
        <v>0</v>
      </c>
      <c r="AE49" s="17"/>
      <c r="AF49" s="234">
        <f>SUM(R49:AC49)</f>
        <v>0</v>
      </c>
      <c r="AH49" s="412"/>
      <c r="AI49" s="17"/>
      <c r="AJ49" s="17"/>
      <c r="AK49" s="17"/>
      <c r="AL49" s="17"/>
      <c r="AM49" s="17">
        <f t="shared" si="147"/>
        <v>0</v>
      </c>
      <c r="AN49" s="17">
        <f t="shared" si="148"/>
        <v>0</v>
      </c>
      <c r="AO49" s="17">
        <f t="shared" si="149"/>
        <v>0</v>
      </c>
      <c r="AP49" s="17"/>
      <c r="AQ49" s="234">
        <f>SUM(AD49:AN49)</f>
        <v>0</v>
      </c>
      <c r="AS49" s="287">
        <f t="shared" si="153"/>
        <v>0</v>
      </c>
      <c r="AT49"/>
    </row>
    <row r="50" spans="2:46" s="54" customFormat="1" hidden="1" x14ac:dyDescent="0.2">
      <c r="B50" s="52">
        <v>37</v>
      </c>
      <c r="C50" s="32" t="s">
        <v>406</v>
      </c>
      <c r="D50" s="151" t="s">
        <v>409</v>
      </c>
      <c r="E50" s="152"/>
      <c r="F50" s="153" t="s">
        <v>21</v>
      </c>
      <c r="G50" s="153" t="s">
        <v>410</v>
      </c>
      <c r="H50" s="153"/>
      <c r="I50" s="291">
        <v>0</v>
      </c>
      <c r="J50" s="155">
        <f>+I50*12*E50</f>
        <v>0</v>
      </c>
      <c r="K50" s="155"/>
      <c r="L50" s="155"/>
      <c r="M50" s="155">
        <f>+I50*E50</f>
        <v>0</v>
      </c>
      <c r="N50" s="455">
        <f>+J50*$N$9</f>
        <v>0</v>
      </c>
      <c r="O50" s="156"/>
      <c r="P50" s="155">
        <f>IF(I50&gt;685.71,685.71*$P$9*12,I50*$P$9*12)</f>
        <v>0</v>
      </c>
      <c r="Q50" s="155"/>
      <c r="R50" s="155">
        <f>SUM(O50:Q50)</f>
        <v>0</v>
      </c>
      <c r="S50" s="140">
        <f>SUM(J50:Q50)</f>
        <v>0</v>
      </c>
      <c r="T50" s="12"/>
      <c r="U50" s="12"/>
      <c r="V50" s="12"/>
      <c r="W50" s="412"/>
      <c r="X50" s="17"/>
      <c r="Y50" s="17"/>
      <c r="Z50" s="17"/>
      <c r="AA50" s="17"/>
      <c r="AB50" s="17">
        <f t="shared" si="14"/>
        <v>0</v>
      </c>
      <c r="AC50" s="17">
        <f t="shared" si="120"/>
        <v>0</v>
      </c>
      <c r="AD50" s="17">
        <f t="shared" si="121"/>
        <v>0</v>
      </c>
      <c r="AE50" s="17"/>
      <c r="AF50" s="234">
        <f>SUM(R50:AC50)</f>
        <v>0</v>
      </c>
      <c r="AH50" s="412"/>
      <c r="AI50" s="17"/>
      <c r="AJ50" s="17"/>
      <c r="AK50" s="17"/>
      <c r="AL50" s="17"/>
      <c r="AM50" s="17">
        <f t="shared" si="147"/>
        <v>0</v>
      </c>
      <c r="AN50" s="17">
        <f t="shared" si="148"/>
        <v>0</v>
      </c>
      <c r="AO50" s="17">
        <f t="shared" si="149"/>
        <v>0</v>
      </c>
      <c r="AP50" s="17"/>
      <c r="AQ50" s="234">
        <f>SUM(AD50:AN50)</f>
        <v>0</v>
      </c>
      <c r="AS50" s="287">
        <f t="shared" si="153"/>
        <v>0</v>
      </c>
      <c r="AT50"/>
    </row>
    <row r="51" spans="2:46" s="54" customFormat="1" ht="13.5" hidden="1" thickBot="1" x14ac:dyDescent="0.25">
      <c r="B51" s="55"/>
      <c r="C51" s="56" t="s">
        <v>411</v>
      </c>
      <c r="D51" s="157"/>
      <c r="E51" s="162">
        <f>SUM(E49:E50)</f>
        <v>1</v>
      </c>
      <c r="F51" s="159"/>
      <c r="G51" s="159"/>
      <c r="H51" s="159"/>
      <c r="I51" s="163">
        <f t="shared" ref="I51:S51" si="157">SUM(I49:I50)</f>
        <v>0</v>
      </c>
      <c r="J51" s="163">
        <f t="shared" si="157"/>
        <v>0</v>
      </c>
      <c r="K51" s="163"/>
      <c r="L51" s="163"/>
      <c r="M51" s="163">
        <f t="shared" si="157"/>
        <v>0</v>
      </c>
      <c r="N51" s="459">
        <f t="shared" si="157"/>
        <v>0</v>
      </c>
      <c r="O51" s="163">
        <f t="shared" si="157"/>
        <v>0</v>
      </c>
      <c r="P51" s="163">
        <f t="shared" si="157"/>
        <v>0</v>
      </c>
      <c r="Q51" s="163">
        <f t="shared" si="157"/>
        <v>0</v>
      </c>
      <c r="R51" s="163">
        <f t="shared" si="157"/>
        <v>0</v>
      </c>
      <c r="S51" s="144">
        <f t="shared" si="157"/>
        <v>0</v>
      </c>
      <c r="T51" s="12"/>
      <c r="U51" s="12"/>
      <c r="V51" s="12"/>
      <c r="W51" s="412"/>
      <c r="X51" s="17"/>
      <c r="Y51" s="17"/>
      <c r="Z51" s="17"/>
      <c r="AA51" s="17"/>
      <c r="AB51" s="17">
        <f t="shared" si="14"/>
        <v>0</v>
      </c>
      <c r="AC51" s="17">
        <f t="shared" si="120"/>
        <v>0</v>
      </c>
      <c r="AD51" s="17">
        <f t="shared" si="121"/>
        <v>0</v>
      </c>
      <c r="AE51" s="17"/>
      <c r="AF51" s="234">
        <f t="shared" ref="AF51" si="158">SUM(AF49:AF50)</f>
        <v>0</v>
      </c>
      <c r="AH51" s="412"/>
      <c r="AI51" s="17"/>
      <c r="AJ51" s="17"/>
      <c r="AK51" s="17"/>
      <c r="AL51" s="17"/>
      <c r="AM51" s="17">
        <f t="shared" si="147"/>
        <v>0</v>
      </c>
      <c r="AN51" s="17">
        <f t="shared" si="148"/>
        <v>0</v>
      </c>
      <c r="AO51" s="17">
        <f t="shared" si="149"/>
        <v>0</v>
      </c>
      <c r="AP51" s="17"/>
      <c r="AQ51" s="234">
        <f t="shared" ref="AQ51" si="159">SUM(AQ49:AQ50)</f>
        <v>0</v>
      </c>
      <c r="AS51" s="287">
        <f t="shared" si="153"/>
        <v>0</v>
      </c>
      <c r="AT51"/>
    </row>
    <row r="52" spans="2:46" s="54" customFormat="1" x14ac:dyDescent="0.2">
      <c r="B52" s="52">
        <v>14</v>
      </c>
      <c r="C52" s="32" t="s">
        <v>412</v>
      </c>
      <c r="D52" s="151" t="s">
        <v>413</v>
      </c>
      <c r="E52" s="152">
        <v>1</v>
      </c>
      <c r="F52" s="153" t="s">
        <v>24</v>
      </c>
      <c r="G52" s="153" t="s">
        <v>24</v>
      </c>
      <c r="H52" s="281">
        <v>750</v>
      </c>
      <c r="I52" s="291">
        <f t="shared" ref="I52:I59" si="160">E52*H52</f>
        <v>750</v>
      </c>
      <c r="J52" s="155">
        <f>I52*12</f>
        <v>9000</v>
      </c>
      <c r="K52" s="155">
        <f t="shared" ref="K52:K59" si="161">100*E52</f>
        <v>100</v>
      </c>
      <c r="L52" s="155">
        <v>0</v>
      </c>
      <c r="M52" s="155">
        <f>I52</f>
        <v>750</v>
      </c>
      <c r="N52" s="455">
        <f>ROUND(J52*$N$9,2)</f>
        <v>697.5</v>
      </c>
      <c r="O52" s="155">
        <v>0</v>
      </c>
      <c r="P52" s="155">
        <f t="shared" ref="P52:P59" si="162">ROUND((IF(I52&gt;1000,1000*$P$9*12,I52*$P$9*12)),2)</f>
        <v>675</v>
      </c>
      <c r="Q52" s="155">
        <f t="shared" ref="Q52:Q59" si="163">ROUND((IF(I52&gt;1000,1000*$Q$9*12,I52*$Q$9*12)),2)</f>
        <v>90</v>
      </c>
      <c r="R52" s="155">
        <f t="shared" ref="R52:R59" si="164">SUM(N52:Q52)</f>
        <v>1462.5</v>
      </c>
      <c r="S52" s="140">
        <f t="shared" ref="S52:S59" si="165">J52+K52+L52+M52+R52</f>
        <v>11312.5</v>
      </c>
      <c r="T52" s="12"/>
      <c r="U52" s="12"/>
      <c r="V52" s="12"/>
      <c r="W52" s="413" t="s">
        <v>776</v>
      </c>
      <c r="X52" s="155">
        <f t="shared" ref="X52:X59" si="166">I52*W52</f>
        <v>4500</v>
      </c>
      <c r="Y52" s="155"/>
      <c r="Z52" s="155"/>
      <c r="AA52" s="155">
        <f t="shared" ref="AA52:AA59" si="167">ROUND(((P52/12)*W52),2)</f>
        <v>337.5</v>
      </c>
      <c r="AB52" s="155">
        <f t="shared" si="14"/>
        <v>0</v>
      </c>
      <c r="AC52" s="155">
        <f t="shared" ref="AC52:AC59" si="168">ROUND(((N52/12)*W52),2)</f>
        <v>348.75</v>
      </c>
      <c r="AD52" s="155">
        <f t="shared" ref="AD52:AD59" si="169">ROUND(((Q52/12)*W52),2)</f>
        <v>45</v>
      </c>
      <c r="AE52" s="155">
        <f t="shared" ref="AE52:AE59" si="170">M52</f>
        <v>750</v>
      </c>
      <c r="AF52" s="155">
        <f t="shared" ref="AF52:AF59" si="171">SUM(X52:AE52)</f>
        <v>5981.25</v>
      </c>
      <c r="AH52" s="835">
        <f t="shared" ref="AH52:AH59" si="172">12-W52</f>
        <v>6</v>
      </c>
      <c r="AI52" s="155">
        <f t="shared" ref="AI52:AI59" si="173">I52*AH52</f>
        <v>4500</v>
      </c>
      <c r="AJ52" s="155">
        <f t="shared" ref="AJ52:AJ59" si="174">K52</f>
        <v>100</v>
      </c>
      <c r="AK52" s="155"/>
      <c r="AL52" s="155">
        <f t="shared" ref="AL52:AL59" si="175">ROUND(((P52/12)*AH52),2)</f>
        <v>337.5</v>
      </c>
      <c r="AM52" s="155">
        <f t="shared" ref="AM52:AM59" si="176">(O52/12)*AH52</f>
        <v>0</v>
      </c>
      <c r="AN52" s="155">
        <f t="shared" ref="AN52:AN59" si="177">ROUND(((N52/12)*AH52),2)</f>
        <v>348.75</v>
      </c>
      <c r="AO52" s="155">
        <f t="shared" ref="AO52:AO59" si="178">ROUND(((Q52/12)*AH52),2)</f>
        <v>45</v>
      </c>
      <c r="AP52" s="155"/>
      <c r="AQ52" s="155">
        <f t="shared" ref="AQ52:AQ59" si="179">SUM(AI52:AO52)</f>
        <v>5331.25</v>
      </c>
      <c r="AS52" s="287">
        <f>AC52+AN52-N52</f>
        <v>0</v>
      </c>
      <c r="AT52"/>
    </row>
    <row r="53" spans="2:46" s="54" customFormat="1" x14ac:dyDescent="0.2">
      <c r="B53" s="52">
        <v>15</v>
      </c>
      <c r="C53" s="32" t="s">
        <v>603</v>
      </c>
      <c r="D53" s="151" t="s">
        <v>432</v>
      </c>
      <c r="E53" s="152">
        <v>1</v>
      </c>
      <c r="F53" s="153" t="s">
        <v>24</v>
      </c>
      <c r="G53" s="153" t="s">
        <v>24</v>
      </c>
      <c r="H53" s="281">
        <v>550</v>
      </c>
      <c r="I53" s="291">
        <f t="shared" si="160"/>
        <v>550</v>
      </c>
      <c r="J53" s="155">
        <f>I53*12</f>
        <v>6600</v>
      </c>
      <c r="K53" s="155">
        <f t="shared" si="161"/>
        <v>100</v>
      </c>
      <c r="L53" s="155">
        <v>0</v>
      </c>
      <c r="M53" s="155">
        <f t="shared" ref="M53:M59" si="180">I53</f>
        <v>550</v>
      </c>
      <c r="N53" s="455">
        <f t="shared" ref="N53:N59" si="181">ROUND(J53*$N$9,2)</f>
        <v>511.5</v>
      </c>
      <c r="O53" s="155">
        <v>0</v>
      </c>
      <c r="P53" s="155">
        <f t="shared" si="162"/>
        <v>495</v>
      </c>
      <c r="Q53" s="155">
        <f t="shared" si="163"/>
        <v>66</v>
      </c>
      <c r="R53" s="155">
        <f t="shared" si="164"/>
        <v>1072.5</v>
      </c>
      <c r="S53" s="140">
        <f t="shared" si="165"/>
        <v>8322.5</v>
      </c>
      <c r="T53" s="12"/>
      <c r="U53" s="12"/>
      <c r="V53" s="12"/>
      <c r="W53" s="413" t="s">
        <v>776</v>
      </c>
      <c r="X53" s="155">
        <f t="shared" si="166"/>
        <v>3300</v>
      </c>
      <c r="Y53" s="155"/>
      <c r="Z53" s="155"/>
      <c r="AA53" s="155">
        <f t="shared" si="167"/>
        <v>247.5</v>
      </c>
      <c r="AB53" s="155">
        <f t="shared" si="14"/>
        <v>0</v>
      </c>
      <c r="AC53" s="155">
        <f t="shared" si="168"/>
        <v>255.75</v>
      </c>
      <c r="AD53" s="155">
        <f t="shared" si="169"/>
        <v>33</v>
      </c>
      <c r="AE53" s="155">
        <f t="shared" si="170"/>
        <v>550</v>
      </c>
      <c r="AF53" s="155">
        <f t="shared" si="171"/>
        <v>4386.25</v>
      </c>
      <c r="AH53" s="835">
        <f t="shared" si="172"/>
        <v>6</v>
      </c>
      <c r="AI53" s="155">
        <f t="shared" si="173"/>
        <v>3300</v>
      </c>
      <c r="AJ53" s="155">
        <f t="shared" si="174"/>
        <v>100</v>
      </c>
      <c r="AK53" s="155"/>
      <c r="AL53" s="155">
        <f t="shared" si="175"/>
        <v>247.5</v>
      </c>
      <c r="AM53" s="155">
        <f t="shared" si="176"/>
        <v>0</v>
      </c>
      <c r="AN53" s="155">
        <f t="shared" si="177"/>
        <v>255.75</v>
      </c>
      <c r="AO53" s="155">
        <f t="shared" si="178"/>
        <v>33</v>
      </c>
      <c r="AP53" s="155"/>
      <c r="AQ53" s="155">
        <f t="shared" si="179"/>
        <v>3936.25</v>
      </c>
      <c r="AS53" s="287">
        <f t="shared" si="153"/>
        <v>0</v>
      </c>
      <c r="AT53"/>
    </row>
    <row r="54" spans="2:46" s="54" customFormat="1" ht="36" x14ac:dyDescent="0.2">
      <c r="B54" s="52">
        <v>16</v>
      </c>
      <c r="C54" s="94" t="s">
        <v>628</v>
      </c>
      <c r="D54" s="289" t="s">
        <v>622</v>
      </c>
      <c r="E54" s="152">
        <v>1</v>
      </c>
      <c r="F54" s="153" t="s">
        <v>24</v>
      </c>
      <c r="G54" s="153" t="s">
        <v>24</v>
      </c>
      <c r="H54" s="281">
        <v>500</v>
      </c>
      <c r="I54" s="291">
        <f t="shared" ref="I54" si="182">E54*H54</f>
        <v>500</v>
      </c>
      <c r="J54" s="155">
        <f t="shared" ref="J54" si="183">I54*12</f>
        <v>6000</v>
      </c>
      <c r="K54" s="155">
        <f t="shared" ref="K54" si="184">100*E54</f>
        <v>100</v>
      </c>
      <c r="L54" s="155">
        <v>0</v>
      </c>
      <c r="M54" s="155">
        <f t="shared" ref="M54" si="185">I54</f>
        <v>500</v>
      </c>
      <c r="N54" s="455">
        <f t="shared" si="181"/>
        <v>465</v>
      </c>
      <c r="O54" s="155">
        <f>+J54*$O$9</f>
        <v>360</v>
      </c>
      <c r="P54" s="155">
        <f t="shared" si="162"/>
        <v>450</v>
      </c>
      <c r="Q54" s="155">
        <f>ROUND((IF(I54&gt;1000,1000*$Q$9*12,I54*$Q$9*12)),2)</f>
        <v>60</v>
      </c>
      <c r="R54" s="155">
        <f t="shared" si="164"/>
        <v>1335</v>
      </c>
      <c r="S54" s="140">
        <f t="shared" ref="S54" si="186">J54+K54+L54+M54+R54</f>
        <v>7935</v>
      </c>
      <c r="T54" s="12"/>
      <c r="U54" s="12"/>
      <c r="V54" s="12"/>
      <c r="W54" s="413" t="s">
        <v>776</v>
      </c>
      <c r="X54" s="155">
        <f t="shared" si="166"/>
        <v>3000</v>
      </c>
      <c r="Y54" s="155"/>
      <c r="Z54" s="155"/>
      <c r="AA54" s="155">
        <f t="shared" si="167"/>
        <v>225</v>
      </c>
      <c r="AB54" s="155">
        <f>ROUND(((O54/12)*W54),2)</f>
        <v>180</v>
      </c>
      <c r="AC54" s="155">
        <f t="shared" si="168"/>
        <v>232.5</v>
      </c>
      <c r="AD54" s="155">
        <f t="shared" si="169"/>
        <v>30</v>
      </c>
      <c r="AE54" s="155">
        <f t="shared" si="170"/>
        <v>500</v>
      </c>
      <c r="AF54" s="155">
        <f t="shared" si="171"/>
        <v>4167.5</v>
      </c>
      <c r="AH54" s="835">
        <f t="shared" si="172"/>
        <v>6</v>
      </c>
      <c r="AI54" s="155">
        <f t="shared" si="173"/>
        <v>3000</v>
      </c>
      <c r="AJ54" s="155">
        <f t="shared" si="174"/>
        <v>100</v>
      </c>
      <c r="AK54" s="155"/>
      <c r="AL54" s="155">
        <f t="shared" si="175"/>
        <v>225</v>
      </c>
      <c r="AM54" s="155">
        <f>ROUND(((O54/12)*AH54),2)</f>
        <v>180</v>
      </c>
      <c r="AN54" s="155">
        <f t="shared" si="177"/>
        <v>232.5</v>
      </c>
      <c r="AO54" s="155">
        <f t="shared" si="178"/>
        <v>30</v>
      </c>
      <c r="AP54" s="155"/>
      <c r="AQ54" s="155">
        <f t="shared" si="179"/>
        <v>3767.5</v>
      </c>
      <c r="AS54" s="287">
        <f t="shared" si="153"/>
        <v>0</v>
      </c>
      <c r="AT54"/>
    </row>
    <row r="55" spans="2:46" s="54" customFormat="1" ht="36" customHeight="1" x14ac:dyDescent="0.2">
      <c r="B55" s="52">
        <v>17</v>
      </c>
      <c r="C55" s="94" t="s">
        <v>577</v>
      </c>
      <c r="D55" s="94" t="s">
        <v>578</v>
      </c>
      <c r="E55" s="227">
        <v>1</v>
      </c>
      <c r="F55" s="228" t="s">
        <v>24</v>
      </c>
      <c r="G55" s="228" t="s">
        <v>24</v>
      </c>
      <c r="H55" s="282">
        <v>400</v>
      </c>
      <c r="I55" s="292">
        <f t="shared" si="160"/>
        <v>400</v>
      </c>
      <c r="J55" s="229">
        <f t="shared" ref="J55:J59" si="187">I55*12</f>
        <v>4800</v>
      </c>
      <c r="K55" s="229">
        <f t="shared" si="161"/>
        <v>100</v>
      </c>
      <c r="L55" s="229">
        <v>0</v>
      </c>
      <c r="M55" s="229">
        <f t="shared" si="180"/>
        <v>400</v>
      </c>
      <c r="N55" s="457">
        <f>ROUND(J55*$N$9,2)</f>
        <v>372</v>
      </c>
      <c r="O55" s="229">
        <v>0</v>
      </c>
      <c r="P55" s="229">
        <f t="shared" si="162"/>
        <v>360</v>
      </c>
      <c r="Q55" s="229">
        <f t="shared" si="163"/>
        <v>48</v>
      </c>
      <c r="R55" s="229">
        <f t="shared" si="164"/>
        <v>780</v>
      </c>
      <c r="S55" s="230">
        <f t="shared" si="165"/>
        <v>6080</v>
      </c>
      <c r="T55" s="12"/>
      <c r="U55" s="12"/>
      <c r="V55" s="12"/>
      <c r="W55" s="413" t="s">
        <v>776</v>
      </c>
      <c r="X55" s="229">
        <f t="shared" si="166"/>
        <v>2400</v>
      </c>
      <c r="Y55" s="229"/>
      <c r="Z55" s="229"/>
      <c r="AA55" s="229">
        <f t="shared" si="167"/>
        <v>180</v>
      </c>
      <c r="AB55" s="229">
        <f t="shared" si="14"/>
        <v>0</v>
      </c>
      <c r="AC55" s="229">
        <f t="shared" si="168"/>
        <v>186</v>
      </c>
      <c r="AD55" s="229">
        <f t="shared" si="169"/>
        <v>24</v>
      </c>
      <c r="AE55" s="229">
        <f t="shared" si="170"/>
        <v>400</v>
      </c>
      <c r="AF55" s="229">
        <f t="shared" si="171"/>
        <v>3190</v>
      </c>
      <c r="AH55" s="835">
        <f t="shared" si="172"/>
        <v>6</v>
      </c>
      <c r="AI55" s="229">
        <f t="shared" si="173"/>
        <v>2400</v>
      </c>
      <c r="AJ55" s="229">
        <f t="shared" si="174"/>
        <v>100</v>
      </c>
      <c r="AK55" s="229"/>
      <c r="AL55" s="229">
        <f t="shared" si="175"/>
        <v>180</v>
      </c>
      <c r="AM55" s="229">
        <f t="shared" si="176"/>
        <v>0</v>
      </c>
      <c r="AN55" s="229">
        <f t="shared" si="177"/>
        <v>186</v>
      </c>
      <c r="AO55" s="229">
        <f t="shared" si="178"/>
        <v>24</v>
      </c>
      <c r="AP55" s="229"/>
      <c r="AQ55" s="229">
        <f t="shared" si="179"/>
        <v>2890</v>
      </c>
      <c r="AS55" s="287">
        <f t="shared" si="153"/>
        <v>0</v>
      </c>
      <c r="AT55"/>
    </row>
    <row r="56" spans="2:46" s="54" customFormat="1" x14ac:dyDescent="0.2">
      <c r="B56" s="52">
        <v>23</v>
      </c>
      <c r="C56" s="32" t="s">
        <v>424</v>
      </c>
      <c r="D56" s="151" t="s">
        <v>714</v>
      </c>
      <c r="E56" s="152">
        <v>1</v>
      </c>
      <c r="F56" s="153" t="s">
        <v>253</v>
      </c>
      <c r="G56" s="153" t="s">
        <v>253</v>
      </c>
      <c r="H56" s="281">
        <v>450</v>
      </c>
      <c r="I56" s="291">
        <f t="shared" si="160"/>
        <v>450</v>
      </c>
      <c r="J56" s="155">
        <f t="shared" si="187"/>
        <v>5400</v>
      </c>
      <c r="K56" s="155">
        <f t="shared" si="161"/>
        <v>100</v>
      </c>
      <c r="L56" s="155">
        <v>450</v>
      </c>
      <c r="M56" s="155">
        <f t="shared" si="180"/>
        <v>450</v>
      </c>
      <c r="N56" s="455">
        <f>ROUND(((J56+L56)*N$9),2)</f>
        <v>453.38</v>
      </c>
      <c r="O56" s="155">
        <v>0</v>
      </c>
      <c r="P56" s="155">
        <f>ROUND(((J56+L56)*P$9),2)</f>
        <v>438.75</v>
      </c>
      <c r="Q56" s="155">
        <f t="shared" ref="Q56" si="188">ROUND(((J56+L56)*Q$9),2)</f>
        <v>58.5</v>
      </c>
      <c r="R56" s="155">
        <f t="shared" ref="R56" si="189">SUM(N56:Q56)</f>
        <v>950.63</v>
      </c>
      <c r="S56" s="140">
        <f t="shared" si="165"/>
        <v>7350.63</v>
      </c>
      <c r="T56" s="12"/>
      <c r="U56" s="12"/>
      <c r="V56" s="12"/>
      <c r="W56" s="413" t="s">
        <v>776</v>
      </c>
      <c r="X56" s="155">
        <f t="shared" si="166"/>
        <v>2700</v>
      </c>
      <c r="Y56" s="155"/>
      <c r="Z56" s="155"/>
      <c r="AA56" s="155">
        <f t="shared" si="167"/>
        <v>219.38</v>
      </c>
      <c r="AB56" s="155">
        <f t="shared" ref="AB56" si="190">(O56/12)*W56</f>
        <v>0</v>
      </c>
      <c r="AC56" s="155">
        <f t="shared" si="168"/>
        <v>226.69</v>
      </c>
      <c r="AD56" s="155">
        <f t="shared" si="169"/>
        <v>29.25</v>
      </c>
      <c r="AE56" s="155">
        <f t="shared" si="170"/>
        <v>450</v>
      </c>
      <c r="AF56" s="155">
        <f t="shared" si="171"/>
        <v>3625.32</v>
      </c>
      <c r="AH56" s="835">
        <f t="shared" si="172"/>
        <v>6</v>
      </c>
      <c r="AI56" s="155">
        <f>I56*AH56</f>
        <v>2700</v>
      </c>
      <c r="AJ56" s="155">
        <f>K56</f>
        <v>100</v>
      </c>
      <c r="AK56" s="155">
        <f>L56</f>
        <v>450</v>
      </c>
      <c r="AL56" s="155">
        <f t="shared" si="175"/>
        <v>219.38</v>
      </c>
      <c r="AM56" s="155">
        <f>(O56/12)*AH56</f>
        <v>0</v>
      </c>
      <c r="AN56" s="155">
        <f t="shared" si="177"/>
        <v>226.69</v>
      </c>
      <c r="AO56" s="155">
        <f t="shared" si="178"/>
        <v>29.25</v>
      </c>
      <c r="AP56" s="155"/>
      <c r="AQ56" s="155">
        <f>SUM(AI56:AO56)</f>
        <v>3725.32</v>
      </c>
      <c r="AS56" s="287">
        <f t="shared" ref="AS56" si="191">AC56+AN56-N56</f>
        <v>0</v>
      </c>
      <c r="AT56"/>
    </row>
    <row r="57" spans="2:46" s="54" customFormat="1" ht="48" x14ac:dyDescent="0.2">
      <c r="B57" s="911">
        <v>18</v>
      </c>
      <c r="C57" s="910" t="s">
        <v>713</v>
      </c>
      <c r="D57" s="909" t="s">
        <v>764</v>
      </c>
      <c r="E57" s="152">
        <v>1</v>
      </c>
      <c r="F57" s="153" t="s">
        <v>24</v>
      </c>
      <c r="G57" s="153" t="s">
        <v>24</v>
      </c>
      <c r="H57" s="281">
        <v>500</v>
      </c>
      <c r="I57" s="291">
        <f t="shared" si="160"/>
        <v>500</v>
      </c>
      <c r="J57" s="155">
        <f t="shared" si="187"/>
        <v>6000</v>
      </c>
      <c r="K57" s="155">
        <f t="shared" si="161"/>
        <v>100</v>
      </c>
      <c r="L57" s="155">
        <v>0</v>
      </c>
      <c r="M57" s="155">
        <f t="shared" si="180"/>
        <v>500</v>
      </c>
      <c r="N57" s="455">
        <f t="shared" ref="N57" si="192">ROUND(J57*$N$9,2)</f>
        <v>465</v>
      </c>
      <c r="O57" s="155">
        <v>0</v>
      </c>
      <c r="P57" s="155">
        <f t="shared" si="162"/>
        <v>450</v>
      </c>
      <c r="Q57" s="155">
        <f t="shared" si="163"/>
        <v>60</v>
      </c>
      <c r="R57" s="155">
        <f t="shared" si="164"/>
        <v>975</v>
      </c>
      <c r="S57" s="140">
        <f t="shared" si="165"/>
        <v>7575</v>
      </c>
      <c r="T57" s="12"/>
      <c r="U57" s="12"/>
      <c r="V57" s="12"/>
      <c r="W57" s="413" t="s">
        <v>776</v>
      </c>
      <c r="X57" s="155">
        <f t="shared" si="166"/>
        <v>3000</v>
      </c>
      <c r="Y57" s="155"/>
      <c r="Z57" s="155"/>
      <c r="AA57" s="155">
        <f t="shared" si="167"/>
        <v>225</v>
      </c>
      <c r="AB57" s="155">
        <f t="shared" si="14"/>
        <v>0</v>
      </c>
      <c r="AC57" s="155">
        <f t="shared" si="168"/>
        <v>232.5</v>
      </c>
      <c r="AD57" s="155">
        <f t="shared" si="169"/>
        <v>30</v>
      </c>
      <c r="AE57" s="155">
        <f t="shared" si="170"/>
        <v>500</v>
      </c>
      <c r="AF57" s="155">
        <f t="shared" si="171"/>
        <v>3987.5</v>
      </c>
      <c r="AH57" s="835">
        <f t="shared" si="172"/>
        <v>6</v>
      </c>
      <c r="AI57" s="155">
        <f t="shared" si="173"/>
        <v>3000</v>
      </c>
      <c r="AJ57" s="155">
        <f t="shared" si="174"/>
        <v>100</v>
      </c>
      <c r="AK57" s="155"/>
      <c r="AL57" s="155">
        <f t="shared" si="175"/>
        <v>225</v>
      </c>
      <c r="AM57" s="155">
        <f t="shared" si="176"/>
        <v>0</v>
      </c>
      <c r="AN57" s="155">
        <f t="shared" si="177"/>
        <v>232.5</v>
      </c>
      <c r="AO57" s="155">
        <f t="shared" si="178"/>
        <v>30</v>
      </c>
      <c r="AP57" s="155"/>
      <c r="AQ57" s="155">
        <f t="shared" si="179"/>
        <v>3587.5</v>
      </c>
      <c r="AS57" s="287">
        <f t="shared" si="153"/>
        <v>0</v>
      </c>
      <c r="AT57"/>
    </row>
    <row r="58" spans="2:46" s="54" customFormat="1" x14ac:dyDescent="0.2">
      <c r="B58" s="52">
        <v>18</v>
      </c>
      <c r="C58" s="32" t="s">
        <v>23</v>
      </c>
      <c r="D58" s="151"/>
      <c r="E58" s="152">
        <v>1</v>
      </c>
      <c r="F58" s="153" t="s">
        <v>24</v>
      </c>
      <c r="G58" s="153" t="s">
        <v>24</v>
      </c>
      <c r="H58" s="281">
        <v>354.17</v>
      </c>
      <c r="I58" s="291">
        <f t="shared" ref="I58" si="193">E58*H58</f>
        <v>354.17</v>
      </c>
      <c r="J58" s="155">
        <f t="shared" ref="J58" si="194">I58*12</f>
        <v>4250.04</v>
      </c>
      <c r="K58" s="155">
        <f t="shared" ref="K58" si="195">100*E58</f>
        <v>100</v>
      </c>
      <c r="L58" s="155">
        <v>0</v>
      </c>
      <c r="M58" s="155">
        <f t="shared" ref="M58" si="196">I58</f>
        <v>354.17</v>
      </c>
      <c r="N58" s="455">
        <f t="shared" ref="N58" si="197">ROUND(J58*$N$9,2)</f>
        <v>329.38</v>
      </c>
      <c r="O58" s="155">
        <v>0</v>
      </c>
      <c r="P58" s="155">
        <f t="shared" ref="P58" si="198">ROUND((IF(I58&gt;1000,1000*$P$9*12,I58*$P$9*12)),2)</f>
        <v>318.75</v>
      </c>
      <c r="Q58" s="155">
        <f t="shared" ref="Q58" si="199">ROUND((IF(I58&gt;1000,1000*$Q$9*12,I58*$Q$9*12)),2)</f>
        <v>42.5</v>
      </c>
      <c r="R58" s="155">
        <f t="shared" ref="R58" si="200">SUM(N58:Q58)</f>
        <v>690.63</v>
      </c>
      <c r="S58" s="140">
        <f t="shared" ref="S58" si="201">J58+K58+L58+M58+R58</f>
        <v>5394.84</v>
      </c>
      <c r="T58" s="12"/>
      <c r="U58" s="12"/>
      <c r="V58" s="12"/>
      <c r="W58" s="413" t="s">
        <v>776</v>
      </c>
      <c r="X58" s="155">
        <f t="shared" ref="X58" si="202">I58*W58</f>
        <v>2125.02</v>
      </c>
      <c r="Y58" s="155"/>
      <c r="Z58" s="155"/>
      <c r="AA58" s="155">
        <f t="shared" ref="AA58" si="203">ROUND(((P58/12)*W58),2)</f>
        <v>159.38</v>
      </c>
      <c r="AB58" s="155">
        <f t="shared" ref="AB58" si="204">(O58/12)*W58</f>
        <v>0</v>
      </c>
      <c r="AC58" s="155">
        <f t="shared" ref="AC58" si="205">ROUND(((N58/12)*W58),2)</f>
        <v>164.69</v>
      </c>
      <c r="AD58" s="155">
        <f t="shared" ref="AD58" si="206">ROUND(((Q58/12)*W58),2)</f>
        <v>21.25</v>
      </c>
      <c r="AE58" s="155">
        <f t="shared" ref="AE58" si="207">M58</f>
        <v>354.17</v>
      </c>
      <c r="AF58" s="155">
        <f t="shared" ref="AF58" si="208">SUM(X58:AE58)</f>
        <v>2824.51</v>
      </c>
      <c r="AH58" s="835">
        <f t="shared" si="172"/>
        <v>6</v>
      </c>
      <c r="AI58" s="155">
        <f t="shared" ref="AI58" si="209">I58*AH58</f>
        <v>2125.02</v>
      </c>
      <c r="AJ58" s="155">
        <f t="shared" ref="AJ58" si="210">K58</f>
        <v>100</v>
      </c>
      <c r="AK58" s="155"/>
      <c r="AL58" s="155">
        <f t="shared" ref="AL58" si="211">ROUND(((P58/12)*AH58),2)</f>
        <v>159.38</v>
      </c>
      <c r="AM58" s="155">
        <f t="shared" ref="AM58" si="212">(O58/12)*AH58</f>
        <v>0</v>
      </c>
      <c r="AN58" s="155">
        <f t="shared" ref="AN58" si="213">ROUND(((N58/12)*AH58),2)</f>
        <v>164.69</v>
      </c>
      <c r="AO58" s="155">
        <f t="shared" ref="AO58" si="214">ROUND(((Q58/12)*AH58),2)</f>
        <v>21.25</v>
      </c>
      <c r="AP58" s="155"/>
      <c r="AQ58" s="155">
        <f t="shared" ref="AQ58" si="215">SUM(AI58:AO58)</f>
        <v>2570.34</v>
      </c>
      <c r="AS58" s="287">
        <f t="shared" ref="AS58" si="216">AC58+AN58-N58</f>
        <v>0</v>
      </c>
      <c r="AT58"/>
    </row>
    <row r="59" spans="2:46" s="54" customFormat="1" x14ac:dyDescent="0.2">
      <c r="B59" s="52">
        <v>18</v>
      </c>
      <c r="C59" s="32" t="s">
        <v>23</v>
      </c>
      <c r="D59" s="151"/>
      <c r="E59" s="152">
        <v>1</v>
      </c>
      <c r="F59" s="153" t="s">
        <v>24</v>
      </c>
      <c r="G59" s="153" t="s">
        <v>24</v>
      </c>
      <c r="H59" s="281">
        <v>304.17</v>
      </c>
      <c r="I59" s="291">
        <f t="shared" si="160"/>
        <v>304.17</v>
      </c>
      <c r="J59" s="155">
        <f t="shared" si="187"/>
        <v>3650.04</v>
      </c>
      <c r="K59" s="155">
        <f t="shared" si="161"/>
        <v>100</v>
      </c>
      <c r="L59" s="155">
        <v>0</v>
      </c>
      <c r="M59" s="155">
        <f t="shared" si="180"/>
        <v>304.17</v>
      </c>
      <c r="N59" s="455">
        <f t="shared" si="181"/>
        <v>282.88</v>
      </c>
      <c r="O59" s="155">
        <v>0</v>
      </c>
      <c r="P59" s="155">
        <f t="shared" si="162"/>
        <v>273.75</v>
      </c>
      <c r="Q59" s="155">
        <f t="shared" si="163"/>
        <v>36.5</v>
      </c>
      <c r="R59" s="155">
        <f t="shared" si="164"/>
        <v>593.13</v>
      </c>
      <c r="S59" s="140">
        <f t="shared" si="165"/>
        <v>4647.34</v>
      </c>
      <c r="T59" s="12"/>
      <c r="U59" s="12"/>
      <c r="V59" s="12"/>
      <c r="W59" s="413" t="s">
        <v>776</v>
      </c>
      <c r="X59" s="155">
        <f t="shared" si="166"/>
        <v>1825.02</v>
      </c>
      <c r="Y59" s="155"/>
      <c r="Z59" s="155"/>
      <c r="AA59" s="155">
        <f t="shared" si="167"/>
        <v>136.88</v>
      </c>
      <c r="AB59" s="155">
        <f t="shared" si="14"/>
        <v>0</v>
      </c>
      <c r="AC59" s="155">
        <f t="shared" si="168"/>
        <v>141.44</v>
      </c>
      <c r="AD59" s="155">
        <f t="shared" si="169"/>
        <v>18.25</v>
      </c>
      <c r="AE59" s="155">
        <f t="shared" si="170"/>
        <v>304.17</v>
      </c>
      <c r="AF59" s="155">
        <f t="shared" si="171"/>
        <v>2425.7600000000002</v>
      </c>
      <c r="AH59" s="835">
        <f t="shared" si="172"/>
        <v>6</v>
      </c>
      <c r="AI59" s="155">
        <f t="shared" si="173"/>
        <v>1825.02</v>
      </c>
      <c r="AJ59" s="155">
        <f t="shared" si="174"/>
        <v>100</v>
      </c>
      <c r="AK59" s="155"/>
      <c r="AL59" s="155">
        <f t="shared" si="175"/>
        <v>136.88</v>
      </c>
      <c r="AM59" s="155">
        <f t="shared" si="176"/>
        <v>0</v>
      </c>
      <c r="AN59" s="155">
        <f t="shared" si="177"/>
        <v>141.44</v>
      </c>
      <c r="AO59" s="155">
        <f t="shared" si="178"/>
        <v>18.25</v>
      </c>
      <c r="AP59" s="155"/>
      <c r="AQ59" s="155">
        <f t="shared" si="179"/>
        <v>2221.59</v>
      </c>
      <c r="AS59" s="287">
        <f t="shared" si="153"/>
        <v>0</v>
      </c>
      <c r="AT59"/>
    </row>
    <row r="60" spans="2:46" s="54" customFormat="1" ht="13.5" thickBot="1" x14ac:dyDescent="0.25">
      <c r="B60" s="55"/>
      <c r="C60" s="65" t="s">
        <v>414</v>
      </c>
      <c r="D60" s="157"/>
      <c r="E60" s="158">
        <f>SUM(E52:E59)</f>
        <v>8</v>
      </c>
      <c r="F60" s="159"/>
      <c r="G60" s="159"/>
      <c r="H60" s="159"/>
      <c r="I60" s="160">
        <f t="shared" ref="I60:S60" si="217">SUM(I52:I59)</f>
        <v>3808.34</v>
      </c>
      <c r="J60" s="160">
        <f t="shared" si="217"/>
        <v>45700.08</v>
      </c>
      <c r="K60" s="160">
        <f t="shared" si="217"/>
        <v>800</v>
      </c>
      <c r="L60" s="160">
        <f t="shared" si="217"/>
        <v>450</v>
      </c>
      <c r="M60" s="160">
        <f t="shared" si="217"/>
        <v>3808.34</v>
      </c>
      <c r="N60" s="456">
        <f t="shared" si="217"/>
        <v>3576.6400000000003</v>
      </c>
      <c r="O60" s="160">
        <f t="shared" si="217"/>
        <v>360</v>
      </c>
      <c r="P60" s="160">
        <f t="shared" si="217"/>
        <v>3461.25</v>
      </c>
      <c r="Q60" s="160">
        <f t="shared" si="217"/>
        <v>461.5</v>
      </c>
      <c r="R60" s="160">
        <f t="shared" si="217"/>
        <v>7859.39</v>
      </c>
      <c r="S60" s="57">
        <f t="shared" si="217"/>
        <v>58617.81</v>
      </c>
      <c r="T60" s="12"/>
      <c r="U60" s="12"/>
      <c r="V60" s="12"/>
      <c r="W60" s="422"/>
      <c r="X60" s="422">
        <f>SUM(X52:X59)</f>
        <v>22850.04</v>
      </c>
      <c r="Y60" s="422"/>
      <c r="Z60" s="422"/>
      <c r="AA60" s="422">
        <f t="shared" ref="AA60:AF60" si="218">SUM(AA52:AA59)</f>
        <v>1730.6400000000003</v>
      </c>
      <c r="AB60" s="422">
        <f t="shared" si="218"/>
        <v>180</v>
      </c>
      <c r="AC60" s="422">
        <f t="shared" si="218"/>
        <v>1788.3200000000002</v>
      </c>
      <c r="AD60" s="422">
        <f t="shared" si="218"/>
        <v>230.75</v>
      </c>
      <c r="AE60" s="422">
        <f t="shared" si="218"/>
        <v>3808.34</v>
      </c>
      <c r="AF60" s="422">
        <f t="shared" si="218"/>
        <v>30588.090000000004</v>
      </c>
      <c r="AH60" s="422"/>
      <c r="AI60" s="422">
        <f>SUM(AI52:AI59)</f>
        <v>22850.04</v>
      </c>
      <c r="AJ60" s="422">
        <f>SUM(AJ52:AJ59)</f>
        <v>800</v>
      </c>
      <c r="AK60" s="422"/>
      <c r="AL60" s="422">
        <f>SUM(AL52:AL59)</f>
        <v>1730.6400000000003</v>
      </c>
      <c r="AM60" s="422">
        <f>SUM(AM52:AM59)</f>
        <v>180</v>
      </c>
      <c r="AN60" s="422">
        <f>SUM(AN52:AN59)</f>
        <v>1788.3200000000002</v>
      </c>
      <c r="AO60" s="422">
        <f>SUM(AO52:AO59)</f>
        <v>230.75</v>
      </c>
      <c r="AP60" s="422"/>
      <c r="AQ60" s="422">
        <f>SUM(AQ52:AQ59)</f>
        <v>28029.75</v>
      </c>
      <c r="AS60" s="287">
        <f t="shared" si="153"/>
        <v>0</v>
      </c>
      <c r="AT60"/>
    </row>
    <row r="61" spans="2:46" s="54" customFormat="1" ht="13.5" hidden="1" thickTop="1" x14ac:dyDescent="0.2">
      <c r="B61" s="52"/>
      <c r="C61" s="32"/>
      <c r="D61" s="151"/>
      <c r="E61" s="152"/>
      <c r="F61" s="153"/>
      <c r="G61" s="153"/>
      <c r="H61" s="153"/>
      <c r="I61" s="291"/>
      <c r="J61" s="155"/>
      <c r="K61" s="155"/>
      <c r="L61" s="155"/>
      <c r="M61" s="155"/>
      <c r="N61" s="455"/>
      <c r="O61" s="156"/>
      <c r="P61" s="155"/>
      <c r="Q61" s="155"/>
      <c r="R61" s="155"/>
      <c r="S61" s="140"/>
      <c r="T61" s="12"/>
      <c r="U61" s="12"/>
      <c r="V61" s="12"/>
      <c r="W61" s="412"/>
      <c r="X61" s="17"/>
      <c r="Y61" s="17"/>
      <c r="Z61" s="17"/>
      <c r="AA61" s="17"/>
      <c r="AB61" s="17">
        <f t="shared" si="14"/>
        <v>0</v>
      </c>
      <c r="AC61" s="17">
        <f t="shared" si="120"/>
        <v>0</v>
      </c>
      <c r="AD61" s="17">
        <f t="shared" si="121"/>
        <v>0</v>
      </c>
      <c r="AE61" s="17"/>
      <c r="AF61" s="234"/>
      <c r="AH61" s="412"/>
      <c r="AI61" s="17"/>
      <c r="AJ61" s="17"/>
      <c r="AK61" s="17"/>
      <c r="AL61" s="17"/>
      <c r="AM61" s="17">
        <f t="shared" ref="AM61:AM78" si="219">(AA61/12)*AH61</f>
        <v>0</v>
      </c>
      <c r="AN61" s="17">
        <f t="shared" ref="AN61:AN78" si="220">(X61/12)*AH61</f>
        <v>0</v>
      </c>
      <c r="AO61" s="17">
        <f t="shared" ref="AO61:AO65" si="221">(AC61/12)*AH61</f>
        <v>0</v>
      </c>
      <c r="AP61" s="17"/>
      <c r="AQ61" s="234"/>
      <c r="AS61" s="287">
        <f t="shared" si="153"/>
        <v>0</v>
      </c>
      <c r="AT61"/>
    </row>
    <row r="62" spans="2:46" s="54" customFormat="1" ht="13.5" hidden="1" thickTop="1" x14ac:dyDescent="0.2">
      <c r="B62" s="52">
        <v>40</v>
      </c>
      <c r="C62" s="32" t="s">
        <v>415</v>
      </c>
      <c r="D62" s="151" t="s">
        <v>416</v>
      </c>
      <c r="E62" s="152">
        <v>1</v>
      </c>
      <c r="F62" s="153" t="s">
        <v>21</v>
      </c>
      <c r="G62" s="153" t="s">
        <v>417</v>
      </c>
      <c r="H62" s="153"/>
      <c r="I62" s="291">
        <v>0</v>
      </c>
      <c r="J62" s="155">
        <f>+I62*12*E62</f>
        <v>0</v>
      </c>
      <c r="K62" s="155"/>
      <c r="L62" s="155"/>
      <c r="M62" s="155">
        <f>+I62*E62</f>
        <v>0</v>
      </c>
      <c r="N62" s="455">
        <f>+J62*$N$9</f>
        <v>0</v>
      </c>
      <c r="O62" s="156"/>
      <c r="P62" s="155">
        <f>IF(I62&gt;685.71,685.71*$P$9*12,I62*$P$9*12)</f>
        <v>0</v>
      </c>
      <c r="Q62" s="155"/>
      <c r="R62" s="155">
        <f>SUM(O62:Q62)</f>
        <v>0</v>
      </c>
      <c r="S62" s="140">
        <f>SUM(J62:Q62)</f>
        <v>0</v>
      </c>
      <c r="T62" s="12"/>
      <c r="U62" s="12"/>
      <c r="V62" s="12"/>
      <c r="W62" s="412"/>
      <c r="X62" s="17"/>
      <c r="Y62" s="17"/>
      <c r="Z62" s="17"/>
      <c r="AA62" s="17"/>
      <c r="AB62" s="17">
        <f t="shared" si="14"/>
        <v>0</v>
      </c>
      <c r="AC62" s="17">
        <f t="shared" si="120"/>
        <v>0</v>
      </c>
      <c r="AD62" s="17">
        <f t="shared" si="121"/>
        <v>0</v>
      </c>
      <c r="AE62" s="17"/>
      <c r="AF62" s="234">
        <f>SUM(R62:AC62)</f>
        <v>0</v>
      </c>
      <c r="AH62" s="412"/>
      <c r="AI62" s="17"/>
      <c r="AJ62" s="17"/>
      <c r="AK62" s="17"/>
      <c r="AL62" s="17"/>
      <c r="AM62" s="17">
        <f t="shared" si="219"/>
        <v>0</v>
      </c>
      <c r="AN62" s="17">
        <f t="shared" si="220"/>
        <v>0</v>
      </c>
      <c r="AO62" s="17">
        <f t="shared" si="221"/>
        <v>0</v>
      </c>
      <c r="AP62" s="17"/>
      <c r="AQ62" s="234">
        <f>SUM(AD62:AN62)</f>
        <v>0</v>
      </c>
      <c r="AS62" s="287">
        <f t="shared" si="153"/>
        <v>0</v>
      </c>
      <c r="AT62"/>
    </row>
    <row r="63" spans="2:46" s="54" customFormat="1" ht="13.5" hidden="1" thickTop="1" x14ac:dyDescent="0.2">
      <c r="B63" s="52">
        <v>41</v>
      </c>
      <c r="C63" s="32" t="s">
        <v>418</v>
      </c>
      <c r="D63" s="151" t="s">
        <v>419</v>
      </c>
      <c r="E63" s="152"/>
      <c r="F63" s="153" t="s">
        <v>21</v>
      </c>
      <c r="G63" s="153" t="s">
        <v>417</v>
      </c>
      <c r="H63" s="153"/>
      <c r="I63" s="291">
        <v>0</v>
      </c>
      <c r="J63" s="155">
        <f>+I63*12*E63</f>
        <v>0</v>
      </c>
      <c r="K63" s="155"/>
      <c r="L63" s="155"/>
      <c r="M63" s="155">
        <f>+I63*E63</f>
        <v>0</v>
      </c>
      <c r="N63" s="455">
        <f>+J63*$N$9</f>
        <v>0</v>
      </c>
      <c r="O63" s="156"/>
      <c r="P63" s="155">
        <f>IF(I63&gt;685.71,685.71*$P$9*12,I63*$P$9*12)</f>
        <v>0</v>
      </c>
      <c r="Q63" s="155"/>
      <c r="R63" s="155">
        <f>SUM(O63:Q63)</f>
        <v>0</v>
      </c>
      <c r="S63" s="140">
        <f>SUM(J63:Q63)</f>
        <v>0</v>
      </c>
      <c r="T63" s="12"/>
      <c r="U63" s="12"/>
      <c r="V63" s="12"/>
      <c r="W63" s="412"/>
      <c r="X63" s="17"/>
      <c r="Y63" s="17"/>
      <c r="Z63" s="17"/>
      <c r="AA63" s="17"/>
      <c r="AB63" s="17">
        <f t="shared" si="14"/>
        <v>0</v>
      </c>
      <c r="AC63" s="17">
        <f t="shared" si="120"/>
        <v>0</v>
      </c>
      <c r="AD63" s="17">
        <f t="shared" si="121"/>
        <v>0</v>
      </c>
      <c r="AE63" s="17"/>
      <c r="AF63" s="234">
        <f>SUM(R63:AC63)</f>
        <v>0</v>
      </c>
      <c r="AH63" s="412"/>
      <c r="AI63" s="17"/>
      <c r="AJ63" s="17"/>
      <c r="AK63" s="17"/>
      <c r="AL63" s="17"/>
      <c r="AM63" s="17">
        <f t="shared" si="219"/>
        <v>0</v>
      </c>
      <c r="AN63" s="17">
        <f t="shared" si="220"/>
        <v>0</v>
      </c>
      <c r="AO63" s="17">
        <f t="shared" si="221"/>
        <v>0</v>
      </c>
      <c r="AP63" s="17"/>
      <c r="AQ63" s="234">
        <f>SUM(AD63:AN63)</f>
        <v>0</v>
      </c>
      <c r="AS63" s="287">
        <f t="shared" si="153"/>
        <v>0</v>
      </c>
      <c r="AT63"/>
    </row>
    <row r="64" spans="2:46" s="54" customFormat="1" ht="13.5" hidden="1" thickTop="1" x14ac:dyDescent="0.2">
      <c r="B64" s="52">
        <v>42</v>
      </c>
      <c r="C64" s="32" t="s">
        <v>406</v>
      </c>
      <c r="D64" s="151" t="s">
        <v>419</v>
      </c>
      <c r="E64" s="152"/>
      <c r="F64" s="153" t="s">
        <v>21</v>
      </c>
      <c r="G64" s="153" t="s">
        <v>417</v>
      </c>
      <c r="H64" s="153"/>
      <c r="I64" s="291">
        <v>0</v>
      </c>
      <c r="J64" s="155">
        <f>+I64*12*E64</f>
        <v>0</v>
      </c>
      <c r="K64" s="155"/>
      <c r="L64" s="155"/>
      <c r="M64" s="155">
        <f>+I64*E64</f>
        <v>0</v>
      </c>
      <c r="N64" s="455">
        <f>+J64*$N$9</f>
        <v>0</v>
      </c>
      <c r="O64" s="156"/>
      <c r="P64" s="155">
        <f>IF(I64&gt;685.71,685.71*$P$9*12,I64*$P$9*12)</f>
        <v>0</v>
      </c>
      <c r="Q64" s="155"/>
      <c r="R64" s="155">
        <f>SUM(O64:Q64)</f>
        <v>0</v>
      </c>
      <c r="S64" s="143">
        <f>SUM(J64:Q64)</f>
        <v>0</v>
      </c>
      <c r="T64" s="12"/>
      <c r="U64" s="12"/>
      <c r="V64" s="12"/>
      <c r="W64" s="412"/>
      <c r="X64" s="17"/>
      <c r="Y64" s="17"/>
      <c r="Z64" s="17"/>
      <c r="AA64" s="17"/>
      <c r="AB64" s="17">
        <f t="shared" si="14"/>
        <v>0</v>
      </c>
      <c r="AC64" s="17">
        <f t="shared" si="120"/>
        <v>0</v>
      </c>
      <c r="AD64" s="17">
        <f t="shared" si="121"/>
        <v>0</v>
      </c>
      <c r="AE64" s="17"/>
      <c r="AF64" s="234">
        <f>SUM(R64:AC64)</f>
        <v>0</v>
      </c>
      <c r="AH64" s="412"/>
      <c r="AI64" s="17"/>
      <c r="AJ64" s="17"/>
      <c r="AK64" s="17"/>
      <c r="AL64" s="17"/>
      <c r="AM64" s="17">
        <f t="shared" si="219"/>
        <v>0</v>
      </c>
      <c r="AN64" s="17">
        <f t="shared" si="220"/>
        <v>0</v>
      </c>
      <c r="AO64" s="17">
        <f t="shared" si="221"/>
        <v>0</v>
      </c>
      <c r="AP64" s="17"/>
      <c r="AQ64" s="234">
        <f>SUM(AD64:AN64)</f>
        <v>0</v>
      </c>
      <c r="AS64" s="287">
        <f t="shared" si="153"/>
        <v>0</v>
      </c>
      <c r="AT64"/>
    </row>
    <row r="65" spans="2:46" s="54" customFormat="1" ht="14.25" hidden="1" thickTop="1" thickBot="1" x14ac:dyDescent="0.25">
      <c r="B65" s="55"/>
      <c r="C65" s="56" t="s">
        <v>420</v>
      </c>
      <c r="D65" s="157"/>
      <c r="E65" s="162">
        <f>SUM(E62:E64)</f>
        <v>1</v>
      </c>
      <c r="F65" s="159"/>
      <c r="G65" s="159"/>
      <c r="H65" s="159"/>
      <c r="I65" s="163">
        <f t="shared" ref="I65:S65" si="222">SUM(I62:I64)</f>
        <v>0</v>
      </c>
      <c r="J65" s="163">
        <f t="shared" si="222"/>
        <v>0</v>
      </c>
      <c r="K65" s="163"/>
      <c r="L65" s="163"/>
      <c r="M65" s="163">
        <f t="shared" si="222"/>
        <v>0</v>
      </c>
      <c r="N65" s="459">
        <f t="shared" si="222"/>
        <v>0</v>
      </c>
      <c r="O65" s="163">
        <f t="shared" si="222"/>
        <v>0</v>
      </c>
      <c r="P65" s="163">
        <f t="shared" si="222"/>
        <v>0</v>
      </c>
      <c r="Q65" s="163">
        <f t="shared" si="222"/>
        <v>0</v>
      </c>
      <c r="R65" s="163">
        <f t="shared" si="222"/>
        <v>0</v>
      </c>
      <c r="S65" s="144">
        <f t="shared" si="222"/>
        <v>0</v>
      </c>
      <c r="T65" s="12"/>
      <c r="U65" s="12"/>
      <c r="V65" s="12"/>
      <c r="W65" s="412"/>
      <c r="X65" s="17"/>
      <c r="Y65" s="17"/>
      <c r="Z65" s="17"/>
      <c r="AA65" s="17"/>
      <c r="AB65" s="17">
        <f t="shared" si="14"/>
        <v>0</v>
      </c>
      <c r="AC65" s="17">
        <f t="shared" si="120"/>
        <v>0</v>
      </c>
      <c r="AD65" s="17">
        <f t="shared" si="121"/>
        <v>0</v>
      </c>
      <c r="AE65" s="17"/>
      <c r="AF65" s="234">
        <f t="shared" ref="AF65" si="223">SUM(AF62:AF64)</f>
        <v>0</v>
      </c>
      <c r="AH65" s="412"/>
      <c r="AI65" s="17"/>
      <c r="AJ65" s="17"/>
      <c r="AK65" s="17"/>
      <c r="AL65" s="17"/>
      <c r="AM65" s="17">
        <f t="shared" si="219"/>
        <v>0</v>
      </c>
      <c r="AN65" s="17">
        <f t="shared" si="220"/>
        <v>0</v>
      </c>
      <c r="AO65" s="17">
        <f t="shared" si="221"/>
        <v>0</v>
      </c>
      <c r="AP65" s="17"/>
      <c r="AQ65" s="234">
        <f t="shared" ref="AQ65" si="224">SUM(AQ62:AQ64)</f>
        <v>0</v>
      </c>
      <c r="AS65" s="287">
        <f t="shared" si="153"/>
        <v>0</v>
      </c>
      <c r="AT65"/>
    </row>
    <row r="66" spans="2:46" s="54" customFormat="1" ht="13.5" thickTop="1" x14ac:dyDescent="0.2">
      <c r="B66" s="52">
        <v>19</v>
      </c>
      <c r="C66" s="32" t="s">
        <v>634</v>
      </c>
      <c r="D66" s="151" t="s">
        <v>421</v>
      </c>
      <c r="E66" s="152">
        <v>1</v>
      </c>
      <c r="F66" s="153" t="s">
        <v>253</v>
      </c>
      <c r="G66" s="153" t="s">
        <v>253</v>
      </c>
      <c r="H66" s="281">
        <v>0</v>
      </c>
      <c r="I66" s="291">
        <f t="shared" ref="I66:I75" si="225">E66*H66</f>
        <v>0</v>
      </c>
      <c r="J66" s="155">
        <f>I66*12</f>
        <v>0</v>
      </c>
      <c r="K66" s="155">
        <v>0</v>
      </c>
      <c r="L66" s="155">
        <v>0</v>
      </c>
      <c r="M66" s="155">
        <f>I66</f>
        <v>0</v>
      </c>
      <c r="N66" s="455">
        <f>(J66+L66)*N$9</f>
        <v>0</v>
      </c>
      <c r="O66" s="155">
        <f>(J66+L66)*O$9</f>
        <v>0</v>
      </c>
      <c r="P66" s="155">
        <f>ROUND(((J66+L66)*P$9),2)</f>
        <v>0</v>
      </c>
      <c r="Q66" s="155">
        <f>ROUND(((J66+L66)*Q$9),2)</f>
        <v>0</v>
      </c>
      <c r="R66" s="155">
        <f>SUM(N66:Q66)</f>
        <v>0</v>
      </c>
      <c r="S66" s="140">
        <f t="shared" ref="S66:S75" si="226">J66+K66+L66+M66+R66</f>
        <v>0</v>
      </c>
      <c r="T66" s="12"/>
      <c r="U66" s="12"/>
      <c r="V66" s="12"/>
      <c r="W66" s="413" t="s">
        <v>776</v>
      </c>
      <c r="X66" s="155">
        <f>I66*W66</f>
        <v>0</v>
      </c>
      <c r="Y66" s="155"/>
      <c r="Z66" s="155"/>
      <c r="AA66" s="155">
        <f t="shared" ref="AA66:AA75" si="227">ROUND(((P66/12)*W66),2)</f>
        <v>0</v>
      </c>
      <c r="AB66" s="155">
        <f t="shared" si="14"/>
        <v>0</v>
      </c>
      <c r="AC66" s="155">
        <f t="shared" ref="AC66:AC75" si="228">ROUND(((N66/12)*W66),2)</f>
        <v>0</v>
      </c>
      <c r="AD66" s="155">
        <f t="shared" ref="AD66:AD75" si="229">ROUND(((Q66/12)*W66),2)</f>
        <v>0</v>
      </c>
      <c r="AE66" s="155">
        <f t="shared" ref="AE66:AE75" si="230">M66</f>
        <v>0</v>
      </c>
      <c r="AF66" s="155">
        <f t="shared" ref="AF66:AF75" si="231">SUM(X66:AE66)</f>
        <v>0</v>
      </c>
      <c r="AH66" s="835">
        <f t="shared" ref="AH66:AH75" si="232">12-W66</f>
        <v>6</v>
      </c>
      <c r="AI66" s="155">
        <f>I66*AH66</f>
        <v>0</v>
      </c>
      <c r="AJ66" s="155">
        <f>K66</f>
        <v>0</v>
      </c>
      <c r="AK66" s="155"/>
      <c r="AL66" s="155">
        <f t="shared" ref="AL66:AL75" si="233">ROUND(((P66/12)*AH66),2)</f>
        <v>0</v>
      </c>
      <c r="AM66" s="155">
        <f>(O66/12)*AH66</f>
        <v>0</v>
      </c>
      <c r="AN66" s="155">
        <f t="shared" ref="AN66:AN75" si="234">ROUND(((N66/12)*AH66),2)</f>
        <v>0</v>
      </c>
      <c r="AO66" s="155">
        <f t="shared" ref="AO66:AO75" si="235">ROUND(((Q66/12)*AH66),2)</f>
        <v>0</v>
      </c>
      <c r="AP66" s="155"/>
      <c r="AQ66" s="155">
        <f>SUM(AI66:AO66)</f>
        <v>0</v>
      </c>
      <c r="AS66" s="287">
        <f t="shared" si="153"/>
        <v>0</v>
      </c>
      <c r="AT66"/>
    </row>
    <row r="67" spans="2:46" s="54" customFormat="1" x14ac:dyDescent="0.2">
      <c r="B67" s="52">
        <v>21</v>
      </c>
      <c r="C67" s="32" t="s">
        <v>422</v>
      </c>
      <c r="D67" s="151" t="s">
        <v>421</v>
      </c>
      <c r="E67" s="152">
        <v>6</v>
      </c>
      <c r="F67" s="153" t="s">
        <v>253</v>
      </c>
      <c r="G67" s="153" t="s">
        <v>253</v>
      </c>
      <c r="H67" s="281">
        <v>354.17</v>
      </c>
      <c r="I67" s="291">
        <f t="shared" si="225"/>
        <v>2125.02</v>
      </c>
      <c r="J67" s="155">
        <f>I67*12</f>
        <v>25500.239999999998</v>
      </c>
      <c r="K67" s="155">
        <f t="shared" ref="K67:K74" si="236">100*E67</f>
        <v>600</v>
      </c>
      <c r="L67" s="155">
        <f>H67*E67</f>
        <v>2125.02</v>
      </c>
      <c r="M67" s="155">
        <f t="shared" ref="M67:M78" si="237">I67</f>
        <v>2125.02</v>
      </c>
      <c r="N67" s="455">
        <f t="shared" ref="N67:N75" si="238">ROUND(((J67+L67)*N$9),2)</f>
        <v>2140.96</v>
      </c>
      <c r="O67" s="155">
        <v>0</v>
      </c>
      <c r="P67" s="155">
        <f>ROUND(((J67+L67)*P$9),2)</f>
        <v>2071.89</v>
      </c>
      <c r="Q67" s="155">
        <f t="shared" ref="Q67:Q74" si="239">ROUND(((J67+L67)*Q$9),2)</f>
        <v>276.25</v>
      </c>
      <c r="R67" s="155">
        <f t="shared" ref="R67:R75" si="240">SUM(N67:Q67)</f>
        <v>4489.1000000000004</v>
      </c>
      <c r="S67" s="140">
        <f t="shared" si="226"/>
        <v>34839.379999999997</v>
      </c>
      <c r="T67" s="12"/>
      <c r="U67" s="12"/>
      <c r="V67" s="12"/>
      <c r="W67" s="413" t="s">
        <v>776</v>
      </c>
      <c r="X67" s="155">
        <f t="shared" ref="X67:X75" si="241">I67*W67</f>
        <v>12750.119999999999</v>
      </c>
      <c r="Y67" s="155"/>
      <c r="Z67" s="155"/>
      <c r="AA67" s="155">
        <f t="shared" si="227"/>
        <v>1035.95</v>
      </c>
      <c r="AB67" s="155">
        <f>ROUND(((O67/12)*W67),2)</f>
        <v>0</v>
      </c>
      <c r="AC67" s="155">
        <f t="shared" si="228"/>
        <v>1070.48</v>
      </c>
      <c r="AD67" s="155">
        <f t="shared" si="229"/>
        <v>138.13</v>
      </c>
      <c r="AE67" s="155">
        <f t="shared" si="230"/>
        <v>2125.02</v>
      </c>
      <c r="AF67" s="155">
        <f t="shared" si="231"/>
        <v>17119.699999999997</v>
      </c>
      <c r="AH67" s="835">
        <f t="shared" si="232"/>
        <v>6</v>
      </c>
      <c r="AI67" s="155">
        <f>I67*AH67</f>
        <v>12750.119999999999</v>
      </c>
      <c r="AJ67" s="155">
        <f>K67</f>
        <v>600</v>
      </c>
      <c r="AK67" s="155">
        <f>L67</f>
        <v>2125.02</v>
      </c>
      <c r="AL67" s="155">
        <f t="shared" si="233"/>
        <v>1035.95</v>
      </c>
      <c r="AM67" s="155">
        <f>ROUND(((O67/12)*AH67),2)</f>
        <v>0</v>
      </c>
      <c r="AN67" s="155">
        <f t="shared" si="234"/>
        <v>1070.48</v>
      </c>
      <c r="AO67" s="155">
        <f t="shared" si="235"/>
        <v>138.13</v>
      </c>
      <c r="AP67" s="155"/>
      <c r="AQ67" s="155">
        <f>SUM(AI67:AO67)</f>
        <v>17719.7</v>
      </c>
      <c r="AS67" s="287">
        <f t="shared" si="153"/>
        <v>0</v>
      </c>
      <c r="AT67"/>
    </row>
    <row r="68" spans="2:46" s="54" customFormat="1" x14ac:dyDescent="0.2">
      <c r="B68" s="52">
        <v>22</v>
      </c>
      <c r="C68" s="32" t="s">
        <v>423</v>
      </c>
      <c r="D68" s="151" t="s">
        <v>7</v>
      </c>
      <c r="E68" s="152">
        <v>2</v>
      </c>
      <c r="F68" s="153" t="s">
        <v>253</v>
      </c>
      <c r="G68" s="153" t="s">
        <v>253</v>
      </c>
      <c r="H68" s="281">
        <v>354.17</v>
      </c>
      <c r="I68" s="291">
        <f t="shared" si="225"/>
        <v>708.34</v>
      </c>
      <c r="J68" s="155">
        <f t="shared" ref="J68:J78" si="242">I68*12</f>
        <v>8500.08</v>
      </c>
      <c r="K68" s="155">
        <f t="shared" si="236"/>
        <v>200</v>
      </c>
      <c r="L68" s="155">
        <f t="shared" ref="L68" si="243">H68*E68</f>
        <v>708.34</v>
      </c>
      <c r="M68" s="155">
        <f t="shared" si="237"/>
        <v>708.34</v>
      </c>
      <c r="N68" s="455">
        <f t="shared" si="238"/>
        <v>713.65</v>
      </c>
      <c r="O68" s="155">
        <v>0</v>
      </c>
      <c r="P68" s="155">
        <f t="shared" ref="P68:P75" si="244">ROUND(((J68+L68)*P$9),2)</f>
        <v>690.63</v>
      </c>
      <c r="Q68" s="155">
        <f t="shared" si="239"/>
        <v>92.08</v>
      </c>
      <c r="R68" s="155">
        <f t="shared" si="240"/>
        <v>1496.36</v>
      </c>
      <c r="S68" s="140">
        <f t="shared" si="226"/>
        <v>11613.12</v>
      </c>
      <c r="T68" s="12"/>
      <c r="U68" s="12"/>
      <c r="V68" s="12"/>
      <c r="W68" s="413" t="s">
        <v>313</v>
      </c>
      <c r="X68" s="155">
        <f t="shared" si="241"/>
        <v>3541.7000000000003</v>
      </c>
      <c r="Y68" s="155"/>
      <c r="Z68" s="155"/>
      <c r="AA68" s="155">
        <f t="shared" si="227"/>
        <v>287.76</v>
      </c>
      <c r="AB68" s="155">
        <f t="shared" si="14"/>
        <v>0</v>
      </c>
      <c r="AC68" s="155">
        <f t="shared" si="228"/>
        <v>297.35000000000002</v>
      </c>
      <c r="AD68" s="155">
        <f t="shared" si="229"/>
        <v>38.369999999999997</v>
      </c>
      <c r="AE68" s="155">
        <f t="shared" si="230"/>
        <v>708.34</v>
      </c>
      <c r="AF68" s="155">
        <f t="shared" si="231"/>
        <v>4873.5200000000004</v>
      </c>
      <c r="AH68" s="835">
        <f t="shared" si="232"/>
        <v>7</v>
      </c>
      <c r="AI68" s="155">
        <f>I68*AH68</f>
        <v>4958.38</v>
      </c>
      <c r="AJ68" s="155">
        <f>K68</f>
        <v>200</v>
      </c>
      <c r="AK68" s="155">
        <f>L68</f>
        <v>708.34</v>
      </c>
      <c r="AL68" s="155">
        <f t="shared" si="233"/>
        <v>402.87</v>
      </c>
      <c r="AM68" s="155">
        <f>(O68/12)*AH68</f>
        <v>0</v>
      </c>
      <c r="AN68" s="155">
        <f t="shared" si="234"/>
        <v>416.3</v>
      </c>
      <c r="AO68" s="155">
        <f t="shared" si="235"/>
        <v>53.71</v>
      </c>
      <c r="AP68" s="155"/>
      <c r="AQ68" s="155">
        <f>SUM(AI68:AO68)</f>
        <v>6739.6</v>
      </c>
      <c r="AS68" s="287">
        <f t="shared" si="153"/>
        <v>0</v>
      </c>
      <c r="AT68"/>
    </row>
    <row r="69" spans="2:46" s="54" customFormat="1" x14ac:dyDescent="0.2">
      <c r="B69" s="52">
        <v>23</v>
      </c>
      <c r="C69" s="289" t="s">
        <v>589</v>
      </c>
      <c r="D69" s="151" t="s">
        <v>589</v>
      </c>
      <c r="E69" s="152">
        <v>1</v>
      </c>
      <c r="F69" s="153" t="s">
        <v>253</v>
      </c>
      <c r="G69" s="153" t="s">
        <v>253</v>
      </c>
      <c r="H69" s="281">
        <v>550</v>
      </c>
      <c r="I69" s="291">
        <f t="shared" ref="I69" si="245">E69*H69</f>
        <v>550</v>
      </c>
      <c r="J69" s="155">
        <f>I69*12</f>
        <v>6600</v>
      </c>
      <c r="K69" s="155">
        <f t="shared" ref="K69" si="246">100*E69</f>
        <v>100</v>
      </c>
      <c r="L69" s="155">
        <v>0</v>
      </c>
      <c r="M69" s="155">
        <f t="shared" si="237"/>
        <v>550</v>
      </c>
      <c r="N69" s="455">
        <f t="shared" si="238"/>
        <v>511.5</v>
      </c>
      <c r="O69" s="155">
        <v>0</v>
      </c>
      <c r="P69" s="155">
        <f t="shared" si="244"/>
        <v>495</v>
      </c>
      <c r="Q69" s="155">
        <f t="shared" si="239"/>
        <v>66</v>
      </c>
      <c r="R69" s="155">
        <f>SUM(N69:Q69)</f>
        <v>1072.5</v>
      </c>
      <c r="S69" s="140">
        <f t="shared" ref="S69" si="247">J69+K69+L69+M69+R69</f>
        <v>8322.5</v>
      </c>
      <c r="T69" s="12"/>
      <c r="U69" s="12"/>
      <c r="V69" s="12"/>
      <c r="W69" s="413" t="s">
        <v>313</v>
      </c>
      <c r="X69" s="155">
        <f t="shared" ref="X69" si="248">I69*W69</f>
        <v>2750</v>
      </c>
      <c r="Y69" s="155"/>
      <c r="Z69" s="155"/>
      <c r="AA69" s="155">
        <f t="shared" si="227"/>
        <v>206.25</v>
      </c>
      <c r="AB69" s="155">
        <f t="shared" ref="AB69" si="249">(O69/12)*W69</f>
        <v>0</v>
      </c>
      <c r="AC69" s="155">
        <f t="shared" si="228"/>
        <v>213.13</v>
      </c>
      <c r="AD69" s="155">
        <f t="shared" si="229"/>
        <v>27.5</v>
      </c>
      <c r="AE69" s="155">
        <f t="shared" si="230"/>
        <v>550</v>
      </c>
      <c r="AF69" s="155">
        <f t="shared" si="231"/>
        <v>3746.88</v>
      </c>
      <c r="AH69" s="835">
        <f t="shared" si="232"/>
        <v>7</v>
      </c>
      <c r="AI69" s="155">
        <f t="shared" ref="AI69" si="250">I69*AH69</f>
        <v>3850</v>
      </c>
      <c r="AJ69" s="155">
        <f t="shared" ref="AJ69" si="251">K69</f>
        <v>100</v>
      </c>
      <c r="AK69" s="155"/>
      <c r="AL69" s="155">
        <f t="shared" si="233"/>
        <v>288.75</v>
      </c>
      <c r="AM69" s="155">
        <f t="shared" ref="AM69" si="252">(O69/12)*AH69</f>
        <v>0</v>
      </c>
      <c r="AN69" s="155">
        <f t="shared" si="234"/>
        <v>298.38</v>
      </c>
      <c r="AO69" s="155">
        <f t="shared" si="235"/>
        <v>38.5</v>
      </c>
      <c r="AP69" s="155"/>
      <c r="AQ69" s="155">
        <f t="shared" ref="AQ69" si="253">SUM(AI69:AO69)</f>
        <v>4575.63</v>
      </c>
      <c r="AS69" s="287">
        <f t="shared" ref="AS69" si="254">AC69+AN69-N69</f>
        <v>9.9999999999909051E-3</v>
      </c>
      <c r="AT69"/>
    </row>
    <row r="70" spans="2:46" s="54" customFormat="1" x14ac:dyDescent="0.2">
      <c r="B70" s="52">
        <v>24</v>
      </c>
      <c r="C70" s="289" t="s">
        <v>766</v>
      </c>
      <c r="D70" s="151" t="s">
        <v>766</v>
      </c>
      <c r="E70" s="152">
        <v>1</v>
      </c>
      <c r="F70" s="153" t="s">
        <v>253</v>
      </c>
      <c r="G70" s="153" t="s">
        <v>253</v>
      </c>
      <c r="H70" s="281">
        <v>500</v>
      </c>
      <c r="I70" s="291">
        <f t="shared" ref="I70" si="255">E70*H70</f>
        <v>500</v>
      </c>
      <c r="J70" s="155">
        <f>I70*12</f>
        <v>6000</v>
      </c>
      <c r="K70" s="155">
        <f t="shared" ref="K70" si="256">100*E70</f>
        <v>100</v>
      </c>
      <c r="L70" s="155">
        <v>0</v>
      </c>
      <c r="M70" s="155">
        <f t="shared" ref="M70" si="257">I70</f>
        <v>500</v>
      </c>
      <c r="N70" s="455">
        <f t="shared" ref="N70" si="258">ROUND(((J70+L70)*N$9),2)</f>
        <v>465</v>
      </c>
      <c r="O70" s="155">
        <v>0</v>
      </c>
      <c r="P70" s="155">
        <f t="shared" ref="P70" si="259">ROUND(((J70+L70)*P$9),2)</f>
        <v>450</v>
      </c>
      <c r="Q70" s="155">
        <f t="shared" ref="Q70" si="260">ROUND(((J70+L70)*Q$9),2)</f>
        <v>60</v>
      </c>
      <c r="R70" s="155">
        <f>SUM(N70:Q70)</f>
        <v>975</v>
      </c>
      <c r="S70" s="140">
        <f t="shared" ref="S70" si="261">J70+K70+L70+M70+R70</f>
        <v>7575</v>
      </c>
      <c r="T70" s="12"/>
      <c r="U70" s="12"/>
      <c r="V70" s="12"/>
      <c r="W70" s="413" t="s">
        <v>313</v>
      </c>
      <c r="X70" s="155">
        <f t="shared" ref="X70" si="262">I70*W70</f>
        <v>2500</v>
      </c>
      <c r="Y70" s="155"/>
      <c r="Z70" s="155"/>
      <c r="AA70" s="155">
        <f t="shared" ref="AA70" si="263">ROUND(((P70/12)*W70),2)</f>
        <v>187.5</v>
      </c>
      <c r="AB70" s="155">
        <f t="shared" ref="AB70" si="264">(O70/12)*W70</f>
        <v>0</v>
      </c>
      <c r="AC70" s="155">
        <f t="shared" ref="AC70" si="265">ROUND(((N70/12)*W70),2)</f>
        <v>193.75</v>
      </c>
      <c r="AD70" s="155">
        <f t="shared" ref="AD70" si="266">ROUND(((Q70/12)*W70),2)</f>
        <v>25</v>
      </c>
      <c r="AE70" s="155">
        <f t="shared" ref="AE70" si="267">M70</f>
        <v>500</v>
      </c>
      <c r="AF70" s="155">
        <f t="shared" ref="AF70" si="268">SUM(X70:AE70)</f>
        <v>3406.25</v>
      </c>
      <c r="AH70" s="835">
        <f t="shared" ref="AH70" si="269">12-W70</f>
        <v>7</v>
      </c>
      <c r="AI70" s="155">
        <f t="shared" ref="AI70" si="270">I70*AH70</f>
        <v>3500</v>
      </c>
      <c r="AJ70" s="155">
        <f t="shared" ref="AJ70" si="271">K70</f>
        <v>100</v>
      </c>
      <c r="AK70" s="155"/>
      <c r="AL70" s="155">
        <f t="shared" ref="AL70" si="272">ROUND(((P70/12)*AH70),2)</f>
        <v>262.5</v>
      </c>
      <c r="AM70" s="155">
        <f t="shared" ref="AM70" si="273">(O70/12)*AH70</f>
        <v>0</v>
      </c>
      <c r="AN70" s="155">
        <f t="shared" ref="AN70" si="274">ROUND(((N70/12)*AH70),2)</f>
        <v>271.25</v>
      </c>
      <c r="AO70" s="155">
        <f t="shared" ref="AO70" si="275">ROUND(((Q70/12)*AH70),2)</f>
        <v>35</v>
      </c>
      <c r="AP70" s="155"/>
      <c r="AQ70" s="155">
        <f t="shared" ref="AQ70" si="276">SUM(AI70:AO70)</f>
        <v>4168.75</v>
      </c>
      <c r="AS70" s="287">
        <f t="shared" ref="AS70" si="277">AC70+AN70-N70</f>
        <v>0</v>
      </c>
      <c r="AT70"/>
    </row>
    <row r="71" spans="2:46" s="54" customFormat="1" x14ac:dyDescent="0.2">
      <c r="B71" s="52">
        <v>25</v>
      </c>
      <c r="C71" s="32" t="s">
        <v>635</v>
      </c>
      <c r="D71" s="151" t="s">
        <v>563</v>
      </c>
      <c r="E71" s="152">
        <v>1</v>
      </c>
      <c r="F71" s="153" t="s">
        <v>253</v>
      </c>
      <c r="G71" s="153" t="s">
        <v>253</v>
      </c>
      <c r="H71" s="281">
        <v>550</v>
      </c>
      <c r="I71" s="291">
        <f t="shared" si="225"/>
        <v>550</v>
      </c>
      <c r="J71" s="155">
        <f t="shared" si="242"/>
        <v>6600</v>
      </c>
      <c r="K71" s="155">
        <f t="shared" si="236"/>
        <v>100</v>
      </c>
      <c r="L71" s="155">
        <f t="shared" ref="L71:L75" si="278">H71*E71</f>
        <v>550</v>
      </c>
      <c r="M71" s="155">
        <f t="shared" si="237"/>
        <v>550</v>
      </c>
      <c r="N71" s="455">
        <f t="shared" si="238"/>
        <v>554.13</v>
      </c>
      <c r="O71" s="155">
        <v>0</v>
      </c>
      <c r="P71" s="155">
        <f t="shared" si="244"/>
        <v>536.25</v>
      </c>
      <c r="Q71" s="155">
        <f t="shared" si="239"/>
        <v>71.5</v>
      </c>
      <c r="R71" s="155">
        <f>SUM(N71:Q71)</f>
        <v>1161.8800000000001</v>
      </c>
      <c r="S71" s="140">
        <f t="shared" si="226"/>
        <v>8961.880000000001</v>
      </c>
      <c r="T71" s="12"/>
      <c r="U71" s="12"/>
      <c r="V71" s="12"/>
      <c r="W71" s="413" t="s">
        <v>313</v>
      </c>
      <c r="X71" s="155">
        <f t="shared" si="241"/>
        <v>2750</v>
      </c>
      <c r="Y71" s="155"/>
      <c r="Z71" s="155"/>
      <c r="AA71" s="155">
        <f t="shared" si="227"/>
        <v>223.44</v>
      </c>
      <c r="AB71" s="155">
        <f t="shared" si="14"/>
        <v>0</v>
      </c>
      <c r="AC71" s="155">
        <f t="shared" si="228"/>
        <v>230.89</v>
      </c>
      <c r="AD71" s="155">
        <f t="shared" si="229"/>
        <v>29.79</v>
      </c>
      <c r="AE71" s="155">
        <f t="shared" si="230"/>
        <v>550</v>
      </c>
      <c r="AF71" s="155">
        <f t="shared" si="231"/>
        <v>3784.12</v>
      </c>
      <c r="AH71" s="835">
        <f t="shared" si="232"/>
        <v>7</v>
      </c>
      <c r="AI71" s="155">
        <f>I71*AH71</f>
        <v>3850</v>
      </c>
      <c r="AJ71" s="155">
        <f>K71</f>
        <v>100</v>
      </c>
      <c r="AK71" s="155">
        <f>L71</f>
        <v>550</v>
      </c>
      <c r="AL71" s="155">
        <f t="shared" si="233"/>
        <v>312.81</v>
      </c>
      <c r="AM71" s="155">
        <f>(O71/12)*AH71</f>
        <v>0</v>
      </c>
      <c r="AN71" s="155">
        <f t="shared" si="234"/>
        <v>323.24</v>
      </c>
      <c r="AO71" s="155">
        <f t="shared" si="235"/>
        <v>41.71</v>
      </c>
      <c r="AP71" s="155"/>
      <c r="AQ71" s="155">
        <f>SUM(AI71:AO71)</f>
        <v>5177.76</v>
      </c>
      <c r="AS71" s="287">
        <f t="shared" ref="AS71:AS78" si="279">AC71+AN71-N71</f>
        <v>0</v>
      </c>
      <c r="AT71"/>
    </row>
    <row r="72" spans="2:46" s="54" customFormat="1" x14ac:dyDescent="0.2">
      <c r="B72" s="52">
        <v>26</v>
      </c>
      <c r="C72" s="32" t="s">
        <v>636</v>
      </c>
      <c r="D72" s="151" t="s">
        <v>563</v>
      </c>
      <c r="E72" s="152">
        <v>1</v>
      </c>
      <c r="F72" s="153" t="s">
        <v>253</v>
      </c>
      <c r="G72" s="153" t="s">
        <v>253</v>
      </c>
      <c r="H72" s="281">
        <v>384.29</v>
      </c>
      <c r="I72" s="291">
        <f t="shared" si="225"/>
        <v>384.29</v>
      </c>
      <c r="J72" s="155">
        <f>I72*12</f>
        <v>4611.4800000000005</v>
      </c>
      <c r="K72" s="155">
        <f t="shared" si="236"/>
        <v>100</v>
      </c>
      <c r="L72" s="155">
        <f t="shared" si="278"/>
        <v>384.29</v>
      </c>
      <c r="M72" s="155">
        <f>I72</f>
        <v>384.29</v>
      </c>
      <c r="N72" s="455">
        <f t="shared" si="238"/>
        <v>387.17</v>
      </c>
      <c r="O72" s="155">
        <v>0</v>
      </c>
      <c r="P72" s="155">
        <f t="shared" si="244"/>
        <v>374.68</v>
      </c>
      <c r="Q72" s="155">
        <f t="shared" si="239"/>
        <v>49.96</v>
      </c>
      <c r="R72" s="155">
        <f>SUM(N72:Q72)</f>
        <v>811.81000000000006</v>
      </c>
      <c r="S72" s="140">
        <f t="shared" si="226"/>
        <v>6291.8700000000008</v>
      </c>
      <c r="T72" s="12"/>
      <c r="U72" s="12"/>
      <c r="V72" s="12"/>
      <c r="W72" s="413" t="s">
        <v>313</v>
      </c>
      <c r="X72" s="155">
        <f t="shared" si="241"/>
        <v>1921.45</v>
      </c>
      <c r="Y72" s="155"/>
      <c r="Z72" s="155"/>
      <c r="AA72" s="155">
        <f t="shared" si="227"/>
        <v>156.12</v>
      </c>
      <c r="AB72" s="155">
        <f t="shared" si="14"/>
        <v>0</v>
      </c>
      <c r="AC72" s="155">
        <f t="shared" si="228"/>
        <v>161.32</v>
      </c>
      <c r="AD72" s="155">
        <f t="shared" si="229"/>
        <v>20.82</v>
      </c>
      <c r="AE72" s="155">
        <f t="shared" si="230"/>
        <v>384.29</v>
      </c>
      <c r="AF72" s="155">
        <f t="shared" si="231"/>
        <v>2644.0000000000005</v>
      </c>
      <c r="AH72" s="835">
        <f t="shared" si="232"/>
        <v>7</v>
      </c>
      <c r="AI72" s="155">
        <f>I72*AH72</f>
        <v>2690.03</v>
      </c>
      <c r="AJ72" s="155">
        <f>K72</f>
        <v>100</v>
      </c>
      <c r="AK72" s="155">
        <f t="shared" ref="AK72:AK75" si="280">L72</f>
        <v>384.29</v>
      </c>
      <c r="AL72" s="155">
        <f t="shared" si="233"/>
        <v>218.56</v>
      </c>
      <c r="AM72" s="155">
        <f>(O72/12)*AH72</f>
        <v>0</v>
      </c>
      <c r="AN72" s="155">
        <f t="shared" si="234"/>
        <v>225.85</v>
      </c>
      <c r="AO72" s="155">
        <f t="shared" si="235"/>
        <v>29.14</v>
      </c>
      <c r="AP72" s="155"/>
      <c r="AQ72" s="155">
        <f>SUM(AI72:AO72)</f>
        <v>3647.87</v>
      </c>
      <c r="AS72" s="287">
        <f t="shared" si="279"/>
        <v>0</v>
      </c>
      <c r="AT72"/>
    </row>
    <row r="73" spans="2:46" s="54" customFormat="1" ht="12.75" customHeight="1" x14ac:dyDescent="0.2">
      <c r="B73" s="52">
        <v>27</v>
      </c>
      <c r="C73" s="94" t="s">
        <v>674</v>
      </c>
      <c r="D73" s="151" t="s">
        <v>563</v>
      </c>
      <c r="E73" s="152">
        <v>1</v>
      </c>
      <c r="F73" s="153" t="s">
        <v>253</v>
      </c>
      <c r="G73" s="153" t="s">
        <v>253</v>
      </c>
      <c r="H73" s="281">
        <v>500</v>
      </c>
      <c r="I73" s="291">
        <f t="shared" si="225"/>
        <v>500</v>
      </c>
      <c r="J73" s="155">
        <f>I73*12</f>
        <v>6000</v>
      </c>
      <c r="K73" s="154">
        <v>100</v>
      </c>
      <c r="L73" s="154">
        <v>0</v>
      </c>
      <c r="M73" s="155">
        <f>I73</f>
        <v>500</v>
      </c>
      <c r="N73" s="455">
        <f t="shared" ref="N73" si="281">ROUND(J73*$N$9,2)</f>
        <v>465</v>
      </c>
      <c r="O73" s="156">
        <v>0</v>
      </c>
      <c r="P73" s="155">
        <f t="shared" ref="P73" si="282">ROUND((IF(I73&gt;1000,1000*$P$9*12,I73*$P$9*12)),2)</f>
        <v>450</v>
      </c>
      <c r="Q73" s="155">
        <f t="shared" si="239"/>
        <v>60</v>
      </c>
      <c r="R73" s="155">
        <f>SUM(N73:Q73)</f>
        <v>975</v>
      </c>
      <c r="S73" s="140">
        <f t="shared" si="226"/>
        <v>7575</v>
      </c>
      <c r="T73" s="12"/>
      <c r="U73" s="12"/>
      <c r="V73" s="12"/>
      <c r="W73" s="413" t="s">
        <v>313</v>
      </c>
      <c r="X73" s="155">
        <f t="shared" si="241"/>
        <v>2500</v>
      </c>
      <c r="Y73" s="155"/>
      <c r="Z73" s="155"/>
      <c r="AA73" s="155">
        <f t="shared" si="227"/>
        <v>187.5</v>
      </c>
      <c r="AB73" s="155">
        <f t="shared" ref="AB73" si="283">(O73/12)*W73</f>
        <v>0</v>
      </c>
      <c r="AC73" s="155">
        <f t="shared" si="228"/>
        <v>193.75</v>
      </c>
      <c r="AD73" s="155">
        <f t="shared" si="229"/>
        <v>25</v>
      </c>
      <c r="AE73" s="155">
        <f t="shared" si="230"/>
        <v>500</v>
      </c>
      <c r="AF73" s="155">
        <f t="shared" ref="AF73" si="284">SUM(X73:AE73)</f>
        <v>3406.25</v>
      </c>
      <c r="AH73" s="835">
        <f t="shared" si="232"/>
        <v>7</v>
      </c>
      <c r="AI73" s="155">
        <f t="shared" ref="AI73" si="285">I73*AH73</f>
        <v>3500</v>
      </c>
      <c r="AJ73" s="155">
        <f t="shared" ref="AJ73" si="286">K73</f>
        <v>100</v>
      </c>
      <c r="AK73" s="155"/>
      <c r="AL73" s="155">
        <f t="shared" si="233"/>
        <v>262.5</v>
      </c>
      <c r="AM73" s="155">
        <f t="shared" ref="AM73" si="287">(O73/12)*AH73</f>
        <v>0</v>
      </c>
      <c r="AN73" s="155">
        <f t="shared" si="234"/>
        <v>271.25</v>
      </c>
      <c r="AO73" s="155">
        <f t="shared" si="235"/>
        <v>35</v>
      </c>
      <c r="AP73" s="155"/>
      <c r="AQ73" s="155">
        <f t="shared" ref="AQ73" si="288">SUM(AI73:AO73)</f>
        <v>4168.75</v>
      </c>
      <c r="AS73" s="287">
        <f t="shared" si="279"/>
        <v>0</v>
      </c>
    </row>
    <row r="74" spans="2:46" s="54" customFormat="1" x14ac:dyDescent="0.2">
      <c r="B74" s="52">
        <v>28</v>
      </c>
      <c r="C74" s="32" t="s">
        <v>425</v>
      </c>
      <c r="D74" s="151" t="s">
        <v>563</v>
      </c>
      <c r="E74" s="152">
        <v>2</v>
      </c>
      <c r="F74" s="153" t="s">
        <v>253</v>
      </c>
      <c r="G74" s="153" t="s">
        <v>253</v>
      </c>
      <c r="H74" s="281">
        <v>354.17</v>
      </c>
      <c r="I74" s="291">
        <f>E74*H74</f>
        <v>708.34</v>
      </c>
      <c r="J74" s="155">
        <f>I74*12</f>
        <v>8500.08</v>
      </c>
      <c r="K74" s="155">
        <f t="shared" si="236"/>
        <v>200</v>
      </c>
      <c r="L74" s="155">
        <f t="shared" si="278"/>
        <v>708.34</v>
      </c>
      <c r="M74" s="155">
        <f t="shared" ref="M74" si="289">I74</f>
        <v>708.34</v>
      </c>
      <c r="N74" s="455">
        <f t="shared" si="238"/>
        <v>713.65</v>
      </c>
      <c r="O74" s="155">
        <v>0</v>
      </c>
      <c r="P74" s="155">
        <f t="shared" si="244"/>
        <v>690.63</v>
      </c>
      <c r="Q74" s="155">
        <f t="shared" si="239"/>
        <v>92.08</v>
      </c>
      <c r="R74" s="155">
        <f t="shared" ref="R74" si="290">SUM(N74:Q74)</f>
        <v>1496.36</v>
      </c>
      <c r="S74" s="140">
        <f t="shared" si="226"/>
        <v>11613.12</v>
      </c>
      <c r="T74" s="12"/>
      <c r="U74" s="12"/>
      <c r="V74" s="12"/>
      <c r="W74" s="413" t="s">
        <v>313</v>
      </c>
      <c r="X74" s="155">
        <f t="shared" si="241"/>
        <v>3541.7000000000003</v>
      </c>
      <c r="Y74" s="155"/>
      <c r="Z74" s="155"/>
      <c r="AA74" s="155">
        <f t="shared" si="227"/>
        <v>287.76</v>
      </c>
      <c r="AB74" s="155">
        <f t="shared" si="14"/>
        <v>0</v>
      </c>
      <c r="AC74" s="155">
        <f t="shared" si="228"/>
        <v>297.35000000000002</v>
      </c>
      <c r="AD74" s="155">
        <f t="shared" si="229"/>
        <v>38.369999999999997</v>
      </c>
      <c r="AE74" s="155">
        <f t="shared" si="230"/>
        <v>708.34</v>
      </c>
      <c r="AF74" s="155">
        <f t="shared" si="231"/>
        <v>4873.5200000000004</v>
      </c>
      <c r="AH74" s="835">
        <f t="shared" si="232"/>
        <v>7</v>
      </c>
      <c r="AI74" s="155">
        <f>I74*AH74</f>
        <v>4958.38</v>
      </c>
      <c r="AJ74" s="155">
        <f>K74</f>
        <v>200</v>
      </c>
      <c r="AK74" s="155">
        <f t="shared" si="280"/>
        <v>708.34</v>
      </c>
      <c r="AL74" s="155">
        <f t="shared" si="233"/>
        <v>402.87</v>
      </c>
      <c r="AM74" s="155">
        <f>(O74/12)*AH74</f>
        <v>0</v>
      </c>
      <c r="AN74" s="155">
        <f t="shared" si="234"/>
        <v>416.3</v>
      </c>
      <c r="AO74" s="155">
        <f t="shared" si="235"/>
        <v>53.71</v>
      </c>
      <c r="AP74" s="155"/>
      <c r="AQ74" s="155">
        <f>SUM(AI74:AO74)</f>
        <v>6739.6</v>
      </c>
      <c r="AS74" s="287">
        <f t="shared" si="279"/>
        <v>0</v>
      </c>
      <c r="AT74"/>
    </row>
    <row r="75" spans="2:46" s="54" customFormat="1" x14ac:dyDescent="0.2">
      <c r="B75" s="52">
        <v>29</v>
      </c>
      <c r="C75" s="32" t="s">
        <v>426</v>
      </c>
      <c r="D75" s="151" t="s">
        <v>563</v>
      </c>
      <c r="E75" s="152">
        <v>3</v>
      </c>
      <c r="F75" s="153" t="s">
        <v>253</v>
      </c>
      <c r="G75" s="153" t="s">
        <v>253</v>
      </c>
      <c r="H75" s="281">
        <v>354.17</v>
      </c>
      <c r="I75" s="291">
        <f t="shared" si="225"/>
        <v>1062.51</v>
      </c>
      <c r="J75" s="155">
        <f t="shared" si="242"/>
        <v>12750.119999999999</v>
      </c>
      <c r="K75" s="155">
        <f>100*E75</f>
        <v>300</v>
      </c>
      <c r="L75" s="155">
        <f t="shared" si="278"/>
        <v>1062.51</v>
      </c>
      <c r="M75" s="155">
        <f t="shared" si="237"/>
        <v>1062.51</v>
      </c>
      <c r="N75" s="455">
        <f t="shared" si="238"/>
        <v>1070.48</v>
      </c>
      <c r="O75" s="155">
        <v>0</v>
      </c>
      <c r="P75" s="155">
        <f t="shared" si="244"/>
        <v>1035.95</v>
      </c>
      <c r="Q75" s="155">
        <f>ROUND(((J75+L75)*Q$9),2)</f>
        <v>138.13</v>
      </c>
      <c r="R75" s="155">
        <f t="shared" si="240"/>
        <v>2244.5600000000004</v>
      </c>
      <c r="S75" s="140">
        <f t="shared" si="226"/>
        <v>17419.7</v>
      </c>
      <c r="T75" s="12"/>
      <c r="U75" s="12"/>
      <c r="V75" s="12"/>
      <c r="W75" s="413" t="s">
        <v>313</v>
      </c>
      <c r="X75" s="155">
        <f t="shared" si="241"/>
        <v>5312.55</v>
      </c>
      <c r="Y75" s="155"/>
      <c r="Z75" s="155"/>
      <c r="AA75" s="155">
        <f t="shared" si="227"/>
        <v>431.65</v>
      </c>
      <c r="AB75" s="155">
        <f t="shared" si="14"/>
        <v>0</v>
      </c>
      <c r="AC75" s="155">
        <f t="shared" si="228"/>
        <v>446.03</v>
      </c>
      <c r="AD75" s="155">
        <f t="shared" si="229"/>
        <v>57.55</v>
      </c>
      <c r="AE75" s="155">
        <f t="shared" si="230"/>
        <v>1062.51</v>
      </c>
      <c r="AF75" s="155">
        <f t="shared" si="231"/>
        <v>7310.29</v>
      </c>
      <c r="AH75" s="835">
        <f t="shared" si="232"/>
        <v>7</v>
      </c>
      <c r="AI75" s="155">
        <f>I75*AH75</f>
        <v>7437.57</v>
      </c>
      <c r="AJ75" s="155">
        <f>K75</f>
        <v>300</v>
      </c>
      <c r="AK75" s="155">
        <f t="shared" si="280"/>
        <v>1062.51</v>
      </c>
      <c r="AL75" s="155">
        <f t="shared" si="233"/>
        <v>604.29999999999995</v>
      </c>
      <c r="AM75" s="155">
        <f>(O75/12)*AH75</f>
        <v>0</v>
      </c>
      <c r="AN75" s="155">
        <f t="shared" si="234"/>
        <v>624.45000000000005</v>
      </c>
      <c r="AO75" s="155">
        <f t="shared" si="235"/>
        <v>80.58</v>
      </c>
      <c r="AP75" s="155"/>
      <c r="AQ75" s="155">
        <f>SUM(AI75:AO75)</f>
        <v>10109.41</v>
      </c>
      <c r="AS75" s="287">
        <f t="shared" si="279"/>
        <v>0</v>
      </c>
    </row>
    <row r="76" spans="2:46" s="54" customFormat="1" hidden="1" x14ac:dyDescent="0.2">
      <c r="B76" s="52"/>
      <c r="C76" s="32" t="s">
        <v>495</v>
      </c>
      <c r="D76" s="151" t="s">
        <v>498</v>
      </c>
      <c r="E76" s="152">
        <v>1</v>
      </c>
      <c r="F76" s="153" t="s">
        <v>253</v>
      </c>
      <c r="G76" s="153" t="s">
        <v>253</v>
      </c>
      <c r="H76" s="153"/>
      <c r="I76" s="291"/>
      <c r="J76" s="155">
        <f t="shared" si="242"/>
        <v>0</v>
      </c>
      <c r="K76" s="155"/>
      <c r="L76" s="155"/>
      <c r="M76" s="155">
        <f t="shared" si="237"/>
        <v>0</v>
      </c>
      <c r="N76" s="455">
        <f t="shared" ref="N76:N78" si="291">+J76*$N$9</f>
        <v>0</v>
      </c>
      <c r="O76" s="155">
        <v>0</v>
      </c>
      <c r="P76" s="155">
        <f t="shared" ref="P76:P78" si="292">IF(I76&gt;685.71,685.71*$P$9*12,I76*$P$9*12)*E76</f>
        <v>0</v>
      </c>
      <c r="Q76" s="155"/>
      <c r="R76" s="155">
        <f t="shared" ref="R76:R78" si="293">SUM(N76:Q76)</f>
        <v>0</v>
      </c>
      <c r="S76" s="140">
        <f t="shared" ref="S76:S78" si="294">SUM(J76:Q76)</f>
        <v>0</v>
      </c>
      <c r="T76" s="12"/>
      <c r="U76" s="12"/>
      <c r="V76" s="12"/>
      <c r="W76" s="412"/>
      <c r="X76" s="155"/>
      <c r="Y76" s="155"/>
      <c r="Z76" s="155"/>
      <c r="AA76" s="155"/>
      <c r="AB76" s="155">
        <f t="shared" si="14"/>
        <v>0</v>
      </c>
      <c r="AC76" s="155">
        <f t="shared" si="120"/>
        <v>0</v>
      </c>
      <c r="AD76" s="155"/>
      <c r="AE76" s="155"/>
      <c r="AF76" s="155">
        <f t="shared" ref="AF76:AF78" si="295">SUM(R76:AC76)</f>
        <v>0</v>
      </c>
      <c r="AH76" s="412"/>
      <c r="AI76" s="155"/>
      <c r="AJ76" s="155"/>
      <c r="AK76" s="155"/>
      <c r="AL76" s="155"/>
      <c r="AM76" s="155">
        <f t="shared" si="219"/>
        <v>0</v>
      </c>
      <c r="AN76" s="155">
        <f t="shared" si="220"/>
        <v>0</v>
      </c>
      <c r="AO76" s="155"/>
      <c r="AP76" s="155"/>
      <c r="AQ76" s="155">
        <f t="shared" ref="AQ76:AQ78" si="296">SUM(AD76:AN76)</f>
        <v>0</v>
      </c>
      <c r="AS76" s="287">
        <f t="shared" si="279"/>
        <v>0</v>
      </c>
    </row>
    <row r="77" spans="2:46" s="54" customFormat="1" hidden="1" x14ac:dyDescent="0.2">
      <c r="B77" s="52"/>
      <c r="C77" s="32" t="s">
        <v>496</v>
      </c>
      <c r="D77" s="151" t="s">
        <v>498</v>
      </c>
      <c r="E77" s="152">
        <v>2</v>
      </c>
      <c r="F77" s="153" t="s">
        <v>253</v>
      </c>
      <c r="G77" s="153" t="s">
        <v>253</v>
      </c>
      <c r="H77" s="153"/>
      <c r="I77" s="291"/>
      <c r="J77" s="155">
        <f t="shared" si="242"/>
        <v>0</v>
      </c>
      <c r="K77" s="155"/>
      <c r="L77" s="155"/>
      <c r="M77" s="155">
        <f t="shared" si="237"/>
        <v>0</v>
      </c>
      <c r="N77" s="455">
        <f>+J77*$N$9</f>
        <v>0</v>
      </c>
      <c r="O77" s="155">
        <v>0</v>
      </c>
      <c r="P77" s="155">
        <f t="shared" si="292"/>
        <v>0</v>
      </c>
      <c r="Q77" s="155"/>
      <c r="R77" s="155">
        <f t="shared" si="293"/>
        <v>0</v>
      </c>
      <c r="S77" s="140">
        <f t="shared" si="294"/>
        <v>0</v>
      </c>
      <c r="T77" s="12"/>
      <c r="U77" s="12"/>
      <c r="V77" s="12"/>
      <c r="W77" s="412"/>
      <c r="X77" s="155"/>
      <c r="Y77" s="155"/>
      <c r="Z77" s="155"/>
      <c r="AA77" s="155"/>
      <c r="AB77" s="155">
        <f t="shared" si="14"/>
        <v>0</v>
      </c>
      <c r="AC77" s="155">
        <f t="shared" si="120"/>
        <v>0</v>
      </c>
      <c r="AD77" s="155"/>
      <c r="AE77" s="155"/>
      <c r="AF77" s="155">
        <f t="shared" si="295"/>
        <v>0</v>
      </c>
      <c r="AH77" s="412"/>
      <c r="AI77" s="155"/>
      <c r="AJ77" s="155"/>
      <c r="AK77" s="155"/>
      <c r="AL77" s="155"/>
      <c r="AM77" s="155">
        <f t="shared" si="219"/>
        <v>0</v>
      </c>
      <c r="AN77" s="155">
        <f t="shared" si="220"/>
        <v>0</v>
      </c>
      <c r="AO77" s="155"/>
      <c r="AP77" s="155"/>
      <c r="AQ77" s="155">
        <f t="shared" si="296"/>
        <v>0</v>
      </c>
      <c r="AS77" s="287">
        <f t="shared" si="279"/>
        <v>0</v>
      </c>
    </row>
    <row r="78" spans="2:46" s="54" customFormat="1" hidden="1" x14ac:dyDescent="0.2">
      <c r="B78" s="52"/>
      <c r="C78" s="32" t="s">
        <v>497</v>
      </c>
      <c r="D78" s="151" t="s">
        <v>499</v>
      </c>
      <c r="E78" s="152">
        <v>1</v>
      </c>
      <c r="F78" s="153" t="s">
        <v>253</v>
      </c>
      <c r="G78" s="153" t="s">
        <v>253</v>
      </c>
      <c r="H78" s="153"/>
      <c r="I78" s="291"/>
      <c r="J78" s="155">
        <f t="shared" si="242"/>
        <v>0</v>
      </c>
      <c r="K78" s="155"/>
      <c r="L78" s="155"/>
      <c r="M78" s="155">
        <f t="shared" si="237"/>
        <v>0</v>
      </c>
      <c r="N78" s="455">
        <f t="shared" si="291"/>
        <v>0</v>
      </c>
      <c r="O78" s="155">
        <v>0</v>
      </c>
      <c r="P78" s="155">
        <f t="shared" si="292"/>
        <v>0</v>
      </c>
      <c r="Q78" s="155"/>
      <c r="R78" s="155">
        <f t="shared" si="293"/>
        <v>0</v>
      </c>
      <c r="S78" s="140">
        <f t="shared" si="294"/>
        <v>0</v>
      </c>
      <c r="T78" s="12"/>
      <c r="U78" s="12"/>
      <c r="V78" s="12"/>
      <c r="W78" s="412"/>
      <c r="X78" s="155"/>
      <c r="Y78" s="155"/>
      <c r="Z78" s="155"/>
      <c r="AA78" s="155"/>
      <c r="AB78" s="155">
        <f t="shared" si="14"/>
        <v>0</v>
      </c>
      <c r="AC78" s="155">
        <f t="shared" si="120"/>
        <v>0</v>
      </c>
      <c r="AD78" s="155"/>
      <c r="AE78" s="155"/>
      <c r="AF78" s="155">
        <f t="shared" si="295"/>
        <v>0</v>
      </c>
      <c r="AH78" s="412"/>
      <c r="AI78" s="155"/>
      <c r="AJ78" s="155"/>
      <c r="AK78" s="155"/>
      <c r="AL78" s="155"/>
      <c r="AM78" s="155">
        <f t="shared" si="219"/>
        <v>0</v>
      </c>
      <c r="AN78" s="155">
        <f t="shared" si="220"/>
        <v>0</v>
      </c>
      <c r="AO78" s="155"/>
      <c r="AP78" s="155"/>
      <c r="AQ78" s="155">
        <f t="shared" si="296"/>
        <v>0</v>
      </c>
      <c r="AS78" s="287">
        <f t="shared" si="279"/>
        <v>0</v>
      </c>
    </row>
    <row r="79" spans="2:46" s="54" customFormat="1" ht="13.5" thickBot="1" x14ac:dyDescent="0.25">
      <c r="B79" s="52"/>
      <c r="C79" s="65" t="s">
        <v>444</v>
      </c>
      <c r="D79" s="157"/>
      <c r="E79" s="158">
        <f>SUM(E66:E75)</f>
        <v>19</v>
      </c>
      <c r="F79" s="159"/>
      <c r="G79" s="159"/>
      <c r="H79" s="159"/>
      <c r="I79" s="160">
        <f>SUM(I66:I78)</f>
        <v>7088.5000000000009</v>
      </c>
      <c r="J79" s="160">
        <f t="shared" ref="J79:S79" si="297">SUM(J66:J78)</f>
        <v>85062</v>
      </c>
      <c r="K79" s="160">
        <f t="shared" si="297"/>
        <v>1800</v>
      </c>
      <c r="L79" s="160">
        <f t="shared" si="297"/>
        <v>5538.5</v>
      </c>
      <c r="M79" s="160">
        <f t="shared" si="297"/>
        <v>7088.5000000000009</v>
      </c>
      <c r="N79" s="456">
        <f t="shared" si="297"/>
        <v>7021.5399999999991</v>
      </c>
      <c r="O79" s="160">
        <f t="shared" si="297"/>
        <v>0</v>
      </c>
      <c r="P79" s="160">
        <f t="shared" si="297"/>
        <v>6795.0300000000007</v>
      </c>
      <c r="Q79" s="160">
        <f t="shared" si="297"/>
        <v>906</v>
      </c>
      <c r="R79" s="160">
        <f t="shared" si="297"/>
        <v>14722.57</v>
      </c>
      <c r="S79" s="57">
        <f t="shared" si="297"/>
        <v>114211.56999999999</v>
      </c>
      <c r="T79" s="266"/>
      <c r="U79" s="266"/>
      <c r="V79" s="266"/>
      <c r="W79" s="422"/>
      <c r="X79" s="422">
        <f t="shared" ref="X79:AF79" si="298">SUM(X66:X78)</f>
        <v>37567.520000000004</v>
      </c>
      <c r="Y79" s="422">
        <f t="shared" si="298"/>
        <v>0</v>
      </c>
      <c r="Z79" s="422">
        <f t="shared" si="298"/>
        <v>0</v>
      </c>
      <c r="AA79" s="422">
        <f t="shared" si="298"/>
        <v>3003.93</v>
      </c>
      <c r="AB79" s="422">
        <f t="shared" si="298"/>
        <v>0</v>
      </c>
      <c r="AC79" s="422">
        <f t="shared" si="298"/>
        <v>3104.05</v>
      </c>
      <c r="AD79" s="422">
        <f t="shared" si="298"/>
        <v>400.53000000000003</v>
      </c>
      <c r="AE79" s="422">
        <f t="shared" si="298"/>
        <v>7088.5000000000009</v>
      </c>
      <c r="AF79" s="422">
        <f t="shared" si="298"/>
        <v>51164.530000000006</v>
      </c>
      <c r="AH79" s="422"/>
      <c r="AI79" s="422">
        <f t="shared" ref="AI79:AO79" si="299">SUM(AI66:AI78)</f>
        <v>47494.479999999996</v>
      </c>
      <c r="AJ79" s="422">
        <f t="shared" si="299"/>
        <v>1800</v>
      </c>
      <c r="AK79" s="422">
        <f t="shared" si="299"/>
        <v>5538.5</v>
      </c>
      <c r="AL79" s="422">
        <f t="shared" si="299"/>
        <v>3791.1099999999997</v>
      </c>
      <c r="AM79" s="422">
        <f t="shared" si="299"/>
        <v>0</v>
      </c>
      <c r="AN79" s="422">
        <f t="shared" si="299"/>
        <v>3917.5</v>
      </c>
      <c r="AO79" s="422">
        <f t="shared" si="299"/>
        <v>505.47999999999996</v>
      </c>
      <c r="AP79" s="422"/>
      <c r="AQ79" s="422">
        <f>SUM(AQ66:AQ78)</f>
        <v>63047.070000000007</v>
      </c>
      <c r="AS79" s="287"/>
    </row>
    <row r="80" spans="2:46" ht="14.25" thickTop="1" thickBot="1" x14ac:dyDescent="0.25">
      <c r="B80" s="63"/>
      <c r="C80" s="64" t="s">
        <v>610</v>
      </c>
      <c r="D80" s="172"/>
      <c r="E80" s="169">
        <f>E60+E79</f>
        <v>27</v>
      </c>
      <c r="F80" s="173"/>
      <c r="G80" s="173"/>
      <c r="H80" s="173"/>
      <c r="I80" s="171">
        <f>I60+I79</f>
        <v>10896.84</v>
      </c>
      <c r="J80" s="171">
        <f t="shared" ref="J80:N80" si="300">J60+J79</f>
        <v>130762.08</v>
      </c>
      <c r="K80" s="171">
        <f t="shared" si="300"/>
        <v>2600</v>
      </c>
      <c r="L80" s="171">
        <f t="shared" si="300"/>
        <v>5988.5</v>
      </c>
      <c r="M80" s="171">
        <f t="shared" si="300"/>
        <v>10896.84</v>
      </c>
      <c r="N80" s="461">
        <f t="shared" si="300"/>
        <v>10598.18</v>
      </c>
      <c r="O80" s="171">
        <f>+O65+O60+O51+O47+O43+O79</f>
        <v>360</v>
      </c>
      <c r="P80" s="171">
        <f>P79+P60</f>
        <v>10256.280000000001</v>
      </c>
      <c r="Q80" s="171">
        <f>+Q79+Q60</f>
        <v>1367.5</v>
      </c>
      <c r="R80" s="171">
        <f>R79+R60</f>
        <v>22581.96</v>
      </c>
      <c r="S80" s="66">
        <f>S79+S60</f>
        <v>172829.38</v>
      </c>
      <c r="T80" s="12"/>
      <c r="U80" s="12"/>
      <c r="V80" s="12"/>
      <c r="W80" s="419"/>
      <c r="X80" s="419">
        <f t="shared" ref="X80:AE80" si="301">+X79+X60</f>
        <v>60417.560000000005</v>
      </c>
      <c r="Y80" s="419">
        <f t="shared" si="301"/>
        <v>0</v>
      </c>
      <c r="Z80" s="419">
        <f t="shared" si="301"/>
        <v>0</v>
      </c>
      <c r="AA80" s="419">
        <f t="shared" si="301"/>
        <v>4734.57</v>
      </c>
      <c r="AB80" s="419">
        <f t="shared" si="301"/>
        <v>180</v>
      </c>
      <c r="AC80" s="419">
        <f t="shared" si="301"/>
        <v>4892.3700000000008</v>
      </c>
      <c r="AD80" s="419">
        <f t="shared" si="301"/>
        <v>631.28</v>
      </c>
      <c r="AE80" s="419">
        <f t="shared" si="301"/>
        <v>10896.84</v>
      </c>
      <c r="AF80" s="419">
        <f>AF79+AF60</f>
        <v>81752.62000000001</v>
      </c>
      <c r="AH80" s="419"/>
      <c r="AI80" s="419">
        <f t="shared" ref="AI80:AO80" si="302">+AI79+AI60</f>
        <v>70344.51999999999</v>
      </c>
      <c r="AJ80" s="419">
        <f t="shared" si="302"/>
        <v>2600</v>
      </c>
      <c r="AK80" s="419">
        <f t="shared" si="302"/>
        <v>5538.5</v>
      </c>
      <c r="AL80" s="419">
        <f t="shared" si="302"/>
        <v>5521.75</v>
      </c>
      <c r="AM80" s="419">
        <f t="shared" si="302"/>
        <v>180</v>
      </c>
      <c r="AN80" s="419">
        <f t="shared" si="302"/>
        <v>5705.82</v>
      </c>
      <c r="AO80" s="419">
        <f t="shared" si="302"/>
        <v>736.23</v>
      </c>
      <c r="AP80" s="419"/>
      <c r="AQ80" s="419">
        <f>AQ79+AQ60</f>
        <v>91076.82</v>
      </c>
      <c r="AS80" s="287"/>
    </row>
    <row r="81" spans="2:45" ht="6.75" customHeight="1" thickBot="1" x14ac:dyDescent="0.25">
      <c r="B81" s="53"/>
      <c r="C81" s="32"/>
      <c r="D81" s="174"/>
      <c r="E81" s="174"/>
      <c r="F81" s="153"/>
      <c r="G81" s="153"/>
      <c r="H81" s="153"/>
      <c r="I81" s="175"/>
      <c r="J81" s="175"/>
      <c r="K81" s="175"/>
      <c r="L81" s="175"/>
      <c r="M81" s="175"/>
      <c r="N81" s="462"/>
      <c r="O81" s="175"/>
      <c r="P81" s="175"/>
      <c r="Q81" s="175"/>
      <c r="R81" s="176"/>
      <c r="S81" s="67"/>
      <c r="T81" s="12"/>
      <c r="U81" s="12"/>
      <c r="V81" s="12"/>
      <c r="W81" s="420"/>
      <c r="X81" s="420"/>
      <c r="Y81" s="420"/>
      <c r="Z81" s="420"/>
      <c r="AA81" s="420"/>
      <c r="AB81" s="420"/>
      <c r="AC81" s="420"/>
      <c r="AD81" s="420"/>
      <c r="AE81" s="420"/>
      <c r="AF81" s="420"/>
      <c r="AH81" s="420"/>
      <c r="AI81" s="420"/>
      <c r="AJ81" s="420"/>
      <c r="AK81" s="420"/>
      <c r="AL81" s="420"/>
      <c r="AM81" s="420"/>
      <c r="AN81" s="420"/>
      <c r="AO81" s="420"/>
      <c r="AP81" s="420"/>
      <c r="AQ81" s="420"/>
      <c r="AS81" s="287"/>
    </row>
    <row r="82" spans="2:45" s="54" customFormat="1" ht="13.5" thickBot="1" x14ac:dyDescent="0.25">
      <c r="B82" s="68"/>
      <c r="C82" s="69" t="s">
        <v>427</v>
      </c>
      <c r="D82" s="177"/>
      <c r="E82" s="505">
        <f>E37+E80</f>
        <v>43</v>
      </c>
      <c r="F82" s="178"/>
      <c r="G82" s="178"/>
      <c r="H82" s="178"/>
      <c r="I82" s="70">
        <f>+I80+I37</f>
        <v>23396.84</v>
      </c>
      <c r="J82" s="70">
        <f t="shared" ref="J82:R82" si="303">+J80+J37</f>
        <v>280762.08</v>
      </c>
      <c r="K82" s="70">
        <f t="shared" si="303"/>
        <v>4100</v>
      </c>
      <c r="L82" s="70">
        <f t="shared" si="303"/>
        <v>6438.5</v>
      </c>
      <c r="M82" s="70">
        <f t="shared" si="303"/>
        <v>23396.84</v>
      </c>
      <c r="N82" s="463">
        <f t="shared" si="303"/>
        <v>22223.18</v>
      </c>
      <c r="O82" s="70">
        <f t="shared" si="303"/>
        <v>360</v>
      </c>
      <c r="P82" s="70">
        <f t="shared" si="303"/>
        <v>19121.28</v>
      </c>
      <c r="Q82" s="70">
        <f t="shared" si="303"/>
        <v>2549.5</v>
      </c>
      <c r="R82" s="70">
        <f t="shared" si="303"/>
        <v>44253.96</v>
      </c>
      <c r="S82" s="145">
        <f>S37+S80</f>
        <v>358951.38</v>
      </c>
      <c r="T82" s="71"/>
      <c r="U82" s="71"/>
      <c r="V82" s="71"/>
      <c r="W82" s="421"/>
      <c r="X82" s="421">
        <f t="shared" ref="X82:AE82" si="304">+X80+X37</f>
        <v>117067.56</v>
      </c>
      <c r="Y82" s="421">
        <f t="shared" si="304"/>
        <v>0</v>
      </c>
      <c r="Z82" s="421">
        <f t="shared" si="304"/>
        <v>0</v>
      </c>
      <c r="AA82" s="421">
        <f t="shared" si="304"/>
        <v>8057.07</v>
      </c>
      <c r="AB82" s="421">
        <f t="shared" si="304"/>
        <v>180</v>
      </c>
      <c r="AC82" s="421">
        <f t="shared" si="304"/>
        <v>9282.760000000002</v>
      </c>
      <c r="AD82" s="421">
        <f t="shared" si="304"/>
        <v>1074.28</v>
      </c>
      <c r="AE82" s="421">
        <f t="shared" si="304"/>
        <v>23396.84</v>
      </c>
      <c r="AF82" s="421">
        <f>AF37+AF80</f>
        <v>159058.51</v>
      </c>
      <c r="AH82" s="421"/>
      <c r="AI82" s="421">
        <f t="shared" ref="AI82:AO82" si="305">+AI80+AI37</f>
        <v>163694.51999999999</v>
      </c>
      <c r="AJ82" s="421">
        <f t="shared" si="305"/>
        <v>4100</v>
      </c>
      <c r="AK82" s="421">
        <f t="shared" si="305"/>
        <v>5538.5</v>
      </c>
      <c r="AL82" s="421">
        <f t="shared" si="305"/>
        <v>11064.25</v>
      </c>
      <c r="AM82" s="421">
        <f t="shared" si="305"/>
        <v>180</v>
      </c>
      <c r="AN82" s="421">
        <f t="shared" si="305"/>
        <v>12940.46</v>
      </c>
      <c r="AO82" s="421">
        <f t="shared" si="305"/>
        <v>1475.23</v>
      </c>
      <c r="AP82" s="421"/>
      <c r="AQ82" s="421">
        <f>AQ37+AQ80</f>
        <v>199892.96</v>
      </c>
      <c r="AR82" s="4"/>
      <c r="AS82" s="287"/>
    </row>
    <row r="83" spans="2:45" ht="13.5" thickBot="1" x14ac:dyDescent="0.25">
      <c r="B83" s="72"/>
      <c r="C83" s="69" t="s">
        <v>428</v>
      </c>
      <c r="D83" s="179"/>
      <c r="E83" s="179"/>
      <c r="F83" s="180"/>
      <c r="G83" s="180"/>
      <c r="H83" s="180"/>
      <c r="I83" s="294"/>
      <c r="J83" s="73"/>
      <c r="K83" s="73"/>
      <c r="L83" s="73"/>
      <c r="M83" s="73"/>
      <c r="N83" s="73"/>
      <c r="O83" s="73"/>
      <c r="P83" s="73"/>
      <c r="Q83" s="265"/>
      <c r="R83" s="73"/>
      <c r="S83" s="146">
        <f>SUM(S82:S82)</f>
        <v>358951.38</v>
      </c>
      <c r="T83" s="12"/>
      <c r="U83" s="12"/>
      <c r="V83" s="12"/>
      <c r="W83" s="414"/>
      <c r="X83" s="265"/>
      <c r="Y83" s="265"/>
      <c r="Z83" s="265"/>
      <c r="AA83" s="265"/>
      <c r="AB83" s="265"/>
      <c r="AC83" s="265"/>
      <c r="AD83" s="265"/>
      <c r="AE83" s="265"/>
      <c r="AF83" s="265"/>
      <c r="AH83" s="414"/>
      <c r="AI83" s="265"/>
      <c r="AJ83" s="265"/>
      <c r="AK83" s="265"/>
      <c r="AL83" s="265"/>
      <c r="AM83" s="265"/>
      <c r="AN83" s="265"/>
      <c r="AO83" s="265"/>
      <c r="AP83" s="265"/>
      <c r="AQ83" s="265"/>
      <c r="AS83" s="287"/>
    </row>
    <row r="84" spans="2:45" x14ac:dyDescent="0.2">
      <c r="I84" s="295"/>
      <c r="J84" s="248"/>
      <c r="K84" s="287"/>
      <c r="L84" s="248"/>
      <c r="M84" s="249"/>
      <c r="N84" s="249"/>
      <c r="O84" s="249"/>
      <c r="P84" s="249"/>
      <c r="Q84" s="248"/>
      <c r="R84" s="249"/>
      <c r="S84" s="250"/>
      <c r="T84" s="12"/>
      <c r="U84" s="12"/>
      <c r="V84" s="12"/>
      <c r="X84" s="12"/>
      <c r="Y84" s="12"/>
      <c r="Z84" s="12"/>
      <c r="AA84" s="12"/>
      <c r="AB84" s="12"/>
      <c r="AC84" s="12"/>
      <c r="AD84" s="12"/>
      <c r="AE84" s="12"/>
      <c r="AF84" s="410"/>
      <c r="AI84" s="12"/>
      <c r="AJ84" s="12"/>
      <c r="AK84" s="12"/>
      <c r="AL84" s="12"/>
      <c r="AM84" s="12"/>
      <c r="AN84" s="12"/>
      <c r="AO84" s="12"/>
      <c r="AP84" s="12"/>
      <c r="AQ84" s="410"/>
      <c r="AS84" s="287"/>
    </row>
    <row r="85" spans="2:45" x14ac:dyDescent="0.2">
      <c r="C85" s="7"/>
      <c r="I85" s="296"/>
      <c r="J85" s="248"/>
      <c r="K85" s="287"/>
      <c r="L85" s="248"/>
      <c r="M85" s="249"/>
      <c r="N85" s="251"/>
      <c r="O85" s="252"/>
      <c r="P85" s="250"/>
      <c r="R85" s="277"/>
      <c r="S85" s="978"/>
      <c r="AE85" t="s">
        <v>640</v>
      </c>
      <c r="AF85" s="287">
        <f>AF82</f>
        <v>159058.51</v>
      </c>
      <c r="AJ85" s="2"/>
      <c r="AP85" t="s">
        <v>640</v>
      </c>
      <c r="AQ85" s="287">
        <f>AQ82</f>
        <v>199892.96</v>
      </c>
      <c r="AR85" s="2"/>
      <c r="AS85" s="287"/>
    </row>
    <row r="86" spans="2:45" x14ac:dyDescent="0.2">
      <c r="C86" s="7"/>
      <c r="I86" s="295"/>
      <c r="J86" s="249"/>
      <c r="L86" s="249"/>
      <c r="M86" s="249"/>
      <c r="N86" s="251"/>
      <c r="O86" s="464"/>
      <c r="P86" s="249"/>
      <c r="R86" s="277"/>
      <c r="S86" s="978"/>
      <c r="AE86" t="s">
        <v>638</v>
      </c>
      <c r="AF86" s="234">
        <f>('PLLA DIETAS'!E19+'PLLA DIETAS'!H19+'PLLA DIETAS'!I19)/2</f>
        <v>39585</v>
      </c>
      <c r="AN86" s="2"/>
      <c r="AP86" t="s">
        <v>638</v>
      </c>
      <c r="AQ86" s="234">
        <f>('PLLA DIETAS'!E19+'PLLA DIETAS'!H19+'PLLA DIETAS'!I19)/2</f>
        <v>39585</v>
      </c>
    </row>
    <row r="87" spans="2:45" x14ac:dyDescent="0.2">
      <c r="C87" s="7"/>
      <c r="I87" s="296"/>
      <c r="J87" s="249"/>
      <c r="L87" s="249"/>
      <c r="M87" s="249"/>
      <c r="N87" s="251"/>
      <c r="O87" s="249"/>
      <c r="P87" s="249"/>
      <c r="R87" s="249"/>
      <c r="S87" s="978"/>
      <c r="AE87" t="s">
        <v>346</v>
      </c>
      <c r="AF87" s="234">
        <f>'PLLA MUNICIPAL HONORARIOS'!J26/2</f>
        <v>6066.66</v>
      </c>
      <c r="AN87" s="2"/>
      <c r="AO87" s="17"/>
      <c r="AP87" t="s">
        <v>346</v>
      </c>
      <c r="AQ87" s="234">
        <f>'PLLA MUNICIPAL HONORARIOS'!J26/2</f>
        <v>6066.66</v>
      </c>
    </row>
    <row r="88" spans="2:45" x14ac:dyDescent="0.2">
      <c r="C88" s="7"/>
      <c r="I88" s="296"/>
      <c r="J88" s="249"/>
      <c r="L88" s="249"/>
      <c r="M88" s="249"/>
      <c r="N88" s="251"/>
      <c r="O88" s="249"/>
      <c r="P88" s="249"/>
      <c r="R88" s="249"/>
      <c r="S88" s="978"/>
      <c r="AE88" t="s">
        <v>639</v>
      </c>
      <c r="AF88" s="392">
        <f>(600*12)/2</f>
        <v>3600</v>
      </c>
      <c r="AP88" t="s">
        <v>639</v>
      </c>
      <c r="AQ88" s="392">
        <f>(600*12)/2</f>
        <v>3600</v>
      </c>
    </row>
    <row r="89" spans="2:45" x14ac:dyDescent="0.2">
      <c r="C89" s="7"/>
      <c r="I89" s="296"/>
      <c r="J89" s="249"/>
      <c r="L89" s="249"/>
      <c r="M89" s="249"/>
      <c r="N89" s="251"/>
      <c r="O89" s="249"/>
      <c r="P89" s="249"/>
      <c r="R89" s="249"/>
      <c r="S89" s="978"/>
      <c r="AE89" t="s">
        <v>643</v>
      </c>
      <c r="AF89" s="392">
        <f>'AG1'!C26</f>
        <v>0</v>
      </c>
      <c r="AP89" t="s">
        <v>643</v>
      </c>
      <c r="AQ89" s="392">
        <v>250</v>
      </c>
    </row>
    <row r="90" spans="2:45" x14ac:dyDescent="0.2">
      <c r="C90" s="7"/>
      <c r="I90" s="296"/>
      <c r="J90" s="249"/>
      <c r="L90" s="249"/>
      <c r="M90" s="249"/>
      <c r="N90" s="251"/>
      <c r="O90" s="249"/>
      <c r="P90" s="249"/>
      <c r="R90" s="249"/>
      <c r="S90" s="277"/>
      <c r="AE90" t="s">
        <v>676</v>
      </c>
      <c r="AF90" s="392"/>
      <c r="AL90" s="2"/>
      <c r="AP90" t="s">
        <v>676</v>
      </c>
      <c r="AQ90" s="392">
        <f>600*9</f>
        <v>5400</v>
      </c>
    </row>
    <row r="91" spans="2:45" x14ac:dyDescent="0.2">
      <c r="C91" s="7"/>
      <c r="I91" s="296"/>
      <c r="J91" s="249"/>
      <c r="L91" s="249"/>
      <c r="M91" s="249"/>
      <c r="N91" s="251"/>
      <c r="O91" s="249"/>
      <c r="P91" s="249"/>
      <c r="R91" s="249"/>
      <c r="S91" s="277"/>
      <c r="AE91" t="s">
        <v>644</v>
      </c>
      <c r="AF91" s="392"/>
      <c r="AP91" t="s">
        <v>644</v>
      </c>
      <c r="AQ91" s="392">
        <v>0</v>
      </c>
    </row>
    <row r="92" spans="2:45" ht="13.5" thickBot="1" x14ac:dyDescent="0.25">
      <c r="C92" s="7"/>
      <c r="I92" s="295"/>
      <c r="J92" s="249"/>
      <c r="L92" s="249"/>
      <c r="M92" s="249"/>
      <c r="N92" s="251"/>
      <c r="O92" s="249"/>
      <c r="P92" s="249"/>
      <c r="R92" s="249"/>
      <c r="S92" s="249"/>
      <c r="AE92" t="s">
        <v>4</v>
      </c>
      <c r="AF92" s="437">
        <f>SUM(AF85:AF91)</f>
        <v>208310.17</v>
      </c>
      <c r="AP92" t="s">
        <v>4</v>
      </c>
      <c r="AQ92" s="437">
        <f>SUM(AQ85:AQ91)</f>
        <v>254794.62</v>
      </c>
      <c r="AS92" s="287">
        <f>+AF92+AQ92</f>
        <v>463104.79000000004</v>
      </c>
    </row>
    <row r="93" spans="2:45" ht="13.5" thickTop="1" x14ac:dyDescent="0.2">
      <c r="C93" s="7"/>
      <c r="I93" s="295"/>
      <c r="J93" s="249"/>
      <c r="L93" s="249"/>
      <c r="M93" s="249"/>
      <c r="N93" s="251"/>
      <c r="O93" s="249"/>
      <c r="P93" s="249"/>
      <c r="R93" s="249"/>
      <c r="S93" s="249"/>
      <c r="AS93" s="234">
        <f>+'AG1'!H12</f>
        <v>462854.77</v>
      </c>
    </row>
    <row r="94" spans="2:45" ht="13.5" thickBot="1" x14ac:dyDescent="0.25">
      <c r="C94" s="7"/>
      <c r="I94" s="296"/>
      <c r="J94" s="249"/>
      <c r="L94" s="249"/>
      <c r="M94" s="249"/>
      <c r="N94" s="251"/>
      <c r="O94" s="249"/>
      <c r="P94" s="249"/>
      <c r="R94" s="249"/>
      <c r="S94" s="249"/>
      <c r="AE94" t="s">
        <v>641</v>
      </c>
      <c r="AF94" s="234">
        <f>'ING. REALES'!C54/2</f>
        <v>209967.785</v>
      </c>
      <c r="AQ94" s="287"/>
      <c r="AS94" s="438">
        <f>+AS92-AS93</f>
        <v>250.02000000001863</v>
      </c>
    </row>
    <row r="95" spans="2:45" ht="13.5" thickTop="1" x14ac:dyDescent="0.2">
      <c r="C95" s="7"/>
      <c r="I95" s="297"/>
      <c r="J95" s="249"/>
      <c r="L95" s="249"/>
      <c r="M95" s="249"/>
      <c r="N95" s="251"/>
      <c r="O95" s="249"/>
      <c r="P95" s="249"/>
      <c r="R95" s="249"/>
      <c r="S95" s="277"/>
    </row>
    <row r="96" spans="2:45" x14ac:dyDescent="0.2">
      <c r="C96" s="7"/>
      <c r="I96" s="295"/>
      <c r="J96" s="249"/>
      <c r="L96" s="249"/>
      <c r="M96" s="249"/>
      <c r="N96" s="251"/>
      <c r="O96" s="249"/>
      <c r="P96" s="249"/>
      <c r="R96" s="249"/>
      <c r="S96" s="249"/>
      <c r="AF96" s="287">
        <f>AF92-AF94</f>
        <v>-1657.6149999999907</v>
      </c>
    </row>
    <row r="97" spans="3:32" x14ac:dyDescent="0.2">
      <c r="C97" s="7"/>
      <c r="I97" s="296"/>
      <c r="J97" s="249"/>
      <c r="L97" s="249"/>
      <c r="M97" s="249"/>
      <c r="N97" s="251"/>
      <c r="O97" s="249"/>
      <c r="P97" s="249"/>
      <c r="R97" s="249"/>
      <c r="S97" s="252"/>
    </row>
    <row r="98" spans="3:32" x14ac:dyDescent="0.2">
      <c r="I98" s="298"/>
      <c r="N98" s="2"/>
    </row>
    <row r="99" spans="3:32" x14ac:dyDescent="0.2">
      <c r="N99" s="2"/>
    </row>
    <row r="100" spans="3:32" x14ac:dyDescent="0.2">
      <c r="N100" s="2"/>
      <c r="O100" s="1247"/>
      <c r="P100" s="1247"/>
      <c r="AD100" s="17"/>
    </row>
    <row r="101" spans="3:32" x14ac:dyDescent="0.2">
      <c r="N101" s="2"/>
    </row>
    <row r="102" spans="3:32" x14ac:dyDescent="0.2">
      <c r="N102" s="2"/>
    </row>
    <row r="103" spans="3:32" x14ac:dyDescent="0.2">
      <c r="N103" s="2"/>
    </row>
    <row r="104" spans="3:32" x14ac:dyDescent="0.2">
      <c r="N104" s="2"/>
    </row>
    <row r="105" spans="3:32" x14ac:dyDescent="0.2">
      <c r="N105" s="2"/>
    </row>
    <row r="106" spans="3:32" x14ac:dyDescent="0.2">
      <c r="N106" s="2"/>
      <c r="AF106" s="234">
        <v>164314.91999999998</v>
      </c>
    </row>
    <row r="107" spans="3:32" x14ac:dyDescent="0.2">
      <c r="N107" s="2"/>
      <c r="P107" s="12"/>
    </row>
    <row r="108" spans="3:32" x14ac:dyDescent="0.2">
      <c r="N108" s="2"/>
    </row>
  </sheetData>
  <mergeCells count="25">
    <mergeCell ref="O100:P100"/>
    <mergeCell ref="F6:F9"/>
    <mergeCell ref="G6:G9"/>
    <mergeCell ref="L8:L9"/>
    <mergeCell ref="H8:H9"/>
    <mergeCell ref="O7:P7"/>
    <mergeCell ref="I8:I9"/>
    <mergeCell ref="J8:J9"/>
    <mergeCell ref="M8:M9"/>
    <mergeCell ref="B2:S2"/>
    <mergeCell ref="B3:S3"/>
    <mergeCell ref="B4:S4"/>
    <mergeCell ref="B6:B9"/>
    <mergeCell ref="C6:C9"/>
    <mergeCell ref="D6:D9"/>
    <mergeCell ref="E6:E9"/>
    <mergeCell ref="N6:R6"/>
    <mergeCell ref="H6:J7"/>
    <mergeCell ref="K6:M7"/>
    <mergeCell ref="K8:K9"/>
    <mergeCell ref="W7:AF7"/>
    <mergeCell ref="W6:AF6"/>
    <mergeCell ref="AH6:AQ6"/>
    <mergeCell ref="AH7:AQ7"/>
    <mergeCell ref="S6:S9"/>
  </mergeCells>
  <phoneticPr fontId="0" type="noConversion"/>
  <pageMargins left="3.937007874015748E-2" right="3.937007874015748E-2" top="0.78740157480314965" bottom="0.23622047244094491" header="0.47244094488188981" footer="0"/>
  <pageSetup scale="65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M27"/>
  <sheetViews>
    <sheetView showGridLines="0" topLeftCell="A10" workbookViewId="0">
      <selection activeCell="D23" sqref="D23"/>
    </sheetView>
  </sheetViews>
  <sheetFormatPr baseColWidth="10" defaultColWidth="9.140625" defaultRowHeight="12.75" x14ac:dyDescent="0.2"/>
  <cols>
    <col min="1" max="1" width="5.140625" style="7" customWidth="1"/>
    <col min="2" max="2" width="28.5703125" style="7" customWidth="1"/>
    <col min="3" max="3" width="20.140625" style="7" customWidth="1"/>
    <col min="4" max="4" width="13.140625" style="7" customWidth="1"/>
    <col min="5" max="5" width="14.28515625" style="7" customWidth="1"/>
    <col min="6" max="10" width="12.5703125" style="7" customWidth="1"/>
    <col min="11" max="11" width="14.5703125" style="7" customWidth="1"/>
    <col min="12" max="14" width="9.140625" style="7" customWidth="1"/>
    <col min="15" max="16384" width="9.140625" style="7"/>
  </cols>
  <sheetData>
    <row r="1" spans="1:13" ht="12.75" customHeight="1" x14ac:dyDescent="0.2">
      <c r="A1" s="1181" t="s">
        <v>439</v>
      </c>
      <c r="B1" s="1181"/>
      <c r="C1" s="1181"/>
      <c r="D1" s="1181"/>
      <c r="E1" s="1181"/>
      <c r="F1" s="1181"/>
      <c r="G1" s="1181"/>
      <c r="H1" s="1181"/>
      <c r="I1" s="1181"/>
      <c r="J1" s="1181"/>
      <c r="K1" s="1181"/>
    </row>
    <row r="2" spans="1:13" ht="12.75" customHeight="1" x14ac:dyDescent="0.2">
      <c r="A2" s="1181" t="s">
        <v>440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</row>
    <row r="3" spans="1:13" ht="12.75" customHeight="1" x14ac:dyDescent="0.2">
      <c r="A3" s="1181" t="s">
        <v>769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</row>
    <row r="4" spans="1:13" ht="13.5" thickBot="1" x14ac:dyDescent="0.25">
      <c r="C4" s="185"/>
      <c r="D4" s="185"/>
      <c r="E4" s="185"/>
      <c r="F4" s="185"/>
      <c r="G4" s="185"/>
      <c r="H4" s="185"/>
      <c r="I4" s="185"/>
      <c r="J4" s="185"/>
    </row>
    <row r="5" spans="1:13" ht="18.75" customHeight="1" thickBot="1" x14ac:dyDescent="0.25">
      <c r="A5" s="1257" t="s">
        <v>379</v>
      </c>
      <c r="B5" s="1257" t="s">
        <v>376</v>
      </c>
      <c r="C5" s="1258" t="s">
        <v>377</v>
      </c>
      <c r="D5" s="1257" t="s">
        <v>130</v>
      </c>
      <c r="E5" s="1257"/>
      <c r="F5" s="1259" t="s">
        <v>607</v>
      </c>
      <c r="G5" s="1256" t="s">
        <v>564</v>
      </c>
      <c r="H5" s="1256"/>
      <c r="I5" s="1256"/>
      <c r="J5" s="1256"/>
      <c r="K5" s="1257" t="s">
        <v>25</v>
      </c>
    </row>
    <row r="6" spans="1:13" ht="18.75" customHeight="1" thickBot="1" x14ac:dyDescent="0.25">
      <c r="A6" s="1257"/>
      <c r="B6" s="1257"/>
      <c r="C6" s="1258"/>
      <c r="D6" s="1257"/>
      <c r="E6" s="1257"/>
      <c r="F6" s="1260"/>
      <c r="G6" s="439" t="s">
        <v>565</v>
      </c>
      <c r="H6" s="440" t="s">
        <v>566</v>
      </c>
      <c r="I6" s="1266" t="s">
        <v>623</v>
      </c>
      <c r="J6" s="1263" t="s">
        <v>567</v>
      </c>
      <c r="K6" s="1257"/>
    </row>
    <row r="7" spans="1:13" ht="18.75" customHeight="1" thickBot="1" x14ac:dyDescent="0.25">
      <c r="A7" s="1257"/>
      <c r="B7" s="1257"/>
      <c r="C7" s="1258"/>
      <c r="D7" s="1258" t="s">
        <v>479</v>
      </c>
      <c r="E7" s="1262" t="s">
        <v>480</v>
      </c>
      <c r="F7" s="1260"/>
      <c r="G7" s="441" t="s">
        <v>388</v>
      </c>
      <c r="H7" s="442" t="s">
        <v>19</v>
      </c>
      <c r="I7" s="1267"/>
      <c r="J7" s="1264"/>
      <c r="K7" s="1257"/>
    </row>
    <row r="8" spans="1:13" ht="18.75" customHeight="1" thickBot="1" x14ac:dyDescent="0.25">
      <c r="A8" s="1257"/>
      <c r="B8" s="1257"/>
      <c r="C8" s="1258"/>
      <c r="D8" s="1258"/>
      <c r="E8" s="1262"/>
      <c r="F8" s="1261"/>
      <c r="G8" s="443">
        <v>7.7499999999999999E-2</v>
      </c>
      <c r="H8" s="444">
        <v>7.4999999999999997E-2</v>
      </c>
      <c r="I8" s="444">
        <v>0.01</v>
      </c>
      <c r="J8" s="1265"/>
      <c r="K8" s="1257"/>
    </row>
    <row r="9" spans="1:13" ht="26.25" customHeight="1" x14ac:dyDescent="0.2">
      <c r="A9" s="445">
        <v>1</v>
      </c>
      <c r="B9" s="446"/>
      <c r="C9" s="447" t="s">
        <v>666</v>
      </c>
      <c r="D9" s="471">
        <v>700</v>
      </c>
      <c r="E9" s="472">
        <f>+D9*12</f>
        <v>8400</v>
      </c>
      <c r="F9" s="473">
        <f t="shared" ref="F9:F17" si="0">D9</f>
        <v>700</v>
      </c>
      <c r="G9" s="474">
        <v>0</v>
      </c>
      <c r="H9" s="475">
        <f>ROUND((E9*H$8),2)</f>
        <v>630</v>
      </c>
      <c r="I9" s="476">
        <f t="shared" ref="I9:I11" si="1">ROUND((E9*I$8),2)</f>
        <v>84</v>
      </c>
      <c r="J9" s="477">
        <f>SUM(G9:I9)</f>
        <v>714</v>
      </c>
      <c r="K9" s="473">
        <f>+E9+F9+J9</f>
        <v>9814</v>
      </c>
    </row>
    <row r="10" spans="1:13" ht="26.25" customHeight="1" x14ac:dyDescent="0.2">
      <c r="A10" s="448">
        <f>A9+1</f>
        <v>2</v>
      </c>
      <c r="B10" s="449"/>
      <c r="C10" s="450" t="s">
        <v>667</v>
      </c>
      <c r="D10" s="478">
        <v>700</v>
      </c>
      <c r="E10" s="479">
        <f>+D10*12</f>
        <v>8400</v>
      </c>
      <c r="F10" s="480">
        <f t="shared" si="0"/>
        <v>700</v>
      </c>
      <c r="G10" s="481">
        <v>0</v>
      </c>
      <c r="H10" s="481">
        <f>ROUND((E10*H$8),2)</f>
        <v>630</v>
      </c>
      <c r="I10" s="482">
        <f t="shared" si="1"/>
        <v>84</v>
      </c>
      <c r="J10" s="479">
        <f>SUM(G10:I10)</f>
        <v>714</v>
      </c>
      <c r="K10" s="473">
        <f t="shared" ref="K10:K17" si="2">+E10+F10+J10</f>
        <v>9814</v>
      </c>
      <c r="M10" s="263"/>
    </row>
    <row r="11" spans="1:13" ht="26.25" customHeight="1" x14ac:dyDescent="0.2">
      <c r="A11" s="448">
        <f t="shared" ref="A11:A16" si="3">A10+1</f>
        <v>3</v>
      </c>
      <c r="B11" s="449"/>
      <c r="C11" s="450" t="s">
        <v>681</v>
      </c>
      <c r="D11" s="478">
        <v>700</v>
      </c>
      <c r="E11" s="479">
        <f t="shared" ref="E11:E17" si="4">+D11*12</f>
        <v>8400</v>
      </c>
      <c r="F11" s="480">
        <f t="shared" si="0"/>
        <v>700</v>
      </c>
      <c r="G11" s="481">
        <v>0</v>
      </c>
      <c r="H11" s="481">
        <f>ROUND((E11*H$8),2)</f>
        <v>630</v>
      </c>
      <c r="I11" s="482">
        <f t="shared" si="1"/>
        <v>84</v>
      </c>
      <c r="J11" s="479">
        <f t="shared" ref="J11:J17" si="5">SUM(G11:I11)</f>
        <v>714</v>
      </c>
      <c r="K11" s="473">
        <f t="shared" si="2"/>
        <v>9814</v>
      </c>
    </row>
    <row r="12" spans="1:13" ht="26.25" customHeight="1" x14ac:dyDescent="0.2">
      <c r="A12" s="448">
        <f t="shared" si="3"/>
        <v>4</v>
      </c>
      <c r="B12" s="449"/>
      <c r="C12" s="450" t="s">
        <v>669</v>
      </c>
      <c r="D12" s="478">
        <v>700</v>
      </c>
      <c r="E12" s="479">
        <f t="shared" si="4"/>
        <v>8400</v>
      </c>
      <c r="F12" s="480">
        <f t="shared" si="0"/>
        <v>700</v>
      </c>
      <c r="G12" s="481">
        <v>0</v>
      </c>
      <c r="H12" s="481">
        <v>0</v>
      </c>
      <c r="I12" s="482">
        <v>0</v>
      </c>
      <c r="J12" s="479">
        <f t="shared" si="5"/>
        <v>0</v>
      </c>
      <c r="K12" s="473">
        <f t="shared" si="2"/>
        <v>9100</v>
      </c>
      <c r="M12" s="263"/>
    </row>
    <row r="13" spans="1:13" ht="26.25" customHeight="1" x14ac:dyDescent="0.2">
      <c r="A13" s="448">
        <f t="shared" si="3"/>
        <v>5</v>
      </c>
      <c r="B13" s="449"/>
      <c r="C13" s="450" t="s">
        <v>670</v>
      </c>
      <c r="D13" s="478">
        <v>700</v>
      </c>
      <c r="E13" s="479">
        <f t="shared" si="4"/>
        <v>8400</v>
      </c>
      <c r="F13" s="480">
        <f t="shared" si="0"/>
        <v>700</v>
      </c>
      <c r="G13" s="481">
        <v>0</v>
      </c>
      <c r="H13" s="481">
        <v>0</v>
      </c>
      <c r="I13" s="482">
        <v>0</v>
      </c>
      <c r="J13" s="479">
        <f t="shared" si="5"/>
        <v>0</v>
      </c>
      <c r="K13" s="473">
        <f t="shared" si="2"/>
        <v>9100</v>
      </c>
    </row>
    <row r="14" spans="1:13" ht="26.25" customHeight="1" x14ac:dyDescent="0.2">
      <c r="A14" s="448">
        <f t="shared" si="3"/>
        <v>6</v>
      </c>
      <c r="B14" s="449"/>
      <c r="C14" s="450" t="s">
        <v>671</v>
      </c>
      <c r="D14" s="478">
        <v>700</v>
      </c>
      <c r="E14" s="479">
        <f t="shared" si="4"/>
        <v>8400</v>
      </c>
      <c r="F14" s="480">
        <f t="shared" si="0"/>
        <v>700</v>
      </c>
      <c r="G14" s="481">
        <v>0</v>
      </c>
      <c r="H14" s="481">
        <v>0</v>
      </c>
      <c r="I14" s="482">
        <v>0</v>
      </c>
      <c r="J14" s="479">
        <f t="shared" si="5"/>
        <v>0</v>
      </c>
      <c r="K14" s="473">
        <f t="shared" si="2"/>
        <v>9100</v>
      </c>
    </row>
    <row r="15" spans="1:13" ht="26.25" customHeight="1" x14ac:dyDescent="0.2">
      <c r="A15" s="448">
        <f t="shared" si="3"/>
        <v>7</v>
      </c>
      <c r="B15" s="449"/>
      <c r="C15" s="450" t="s">
        <v>672</v>
      </c>
      <c r="D15" s="478">
        <v>700</v>
      </c>
      <c r="E15" s="479">
        <f t="shared" si="4"/>
        <v>8400</v>
      </c>
      <c r="F15" s="480">
        <f t="shared" si="0"/>
        <v>700</v>
      </c>
      <c r="G15" s="483">
        <v>0</v>
      </c>
      <c r="H15" s="484">
        <f>ROUND((E15*H$8),2)</f>
        <v>630</v>
      </c>
      <c r="I15" s="482">
        <f t="shared" ref="I15" si="6">ROUND((E15*I$8),2)</f>
        <v>84</v>
      </c>
      <c r="J15" s="479">
        <f t="shared" si="5"/>
        <v>714</v>
      </c>
      <c r="K15" s="473">
        <f t="shared" si="2"/>
        <v>9814</v>
      </c>
    </row>
    <row r="16" spans="1:13" ht="26.25" customHeight="1" x14ac:dyDescent="0.2">
      <c r="A16" s="448">
        <f t="shared" si="3"/>
        <v>8</v>
      </c>
      <c r="B16" s="449"/>
      <c r="C16" s="450" t="s">
        <v>668</v>
      </c>
      <c r="D16" s="478">
        <v>700</v>
      </c>
      <c r="E16" s="479">
        <f t="shared" si="4"/>
        <v>8400</v>
      </c>
      <c r="F16" s="480">
        <f t="shared" si="0"/>
        <v>700</v>
      </c>
      <c r="G16" s="481">
        <v>0</v>
      </c>
      <c r="H16" s="481">
        <v>0</v>
      </c>
      <c r="I16" s="482">
        <v>0</v>
      </c>
      <c r="J16" s="479">
        <f t="shared" si="5"/>
        <v>0</v>
      </c>
      <c r="K16" s="473">
        <f t="shared" si="2"/>
        <v>9100</v>
      </c>
      <c r="L16" s="278"/>
    </row>
    <row r="17" spans="1:11" ht="26.25" customHeight="1" thickBot="1" x14ac:dyDescent="0.25">
      <c r="A17" s="451">
        <f>A16+1</f>
        <v>9</v>
      </c>
      <c r="B17" s="449"/>
      <c r="C17" s="450" t="s">
        <v>673</v>
      </c>
      <c r="D17" s="485">
        <v>700</v>
      </c>
      <c r="E17" s="486">
        <f t="shared" si="4"/>
        <v>8400</v>
      </c>
      <c r="F17" s="487">
        <f t="shared" si="0"/>
        <v>700</v>
      </c>
      <c r="G17" s="481">
        <v>0</v>
      </c>
      <c r="H17" s="481">
        <f>ROUND((E17*H$8),2)</f>
        <v>630</v>
      </c>
      <c r="I17" s="488">
        <f>ROUND((E17*I$8),2)</f>
        <v>84</v>
      </c>
      <c r="J17" s="489">
        <f t="shared" si="5"/>
        <v>714</v>
      </c>
      <c r="K17" s="473">
        <f t="shared" si="2"/>
        <v>9814</v>
      </c>
    </row>
    <row r="18" spans="1:11" ht="26.25" customHeight="1" thickBot="1" x14ac:dyDescent="0.25">
      <c r="A18" s="1253" t="s">
        <v>378</v>
      </c>
      <c r="B18" s="1254"/>
      <c r="C18" s="1255"/>
      <c r="D18" s="490">
        <f t="shared" ref="D18:K18" si="7">SUM(D9:D17)</f>
        <v>6300</v>
      </c>
      <c r="E18" s="491">
        <f t="shared" si="7"/>
        <v>75600</v>
      </c>
      <c r="F18" s="492">
        <f t="shared" si="7"/>
        <v>6300</v>
      </c>
      <c r="G18" s="490">
        <f t="shared" si="7"/>
        <v>0</v>
      </c>
      <c r="H18" s="493">
        <f t="shared" si="7"/>
        <v>3150</v>
      </c>
      <c r="I18" s="494">
        <f t="shared" si="7"/>
        <v>420</v>
      </c>
      <c r="J18" s="491">
        <f>SUM(J9:J17)</f>
        <v>3570</v>
      </c>
      <c r="K18" s="492">
        <f t="shared" si="7"/>
        <v>85470</v>
      </c>
    </row>
    <row r="19" spans="1:11" ht="26.25" customHeight="1" thickBot="1" x14ac:dyDescent="0.25">
      <c r="A19" s="1253" t="s">
        <v>663</v>
      </c>
      <c r="B19" s="1254"/>
      <c r="C19" s="1255"/>
      <c r="D19" s="490">
        <f t="shared" ref="D19:H19" si="8">SUM(D18:D18)</f>
        <v>6300</v>
      </c>
      <c r="E19" s="491">
        <f>SUM(E18:E18)</f>
        <v>75600</v>
      </c>
      <c r="F19" s="492">
        <f t="shared" si="8"/>
        <v>6300</v>
      </c>
      <c r="G19" s="490">
        <f t="shared" si="8"/>
        <v>0</v>
      </c>
      <c r="H19" s="493">
        <f t="shared" si="8"/>
        <v>3150</v>
      </c>
      <c r="I19" s="494">
        <f t="shared" ref="I19" si="9">SUM(I18:I18)</f>
        <v>420</v>
      </c>
      <c r="J19" s="491">
        <f>SUM(J18:J18)</f>
        <v>3570</v>
      </c>
      <c r="K19" s="492">
        <f>SUM(K18:K18)</f>
        <v>85470</v>
      </c>
    </row>
    <row r="21" spans="1:11" x14ac:dyDescent="0.2">
      <c r="G21" s="139"/>
      <c r="H21" s="139"/>
      <c r="I21" s="139"/>
      <c r="K21" s="113">
        <f>'PLLA MUNICIPAL HONORARIOS'!J26+'PLLA MUNICIPAL LEY SAL'!S83+'PLLA DIETAS'!K19</f>
        <v>456554.7</v>
      </c>
    </row>
    <row r="23" spans="1:11" x14ac:dyDescent="0.2">
      <c r="G23"/>
    </row>
    <row r="25" spans="1:11" x14ac:dyDescent="0.2">
      <c r="F25" s="139"/>
      <c r="G25" s="139"/>
      <c r="H25" s="139"/>
      <c r="I25" s="139"/>
      <c r="J25" s="139"/>
    </row>
    <row r="27" spans="1:11" x14ac:dyDescent="0.2">
      <c r="F27" s="139"/>
      <c r="G27" s="139"/>
      <c r="H27" s="139"/>
      <c r="I27" s="139"/>
      <c r="J27" s="139"/>
    </row>
  </sheetData>
  <mergeCells count="16">
    <mergeCell ref="A19:C19"/>
    <mergeCell ref="G5:J5"/>
    <mergeCell ref="D5:E6"/>
    <mergeCell ref="A1:K1"/>
    <mergeCell ref="A2:K2"/>
    <mergeCell ref="K5:K8"/>
    <mergeCell ref="A5:A8"/>
    <mergeCell ref="C5:C8"/>
    <mergeCell ref="F5:F8"/>
    <mergeCell ref="D7:D8"/>
    <mergeCell ref="E7:E8"/>
    <mergeCell ref="J6:J8"/>
    <mergeCell ref="A18:C18"/>
    <mergeCell ref="A3:K3"/>
    <mergeCell ref="B5:B8"/>
    <mergeCell ref="I6:I7"/>
  </mergeCells>
  <phoneticPr fontId="0" type="noConversion"/>
  <pageMargins left="0.23622047244094491" right="0.15748031496062992" top="1.0629921259842521" bottom="0.98425196850393704" header="1.6929133858267718" footer="0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2:K225"/>
  <sheetViews>
    <sheetView showGridLines="0" tabSelected="1" topLeftCell="A199" zoomScaleNormal="100" workbookViewId="0">
      <selection activeCell="F217" sqref="F217"/>
    </sheetView>
  </sheetViews>
  <sheetFormatPr baseColWidth="10" defaultRowHeight="12.75" x14ac:dyDescent="0.2"/>
  <cols>
    <col min="1" max="1" width="6.140625" style="512" customWidth="1"/>
    <col min="2" max="2" width="48.85546875" style="512" customWidth="1"/>
    <col min="3" max="3" width="15.5703125" style="567" customWidth="1"/>
    <col min="4" max="4" width="15.42578125" style="567" customWidth="1"/>
    <col min="5" max="5" width="13.7109375" style="567" customWidth="1"/>
    <col min="6" max="6" width="14.42578125" style="567" customWidth="1"/>
    <col min="7" max="7" width="14" style="567" bestFit="1" customWidth="1"/>
    <col min="8" max="8" width="15.140625" style="97" customWidth="1"/>
    <col min="9" max="9" width="12.28515625" style="190" bestFit="1" customWidth="1"/>
    <col min="10" max="10" width="12.28515625" bestFit="1" customWidth="1"/>
  </cols>
  <sheetData>
    <row r="2" spans="1:11" x14ac:dyDescent="0.2">
      <c r="A2" s="1270" t="s">
        <v>568</v>
      </c>
      <c r="B2" s="1270"/>
      <c r="C2" s="1270"/>
      <c r="D2" s="1270"/>
      <c r="E2" s="1270"/>
      <c r="F2" s="1270"/>
      <c r="G2" s="1270"/>
    </row>
    <row r="3" spans="1:11" x14ac:dyDescent="0.2">
      <c r="A3" s="1270" t="s">
        <v>101</v>
      </c>
      <c r="B3" s="1270"/>
      <c r="C3" s="1270"/>
      <c r="D3" s="1270"/>
      <c r="E3" s="1270"/>
      <c r="F3" s="1270"/>
      <c r="G3" s="1270"/>
    </row>
    <row r="4" spans="1:11" x14ac:dyDescent="0.2">
      <c r="A4" s="1270" t="s">
        <v>102</v>
      </c>
      <c r="B4" s="1270"/>
      <c r="C4" s="1270"/>
      <c r="D4" s="1270"/>
      <c r="E4" s="1270"/>
      <c r="F4" s="1270"/>
      <c r="G4" s="1270"/>
    </row>
    <row r="5" spans="1:11" x14ac:dyDescent="0.2">
      <c r="A5" s="1270" t="s">
        <v>450</v>
      </c>
      <c r="B5" s="1270"/>
      <c r="C5" s="1270"/>
      <c r="D5" s="1270"/>
      <c r="E5" s="1270"/>
      <c r="F5" s="1270"/>
      <c r="G5" s="1270"/>
    </row>
    <row r="6" spans="1:11" x14ac:dyDescent="0.2">
      <c r="A6" s="1270" t="s">
        <v>767</v>
      </c>
      <c r="B6" s="1270"/>
      <c r="C6" s="1270"/>
      <c r="D6" s="1270"/>
      <c r="E6" s="1270"/>
      <c r="F6" s="1270"/>
      <c r="G6" s="1270"/>
    </row>
    <row r="7" spans="1:11" ht="13.5" thickBot="1" x14ac:dyDescent="0.25">
      <c r="B7" s="566"/>
      <c r="H7" s="96"/>
    </row>
    <row r="8" spans="1:11" ht="13.5" thickBot="1" x14ac:dyDescent="0.25">
      <c r="A8" s="1271" t="s">
        <v>569</v>
      </c>
      <c r="B8" s="1271" t="s">
        <v>14</v>
      </c>
      <c r="C8" s="1274" t="s">
        <v>104</v>
      </c>
      <c r="D8" s="1275"/>
      <c r="E8" s="1275"/>
      <c r="F8" s="1275"/>
      <c r="G8" s="1276"/>
    </row>
    <row r="9" spans="1:11" ht="12.75" customHeight="1" x14ac:dyDescent="0.2">
      <c r="A9" s="1272"/>
      <c r="B9" s="1272"/>
      <c r="C9" s="1268" t="s">
        <v>503</v>
      </c>
      <c r="D9" s="1268" t="s">
        <v>504</v>
      </c>
      <c r="E9" s="1268" t="s">
        <v>107</v>
      </c>
      <c r="F9" s="1268" t="s">
        <v>186</v>
      </c>
      <c r="G9" s="1268" t="s">
        <v>4</v>
      </c>
    </row>
    <row r="10" spans="1:11" ht="39.75" customHeight="1" thickBot="1" x14ac:dyDescent="0.25">
      <c r="A10" s="1273"/>
      <c r="B10" s="1273"/>
      <c r="C10" s="1269"/>
      <c r="D10" s="1269"/>
      <c r="E10" s="1269"/>
      <c r="F10" s="1269"/>
      <c r="G10" s="1269"/>
    </row>
    <row r="11" spans="1:11" x14ac:dyDescent="0.2">
      <c r="A11" s="568">
        <v>54</v>
      </c>
      <c r="B11" s="569" t="s">
        <v>27</v>
      </c>
      <c r="C11" s="570">
        <f>C12+C32+C38+C54+C59</f>
        <v>17667.5</v>
      </c>
      <c r="D11" s="571">
        <f>D12+D32+D38+D54</f>
        <v>6600</v>
      </c>
      <c r="E11" s="571">
        <f>E12+E32+E38+E54</f>
        <v>1300</v>
      </c>
      <c r="F11" s="572">
        <f>F12+F32+F38+F54</f>
        <v>165636.85</v>
      </c>
      <c r="G11" s="571">
        <f>G12+G32+G38+G54+G59</f>
        <v>191204.35</v>
      </c>
      <c r="H11" s="96"/>
    </row>
    <row r="12" spans="1:11" x14ac:dyDescent="0.2">
      <c r="A12" s="573">
        <v>541</v>
      </c>
      <c r="B12" s="574" t="s">
        <v>28</v>
      </c>
      <c r="C12" s="575">
        <f>SUM(C13:C31)</f>
        <v>5050</v>
      </c>
      <c r="D12" s="576">
        <f>SUM(D13:D31)</f>
        <v>6150</v>
      </c>
      <c r="E12" s="576">
        <f>SUM(E13:E31)</f>
        <v>1200</v>
      </c>
      <c r="F12" s="577">
        <f>SUM(F13:F31)</f>
        <v>4800</v>
      </c>
      <c r="G12" s="576">
        <f>SUM(C12:F12)</f>
        <v>17200</v>
      </c>
      <c r="H12" s="96"/>
      <c r="I12" s="191"/>
    </row>
    <row r="13" spans="1:11" x14ac:dyDescent="0.2">
      <c r="A13" s="578">
        <v>54101</v>
      </c>
      <c r="B13" s="579" t="s">
        <v>29</v>
      </c>
      <c r="C13" s="840">
        <v>50</v>
      </c>
      <c r="D13" s="841">
        <v>0</v>
      </c>
      <c r="E13" s="841">
        <v>0</v>
      </c>
      <c r="F13" s="842">
        <v>0</v>
      </c>
      <c r="G13" s="583">
        <f>SUM(C13:F13)</f>
        <v>50</v>
      </c>
      <c r="H13" s="96"/>
      <c r="J13" s="2"/>
      <c r="K13" s="2"/>
    </row>
    <row r="14" spans="1:11" x14ac:dyDescent="0.2">
      <c r="A14" s="578">
        <v>54103</v>
      </c>
      <c r="B14" s="579" t="s">
        <v>30</v>
      </c>
      <c r="C14" s="840">
        <v>0</v>
      </c>
      <c r="D14" s="841">
        <v>0</v>
      </c>
      <c r="E14" s="841">
        <v>0</v>
      </c>
      <c r="F14" s="842">
        <v>0</v>
      </c>
      <c r="G14" s="583">
        <f>+C14+F14</f>
        <v>0</v>
      </c>
      <c r="H14" s="96"/>
    </row>
    <row r="15" spans="1:11" x14ac:dyDescent="0.2">
      <c r="A15" s="578">
        <v>54104</v>
      </c>
      <c r="B15" s="579" t="s">
        <v>31</v>
      </c>
      <c r="C15" s="840">
        <v>0</v>
      </c>
      <c r="D15" s="841">
        <v>0</v>
      </c>
      <c r="E15" s="841">
        <v>0</v>
      </c>
      <c r="F15" s="842">
        <v>0</v>
      </c>
      <c r="G15" s="583">
        <f t="shared" ref="G15:G31" si="0">SUM(C15:F15)</f>
        <v>0</v>
      </c>
      <c r="H15" s="96"/>
    </row>
    <row r="16" spans="1:11" x14ac:dyDescent="0.2">
      <c r="A16" s="578">
        <v>54105</v>
      </c>
      <c r="B16" s="579" t="s">
        <v>32</v>
      </c>
      <c r="C16" s="840">
        <v>400</v>
      </c>
      <c r="D16" s="841">
        <v>1500</v>
      </c>
      <c r="E16" s="841">
        <v>450</v>
      </c>
      <c r="F16" s="842">
        <v>150</v>
      </c>
      <c r="G16" s="583">
        <f t="shared" si="0"/>
        <v>2500</v>
      </c>
      <c r="H16" s="96"/>
    </row>
    <row r="17" spans="1:8" hidden="1" x14ac:dyDescent="0.2">
      <c r="A17" s="578">
        <v>54106</v>
      </c>
      <c r="B17" s="579" t="s">
        <v>33</v>
      </c>
      <c r="C17" s="840"/>
      <c r="D17" s="841"/>
      <c r="E17" s="841"/>
      <c r="F17" s="842"/>
      <c r="G17" s="583">
        <f t="shared" si="0"/>
        <v>0</v>
      </c>
      <c r="H17" s="96"/>
    </row>
    <row r="18" spans="1:8" x14ac:dyDescent="0.2">
      <c r="A18" s="578">
        <v>54107</v>
      </c>
      <c r="B18" s="579" t="s">
        <v>34</v>
      </c>
      <c r="C18" s="840">
        <v>100</v>
      </c>
      <c r="D18" s="841">
        <v>0</v>
      </c>
      <c r="E18" s="841">
        <v>0</v>
      </c>
      <c r="F18" s="842">
        <v>1000</v>
      </c>
      <c r="G18" s="583">
        <f t="shared" si="0"/>
        <v>1100</v>
      </c>
      <c r="H18" s="96"/>
    </row>
    <row r="19" spans="1:8" x14ac:dyDescent="0.2">
      <c r="A19" s="578">
        <v>54108</v>
      </c>
      <c r="B19" s="579" t="s">
        <v>35</v>
      </c>
      <c r="C19" s="840">
        <v>0</v>
      </c>
      <c r="D19" s="841">
        <v>0</v>
      </c>
      <c r="E19" s="841">
        <v>0</v>
      </c>
      <c r="F19" s="842">
        <v>0</v>
      </c>
      <c r="G19" s="583">
        <f t="shared" si="0"/>
        <v>0</v>
      </c>
      <c r="H19" s="96"/>
    </row>
    <row r="20" spans="1:8" x14ac:dyDescent="0.2">
      <c r="A20" s="578">
        <v>54109</v>
      </c>
      <c r="B20" s="579" t="s">
        <v>36</v>
      </c>
      <c r="C20" s="840">
        <v>1000</v>
      </c>
      <c r="D20" s="841">
        <v>0</v>
      </c>
      <c r="E20" s="841">
        <v>0</v>
      </c>
      <c r="F20" s="842">
        <v>1200</v>
      </c>
      <c r="G20" s="583">
        <f t="shared" si="0"/>
        <v>2200</v>
      </c>
      <c r="H20" s="96"/>
    </row>
    <row r="21" spans="1:8" x14ac:dyDescent="0.2">
      <c r="A21" s="578">
        <v>54110</v>
      </c>
      <c r="B21" s="579" t="s">
        <v>37</v>
      </c>
      <c r="C21" s="840">
        <v>2000</v>
      </c>
      <c r="D21" s="841">
        <v>0</v>
      </c>
      <c r="E21" s="841">
        <v>0</v>
      </c>
      <c r="F21" s="842">
        <v>1000</v>
      </c>
      <c r="G21" s="583">
        <f t="shared" si="0"/>
        <v>3000</v>
      </c>
      <c r="H21" s="96"/>
    </row>
    <row r="22" spans="1:8" x14ac:dyDescent="0.2">
      <c r="A22" s="578">
        <v>54111</v>
      </c>
      <c r="B22" s="579" t="s">
        <v>38</v>
      </c>
      <c r="C22" s="840">
        <v>0</v>
      </c>
      <c r="D22" s="841">
        <v>0</v>
      </c>
      <c r="E22" s="841">
        <v>0</v>
      </c>
      <c r="F22" s="842">
        <v>0</v>
      </c>
      <c r="G22" s="583">
        <f t="shared" si="0"/>
        <v>0</v>
      </c>
      <c r="H22" s="96"/>
    </row>
    <row r="23" spans="1:8" x14ac:dyDescent="0.2">
      <c r="A23" s="578">
        <v>54112</v>
      </c>
      <c r="B23" s="579" t="s">
        <v>39</v>
      </c>
      <c r="C23" s="840">
        <v>0</v>
      </c>
      <c r="D23" s="841">
        <v>0</v>
      </c>
      <c r="E23" s="841">
        <v>0</v>
      </c>
      <c r="F23" s="842">
        <v>0</v>
      </c>
      <c r="G23" s="583">
        <f t="shared" si="0"/>
        <v>0</v>
      </c>
      <c r="H23" s="96"/>
    </row>
    <row r="24" spans="1:8" x14ac:dyDescent="0.2">
      <c r="A24" s="578">
        <v>54114</v>
      </c>
      <c r="B24" s="579" t="s">
        <v>40</v>
      </c>
      <c r="C24" s="840">
        <v>100</v>
      </c>
      <c r="D24" s="841">
        <v>450</v>
      </c>
      <c r="E24" s="841">
        <v>250</v>
      </c>
      <c r="F24" s="842">
        <v>200</v>
      </c>
      <c r="G24" s="583">
        <f t="shared" si="0"/>
        <v>1000</v>
      </c>
      <c r="H24" s="96"/>
    </row>
    <row r="25" spans="1:8" x14ac:dyDescent="0.2">
      <c r="A25" s="578">
        <v>54115</v>
      </c>
      <c r="B25" s="579" t="s">
        <v>41</v>
      </c>
      <c r="C25" s="840">
        <v>100</v>
      </c>
      <c r="D25" s="841">
        <v>500</v>
      </c>
      <c r="E25" s="841">
        <v>400</v>
      </c>
      <c r="F25" s="842">
        <v>50</v>
      </c>
      <c r="G25" s="583">
        <f t="shared" si="0"/>
        <v>1050</v>
      </c>
      <c r="H25" s="96"/>
    </row>
    <row r="26" spans="1:8" x14ac:dyDescent="0.2">
      <c r="A26" s="578">
        <v>54116</v>
      </c>
      <c r="B26" s="579" t="s">
        <v>42</v>
      </c>
      <c r="C26" s="840">
        <v>100</v>
      </c>
      <c r="D26" s="841">
        <v>0</v>
      </c>
      <c r="E26" s="841">
        <v>0</v>
      </c>
      <c r="F26" s="842">
        <v>0</v>
      </c>
      <c r="G26" s="583">
        <f t="shared" si="0"/>
        <v>100</v>
      </c>
      <c r="H26" s="96"/>
    </row>
    <row r="27" spans="1:8" hidden="1" x14ac:dyDescent="0.2">
      <c r="A27" s="578">
        <v>54117</v>
      </c>
      <c r="B27" s="579" t="s">
        <v>43</v>
      </c>
      <c r="C27" s="840"/>
      <c r="D27" s="841"/>
      <c r="E27" s="841"/>
      <c r="F27" s="842"/>
      <c r="G27" s="583">
        <f t="shared" si="0"/>
        <v>0</v>
      </c>
      <c r="H27" s="96"/>
    </row>
    <row r="28" spans="1:8" x14ac:dyDescent="0.2">
      <c r="A28" s="578">
        <v>54118</v>
      </c>
      <c r="B28" s="579" t="s">
        <v>44</v>
      </c>
      <c r="C28" s="840">
        <v>100</v>
      </c>
      <c r="D28" s="841">
        <v>0</v>
      </c>
      <c r="E28" s="841">
        <v>0</v>
      </c>
      <c r="F28" s="842">
        <v>1000</v>
      </c>
      <c r="G28" s="583">
        <f t="shared" si="0"/>
        <v>1100</v>
      </c>
      <c r="H28" s="96"/>
    </row>
    <row r="29" spans="1:8" x14ac:dyDescent="0.2">
      <c r="A29" s="578">
        <v>54119</v>
      </c>
      <c r="B29" s="579" t="s">
        <v>45</v>
      </c>
      <c r="C29" s="840">
        <v>100</v>
      </c>
      <c r="D29" s="841">
        <v>0</v>
      </c>
      <c r="E29" s="841">
        <v>0</v>
      </c>
      <c r="F29" s="842">
        <v>100</v>
      </c>
      <c r="G29" s="583">
        <f t="shared" si="0"/>
        <v>200</v>
      </c>
      <c r="H29" s="96"/>
    </row>
    <row r="30" spans="1:8" x14ac:dyDescent="0.2">
      <c r="A30" s="578">
        <v>54121</v>
      </c>
      <c r="B30" s="579" t="s">
        <v>46</v>
      </c>
      <c r="C30" s="840">
        <v>0</v>
      </c>
      <c r="D30" s="841">
        <f>4000-350</f>
        <v>3650</v>
      </c>
      <c r="E30" s="841">
        <v>0</v>
      </c>
      <c r="F30" s="842">
        <v>0</v>
      </c>
      <c r="G30" s="583">
        <f t="shared" si="0"/>
        <v>3650</v>
      </c>
      <c r="H30" s="96"/>
    </row>
    <row r="31" spans="1:8" x14ac:dyDescent="0.2">
      <c r="A31" s="578">
        <v>54199</v>
      </c>
      <c r="B31" s="579" t="s">
        <v>47</v>
      </c>
      <c r="C31" s="840">
        <v>1000</v>
      </c>
      <c r="D31" s="841">
        <v>50</v>
      </c>
      <c r="E31" s="841">
        <v>100</v>
      </c>
      <c r="F31" s="842">
        <f>100</f>
        <v>100</v>
      </c>
      <c r="G31" s="583">
        <f t="shared" si="0"/>
        <v>1250</v>
      </c>
      <c r="H31" s="96"/>
    </row>
    <row r="32" spans="1:8" x14ac:dyDescent="0.2">
      <c r="A32" s="573">
        <v>542</v>
      </c>
      <c r="B32" s="574" t="s">
        <v>48</v>
      </c>
      <c r="C32" s="843">
        <f>SUM(C33:C37)</f>
        <v>9217.5</v>
      </c>
      <c r="D32" s="844">
        <f>SUM(D33:D37)</f>
        <v>0</v>
      </c>
      <c r="E32" s="844">
        <f>SUM(E33:E37)</f>
        <v>0</v>
      </c>
      <c r="F32" s="845">
        <f>SUM(F33:F37)</f>
        <v>159236.85</v>
      </c>
      <c r="G32" s="576">
        <f t="shared" ref="G32:G37" si="1">SUM(C32:F32)</f>
        <v>168454.35</v>
      </c>
      <c r="H32" s="96"/>
    </row>
    <row r="33" spans="1:10" x14ac:dyDescent="0.2">
      <c r="A33" s="578">
        <v>54201</v>
      </c>
      <c r="B33" s="579" t="s">
        <v>49</v>
      </c>
      <c r="C33" s="840">
        <f>3000</f>
        <v>3000</v>
      </c>
      <c r="D33" s="841">
        <v>0</v>
      </c>
      <c r="E33" s="841">
        <v>0</v>
      </c>
      <c r="F33" s="842">
        <f>103749.5+37938.39-4251+917.19</f>
        <v>138354.08000000002</v>
      </c>
      <c r="G33" s="583">
        <f t="shared" si="1"/>
        <v>141354.08000000002</v>
      </c>
      <c r="H33" s="567"/>
    </row>
    <row r="34" spans="1:10" x14ac:dyDescent="0.2">
      <c r="A34" s="578">
        <v>54202</v>
      </c>
      <c r="B34" s="579" t="s">
        <v>50</v>
      </c>
      <c r="C34" s="840">
        <v>717.5</v>
      </c>
      <c r="D34" s="841">
        <v>0</v>
      </c>
      <c r="E34" s="841">
        <v>0</v>
      </c>
      <c r="F34" s="842">
        <v>1000</v>
      </c>
      <c r="G34" s="583">
        <f t="shared" si="1"/>
        <v>1717.5</v>
      </c>
      <c r="H34" s="96"/>
    </row>
    <row r="35" spans="1:10" x14ac:dyDescent="0.2">
      <c r="A35" s="578">
        <v>54203</v>
      </c>
      <c r="B35" s="579" t="s">
        <v>51</v>
      </c>
      <c r="C35" s="840">
        <v>5500</v>
      </c>
      <c r="D35" s="841">
        <v>0</v>
      </c>
      <c r="E35" s="841">
        <v>0</v>
      </c>
      <c r="F35" s="842">
        <v>500</v>
      </c>
      <c r="G35" s="583">
        <f t="shared" si="1"/>
        <v>6000</v>
      </c>
      <c r="H35" s="96"/>
    </row>
    <row r="36" spans="1:10" ht="12.75" hidden="1" customHeight="1" x14ac:dyDescent="0.2">
      <c r="A36" s="578">
        <v>54204</v>
      </c>
      <c r="B36" s="579" t="s">
        <v>52</v>
      </c>
      <c r="C36" s="840"/>
      <c r="D36" s="841"/>
      <c r="E36" s="841"/>
      <c r="F36" s="842"/>
      <c r="G36" s="583">
        <f t="shared" si="1"/>
        <v>0</v>
      </c>
    </row>
    <row r="37" spans="1:10" x14ac:dyDescent="0.2">
      <c r="A37" s="578">
        <v>54205</v>
      </c>
      <c r="B37" s="579" t="s">
        <v>53</v>
      </c>
      <c r="C37" s="840">
        <v>0</v>
      </c>
      <c r="D37" s="841">
        <v>0</v>
      </c>
      <c r="E37" s="841">
        <v>0</v>
      </c>
      <c r="F37" s="842">
        <f>20000-617.23</f>
        <v>19382.77</v>
      </c>
      <c r="G37" s="583">
        <f t="shared" si="1"/>
        <v>19382.77</v>
      </c>
      <c r="H37" s="96"/>
      <c r="J37" s="2"/>
    </row>
    <row r="38" spans="1:10" x14ac:dyDescent="0.2">
      <c r="A38" s="573">
        <v>543</v>
      </c>
      <c r="B38" s="574" t="s">
        <v>54</v>
      </c>
      <c r="C38" s="843">
        <f>SUM(C39:C53)</f>
        <v>3400</v>
      </c>
      <c r="D38" s="844">
        <f>SUM(D39:D53)</f>
        <v>450</v>
      </c>
      <c r="E38" s="844">
        <f>SUM(E39:E53)</f>
        <v>100</v>
      </c>
      <c r="F38" s="845">
        <f>SUM(F39:F53)</f>
        <v>1600</v>
      </c>
      <c r="G38" s="576">
        <f>SUM(G39:G53)</f>
        <v>5550</v>
      </c>
      <c r="H38" s="96"/>
    </row>
    <row r="39" spans="1:10" x14ac:dyDescent="0.2">
      <c r="A39" s="578">
        <v>54301</v>
      </c>
      <c r="B39" s="579" t="s">
        <v>55</v>
      </c>
      <c r="C39" s="840">
        <v>500</v>
      </c>
      <c r="D39" s="841">
        <v>350</v>
      </c>
      <c r="E39" s="841">
        <v>100</v>
      </c>
      <c r="F39" s="842">
        <v>100</v>
      </c>
      <c r="G39" s="583">
        <f>SUM(C39:F39)</f>
        <v>1050</v>
      </c>
      <c r="H39" s="96"/>
    </row>
    <row r="40" spans="1:10" x14ac:dyDescent="0.2">
      <c r="A40" s="578">
        <v>54302</v>
      </c>
      <c r="B40" s="579" t="s">
        <v>56</v>
      </c>
      <c r="C40" s="840">
        <v>1500</v>
      </c>
      <c r="D40" s="841">
        <v>0</v>
      </c>
      <c r="E40" s="841">
        <v>0</v>
      </c>
      <c r="F40" s="842">
        <v>1500</v>
      </c>
      <c r="G40" s="583">
        <f t="shared" ref="G40:G53" si="2">SUM(C40:F40)</f>
        <v>3000</v>
      </c>
      <c r="H40" s="96"/>
    </row>
    <row r="41" spans="1:10" hidden="1" x14ac:dyDescent="0.2">
      <c r="A41" s="578">
        <v>54303</v>
      </c>
      <c r="B41" s="579" t="s">
        <v>57</v>
      </c>
      <c r="C41" s="840">
        <v>0</v>
      </c>
      <c r="D41" s="841">
        <v>0</v>
      </c>
      <c r="E41" s="841">
        <v>0</v>
      </c>
      <c r="F41" s="842">
        <v>0</v>
      </c>
      <c r="G41" s="583">
        <f t="shared" si="2"/>
        <v>0</v>
      </c>
      <c r="H41" s="96"/>
    </row>
    <row r="42" spans="1:10" x14ac:dyDescent="0.2">
      <c r="A42" s="578">
        <v>54304</v>
      </c>
      <c r="B42" s="579" t="s">
        <v>58</v>
      </c>
      <c r="C42" s="840">
        <v>0</v>
      </c>
      <c r="D42" s="841">
        <v>0</v>
      </c>
      <c r="E42" s="841">
        <v>0</v>
      </c>
      <c r="F42" s="842">
        <v>0</v>
      </c>
      <c r="G42" s="583">
        <f>SUM(C42:F42)</f>
        <v>0</v>
      </c>
      <c r="H42" s="96"/>
    </row>
    <row r="43" spans="1:10" hidden="1" x14ac:dyDescent="0.2">
      <c r="A43" s="578">
        <v>54305</v>
      </c>
      <c r="B43" s="579" t="s">
        <v>59</v>
      </c>
      <c r="C43" s="840">
        <v>0</v>
      </c>
      <c r="D43" s="841">
        <v>0</v>
      </c>
      <c r="E43" s="841">
        <v>0</v>
      </c>
      <c r="F43" s="842">
        <v>0</v>
      </c>
      <c r="G43" s="583">
        <f t="shared" si="2"/>
        <v>0</v>
      </c>
      <c r="H43" s="96"/>
    </row>
    <row r="44" spans="1:10" hidden="1" x14ac:dyDescent="0.2">
      <c r="A44" s="578">
        <v>54306</v>
      </c>
      <c r="B44" s="579" t="s">
        <v>60</v>
      </c>
      <c r="C44" s="840">
        <v>0</v>
      </c>
      <c r="D44" s="841">
        <v>0</v>
      </c>
      <c r="E44" s="841">
        <v>0</v>
      </c>
      <c r="F44" s="842">
        <v>0</v>
      </c>
      <c r="G44" s="583">
        <f t="shared" si="2"/>
        <v>0</v>
      </c>
      <c r="H44" s="96"/>
    </row>
    <row r="45" spans="1:10" x14ac:dyDescent="0.2">
      <c r="A45" s="578">
        <v>54307</v>
      </c>
      <c r="B45" s="579" t="s">
        <v>61</v>
      </c>
      <c r="C45" s="840">
        <v>1200</v>
      </c>
      <c r="D45" s="841">
        <v>0</v>
      </c>
      <c r="E45" s="841">
        <v>0</v>
      </c>
      <c r="F45" s="842">
        <v>0</v>
      </c>
      <c r="G45" s="583">
        <f t="shared" si="2"/>
        <v>1200</v>
      </c>
      <c r="H45" s="96"/>
    </row>
    <row r="46" spans="1:10" hidden="1" x14ac:dyDescent="0.2">
      <c r="A46" s="578">
        <v>54309</v>
      </c>
      <c r="B46" s="579" t="s">
        <v>62</v>
      </c>
      <c r="C46" s="840"/>
      <c r="D46" s="841">
        <v>0</v>
      </c>
      <c r="E46" s="841">
        <v>0</v>
      </c>
      <c r="F46" s="842">
        <v>0</v>
      </c>
      <c r="G46" s="583">
        <f t="shared" si="2"/>
        <v>0</v>
      </c>
      <c r="H46" s="96"/>
    </row>
    <row r="47" spans="1:10" hidden="1" x14ac:dyDescent="0.2">
      <c r="A47" s="578">
        <v>54310</v>
      </c>
      <c r="B47" s="579" t="s">
        <v>63</v>
      </c>
      <c r="C47" s="840"/>
      <c r="D47" s="841">
        <v>0</v>
      </c>
      <c r="E47" s="841">
        <v>0</v>
      </c>
      <c r="F47" s="842">
        <v>0</v>
      </c>
      <c r="G47" s="583">
        <f t="shared" si="2"/>
        <v>0</v>
      </c>
      <c r="H47" s="96"/>
    </row>
    <row r="48" spans="1:10" hidden="1" x14ac:dyDescent="0.2">
      <c r="A48" s="578">
        <v>54311</v>
      </c>
      <c r="B48" s="579" t="s">
        <v>64</v>
      </c>
      <c r="C48" s="840"/>
      <c r="D48" s="841">
        <v>0</v>
      </c>
      <c r="E48" s="841">
        <v>0</v>
      </c>
      <c r="F48" s="842">
        <v>0</v>
      </c>
      <c r="G48" s="583">
        <f t="shared" si="2"/>
        <v>0</v>
      </c>
      <c r="H48" s="96"/>
    </row>
    <row r="49" spans="1:8" hidden="1" x14ac:dyDescent="0.2">
      <c r="A49" s="578">
        <v>54313</v>
      </c>
      <c r="B49" s="579" t="s">
        <v>65</v>
      </c>
      <c r="C49" s="840"/>
      <c r="D49" s="841">
        <v>0</v>
      </c>
      <c r="E49" s="841">
        <v>0</v>
      </c>
      <c r="F49" s="842">
        <v>0</v>
      </c>
      <c r="G49" s="583">
        <f t="shared" si="2"/>
        <v>0</v>
      </c>
      <c r="H49" s="96"/>
    </row>
    <row r="50" spans="1:8" x14ac:dyDescent="0.2">
      <c r="A50" s="578">
        <v>54314</v>
      </c>
      <c r="B50" s="579" t="s">
        <v>66</v>
      </c>
      <c r="C50" s="840">
        <v>100</v>
      </c>
      <c r="D50" s="841">
        <v>0</v>
      </c>
      <c r="E50" s="841">
        <v>0</v>
      </c>
      <c r="F50" s="842">
        <v>0</v>
      </c>
      <c r="G50" s="583">
        <f t="shared" si="2"/>
        <v>100</v>
      </c>
      <c r="H50" s="96"/>
    </row>
    <row r="51" spans="1:8" hidden="1" x14ac:dyDescent="0.2">
      <c r="A51" s="578">
        <v>54316</v>
      </c>
      <c r="B51" s="579" t="s">
        <v>67</v>
      </c>
      <c r="C51" s="840">
        <v>0</v>
      </c>
      <c r="D51" s="841">
        <v>0</v>
      </c>
      <c r="E51" s="841">
        <v>0</v>
      </c>
      <c r="F51" s="842">
        <v>0</v>
      </c>
      <c r="G51" s="583">
        <f t="shared" si="2"/>
        <v>0</v>
      </c>
      <c r="H51" s="96"/>
    </row>
    <row r="52" spans="1:8" x14ac:dyDescent="0.2">
      <c r="A52" s="578">
        <v>54317</v>
      </c>
      <c r="B52" s="579" t="s">
        <v>68</v>
      </c>
      <c r="C52" s="840">
        <v>0</v>
      </c>
      <c r="D52" s="841">
        <v>0</v>
      </c>
      <c r="E52" s="841">
        <v>0</v>
      </c>
      <c r="F52" s="842">
        <v>0</v>
      </c>
      <c r="G52" s="583">
        <f t="shared" si="2"/>
        <v>0</v>
      </c>
      <c r="H52" s="96"/>
    </row>
    <row r="53" spans="1:8" x14ac:dyDescent="0.2">
      <c r="A53" s="578">
        <v>54399</v>
      </c>
      <c r="B53" s="579" t="s">
        <v>69</v>
      </c>
      <c r="C53" s="840">
        <v>100</v>
      </c>
      <c r="D53" s="841">
        <v>100</v>
      </c>
      <c r="E53" s="841">
        <v>0</v>
      </c>
      <c r="F53" s="842">
        <v>0</v>
      </c>
      <c r="G53" s="583">
        <f t="shared" si="2"/>
        <v>200</v>
      </c>
      <c r="H53" s="96"/>
    </row>
    <row r="54" spans="1:8" x14ac:dyDescent="0.2">
      <c r="A54" s="573">
        <v>544</v>
      </c>
      <c r="B54" s="574" t="s">
        <v>70</v>
      </c>
      <c r="C54" s="843">
        <f>SUM(C55:C58)</f>
        <v>0</v>
      </c>
      <c r="D54" s="844">
        <f>SUM(D55:D58)</f>
        <v>0</v>
      </c>
      <c r="E54" s="844">
        <f>SUM(E55:E58)</f>
        <v>0</v>
      </c>
      <c r="F54" s="845">
        <f>SUM(F55:F58)</f>
        <v>0</v>
      </c>
      <c r="G54" s="576">
        <f>SUM(G55:G58)</f>
        <v>0</v>
      </c>
      <c r="H54" s="96"/>
    </row>
    <row r="55" spans="1:8" x14ac:dyDescent="0.2">
      <c r="A55" s="578">
        <v>54401</v>
      </c>
      <c r="B55" s="579" t="s">
        <v>71</v>
      </c>
      <c r="C55" s="840">
        <v>0</v>
      </c>
      <c r="D55" s="841">
        <v>0</v>
      </c>
      <c r="E55" s="841">
        <v>0</v>
      </c>
      <c r="F55" s="842">
        <v>0</v>
      </c>
      <c r="G55" s="583">
        <f>SUM(C55:F55)</f>
        <v>0</v>
      </c>
      <c r="H55" s="96"/>
    </row>
    <row r="56" spans="1:8" x14ac:dyDescent="0.2">
      <c r="A56" s="578">
        <v>54402</v>
      </c>
      <c r="B56" s="579" t="s">
        <v>72</v>
      </c>
      <c r="C56" s="840">
        <v>0</v>
      </c>
      <c r="D56" s="841">
        <v>0</v>
      </c>
      <c r="E56" s="841">
        <v>0</v>
      </c>
      <c r="F56" s="842">
        <v>0</v>
      </c>
      <c r="G56" s="583">
        <f t="shared" ref="G56:G66" si="3">+C56+F56</f>
        <v>0</v>
      </c>
      <c r="H56" s="96"/>
    </row>
    <row r="57" spans="1:8" x14ac:dyDescent="0.2">
      <c r="A57" s="578">
        <v>54403</v>
      </c>
      <c r="B57" s="579" t="s">
        <v>73</v>
      </c>
      <c r="C57" s="840">
        <v>0</v>
      </c>
      <c r="D57" s="841">
        <v>0</v>
      </c>
      <c r="E57" s="841">
        <v>0</v>
      </c>
      <c r="F57" s="842">
        <v>0</v>
      </c>
      <c r="G57" s="583">
        <f>SUM(C57:F57)</f>
        <v>0</v>
      </c>
      <c r="H57" s="96"/>
    </row>
    <row r="58" spans="1:8" x14ac:dyDescent="0.2">
      <c r="A58" s="578">
        <v>54404</v>
      </c>
      <c r="B58" s="579" t="s">
        <v>74</v>
      </c>
      <c r="C58" s="985">
        <v>0</v>
      </c>
      <c r="D58" s="986">
        <v>0</v>
      </c>
      <c r="E58" s="986">
        <v>0</v>
      </c>
      <c r="F58" s="987">
        <v>0</v>
      </c>
      <c r="G58" s="986">
        <v>0</v>
      </c>
      <c r="H58" s="96"/>
    </row>
    <row r="59" spans="1:8" hidden="1" x14ac:dyDescent="0.2">
      <c r="A59" s="573">
        <v>545</v>
      </c>
      <c r="B59" s="574" t="s">
        <v>75</v>
      </c>
      <c r="C59" s="575">
        <f>+C61</f>
        <v>0</v>
      </c>
      <c r="D59" s="576">
        <v>0</v>
      </c>
      <c r="E59" s="576">
        <v>0</v>
      </c>
      <c r="F59" s="577">
        <v>0</v>
      </c>
      <c r="G59" s="576">
        <f>+G61</f>
        <v>0</v>
      </c>
      <c r="H59" s="96"/>
    </row>
    <row r="60" spans="1:8" hidden="1" x14ac:dyDescent="0.2">
      <c r="A60" s="578">
        <v>54501</v>
      </c>
      <c r="B60" s="579" t="s">
        <v>76</v>
      </c>
      <c r="C60" s="580"/>
      <c r="D60" s="581">
        <v>0</v>
      </c>
      <c r="E60" s="581">
        <v>0</v>
      </c>
      <c r="F60" s="582">
        <v>0</v>
      </c>
      <c r="G60" s="583">
        <f t="shared" si="3"/>
        <v>0</v>
      </c>
      <c r="H60" s="96"/>
    </row>
    <row r="61" spans="1:8" hidden="1" x14ac:dyDescent="0.2">
      <c r="A61" s="578">
        <v>54503</v>
      </c>
      <c r="B61" s="579" t="s">
        <v>77</v>
      </c>
      <c r="C61" s="580">
        <v>0</v>
      </c>
      <c r="D61" s="581">
        <v>0</v>
      </c>
      <c r="E61" s="581">
        <v>0</v>
      </c>
      <c r="F61" s="582">
        <v>0</v>
      </c>
      <c r="G61" s="583">
        <f t="shared" si="3"/>
        <v>0</v>
      </c>
      <c r="H61" s="96"/>
    </row>
    <row r="62" spans="1:8" hidden="1" x14ac:dyDescent="0.2">
      <c r="A62" s="578">
        <v>54504</v>
      </c>
      <c r="B62" s="579" t="s">
        <v>78</v>
      </c>
      <c r="C62" s="580"/>
      <c r="D62" s="581"/>
      <c r="E62" s="581"/>
      <c r="F62" s="582"/>
      <c r="G62" s="583">
        <f t="shared" si="3"/>
        <v>0</v>
      </c>
      <c r="H62" s="96"/>
    </row>
    <row r="63" spans="1:8" hidden="1" x14ac:dyDescent="0.2">
      <c r="A63" s="578">
        <v>54505</v>
      </c>
      <c r="B63" s="579" t="s">
        <v>79</v>
      </c>
      <c r="C63" s="580"/>
      <c r="D63" s="581"/>
      <c r="E63" s="581"/>
      <c r="F63" s="582"/>
      <c r="G63" s="583">
        <f t="shared" si="3"/>
        <v>0</v>
      </c>
      <c r="H63" s="96"/>
    </row>
    <row r="64" spans="1:8" hidden="1" x14ac:dyDescent="0.2">
      <c r="A64" s="578">
        <v>54507</v>
      </c>
      <c r="B64" s="579" t="s">
        <v>80</v>
      </c>
      <c r="C64" s="580"/>
      <c r="D64" s="581"/>
      <c r="E64" s="581"/>
      <c r="F64" s="582"/>
      <c r="G64" s="583">
        <f t="shared" si="3"/>
        <v>0</v>
      </c>
      <c r="H64" s="96"/>
    </row>
    <row r="65" spans="1:9" hidden="1" x14ac:dyDescent="0.2">
      <c r="A65" s="578">
        <v>54508</v>
      </c>
      <c r="B65" s="579" t="s">
        <v>81</v>
      </c>
      <c r="C65" s="580"/>
      <c r="D65" s="581"/>
      <c r="E65" s="581"/>
      <c r="F65" s="582"/>
      <c r="G65" s="583">
        <f t="shared" si="3"/>
        <v>0</v>
      </c>
      <c r="H65" s="96"/>
    </row>
    <row r="66" spans="1:9" hidden="1" x14ac:dyDescent="0.2">
      <c r="A66" s="578">
        <v>54599</v>
      </c>
      <c r="B66" s="579" t="s">
        <v>82</v>
      </c>
      <c r="C66" s="580"/>
      <c r="D66" s="581"/>
      <c r="E66" s="581"/>
      <c r="F66" s="582"/>
      <c r="G66" s="583">
        <f t="shared" si="3"/>
        <v>0</v>
      </c>
      <c r="H66" s="96"/>
    </row>
    <row r="67" spans="1:9" x14ac:dyDescent="0.2">
      <c r="A67" s="578"/>
      <c r="B67" s="579"/>
      <c r="C67" s="580"/>
      <c r="D67" s="581"/>
      <c r="E67" s="581"/>
      <c r="F67" s="582"/>
      <c r="G67" s="583"/>
      <c r="H67" s="96"/>
    </row>
    <row r="68" spans="1:9" x14ac:dyDescent="0.2">
      <c r="A68" s="573">
        <v>55</v>
      </c>
      <c r="B68" s="574" t="s">
        <v>83</v>
      </c>
      <c r="C68" s="575">
        <f>C73+C75</f>
        <v>4050</v>
      </c>
      <c r="D68" s="576">
        <f t="shared" ref="D68:F68" si="4">D73+D75</f>
        <v>100</v>
      </c>
      <c r="E68" s="576">
        <f t="shared" si="4"/>
        <v>0</v>
      </c>
      <c r="F68" s="577">
        <f t="shared" si="4"/>
        <v>120.01</v>
      </c>
      <c r="G68" s="576">
        <f>F68+D68+C68</f>
        <v>4270.01</v>
      </c>
      <c r="H68" s="186"/>
    </row>
    <row r="69" spans="1:9" hidden="1" x14ac:dyDescent="0.2">
      <c r="A69" s="573">
        <v>553</v>
      </c>
      <c r="B69" s="574" t="s">
        <v>84</v>
      </c>
      <c r="C69" s="580"/>
      <c r="D69" s="581"/>
      <c r="E69" s="581"/>
      <c r="F69" s="582"/>
      <c r="G69" s="576">
        <f>+C69+F69</f>
        <v>0</v>
      </c>
      <c r="H69" s="186"/>
    </row>
    <row r="70" spans="1:9" hidden="1" x14ac:dyDescent="0.2">
      <c r="A70" s="578">
        <v>55303</v>
      </c>
      <c r="B70" s="579" t="s">
        <v>85</v>
      </c>
      <c r="C70" s="580"/>
      <c r="D70" s="581"/>
      <c r="E70" s="581"/>
      <c r="F70" s="582"/>
      <c r="G70" s="583">
        <f>+C70+F70</f>
        <v>0</v>
      </c>
      <c r="H70" s="186"/>
    </row>
    <row r="71" spans="1:9" hidden="1" x14ac:dyDescent="0.2">
      <c r="A71" s="578">
        <v>55304</v>
      </c>
      <c r="B71" s="579" t="s">
        <v>86</v>
      </c>
      <c r="C71" s="580"/>
      <c r="D71" s="581"/>
      <c r="E71" s="581"/>
      <c r="F71" s="582"/>
      <c r="G71" s="583">
        <f>+C71+F71</f>
        <v>0</v>
      </c>
      <c r="H71" s="186"/>
    </row>
    <row r="72" spans="1:9" hidden="1" x14ac:dyDescent="0.2">
      <c r="A72" s="578">
        <v>55308</v>
      </c>
      <c r="B72" s="579" t="s">
        <v>87</v>
      </c>
      <c r="C72" s="580"/>
      <c r="D72" s="581"/>
      <c r="E72" s="581"/>
      <c r="F72" s="582"/>
      <c r="G72" s="583">
        <f>+C72+F72</f>
        <v>0</v>
      </c>
      <c r="H72" s="186"/>
    </row>
    <row r="73" spans="1:9" s="54" customFormat="1" x14ac:dyDescent="0.2">
      <c r="A73" s="573">
        <v>555</v>
      </c>
      <c r="B73" s="574" t="s">
        <v>481</v>
      </c>
      <c r="C73" s="575">
        <f>C74</f>
        <v>50</v>
      </c>
      <c r="D73" s="576">
        <f t="shared" ref="D73:F73" si="5">D74</f>
        <v>0</v>
      </c>
      <c r="E73" s="576">
        <f t="shared" si="5"/>
        <v>0</v>
      </c>
      <c r="F73" s="577">
        <f t="shared" si="5"/>
        <v>120.01</v>
      </c>
      <c r="G73" s="576">
        <f>G74</f>
        <v>170.01</v>
      </c>
      <c r="H73" s="202"/>
      <c r="I73" s="191"/>
    </row>
    <row r="74" spans="1:9" x14ac:dyDescent="0.2">
      <c r="A74" s="578">
        <v>55508</v>
      </c>
      <c r="B74" s="584" t="s">
        <v>335</v>
      </c>
      <c r="C74" s="840">
        <v>50</v>
      </c>
      <c r="D74" s="841">
        <v>0</v>
      </c>
      <c r="E74" s="841">
        <v>0</v>
      </c>
      <c r="F74" s="842">
        <v>120.01</v>
      </c>
      <c r="G74" s="583">
        <f t="shared" ref="G74" si="6">+C74+F74</f>
        <v>170.01</v>
      </c>
      <c r="H74" s="186"/>
    </row>
    <row r="75" spans="1:9" x14ac:dyDescent="0.2">
      <c r="A75" s="573">
        <v>556</v>
      </c>
      <c r="B75" s="574" t="s">
        <v>88</v>
      </c>
      <c r="C75" s="843">
        <f>SUM(C76:C78)</f>
        <v>4000</v>
      </c>
      <c r="D75" s="844">
        <f>SUM(D76:D78)</f>
        <v>100</v>
      </c>
      <c r="E75" s="844">
        <f t="shared" ref="E75:F75" si="7">SUM(E76:E78)</f>
        <v>0</v>
      </c>
      <c r="F75" s="846">
        <f t="shared" si="7"/>
        <v>0</v>
      </c>
      <c r="G75" s="576">
        <f>C75+D75+F75</f>
        <v>4100</v>
      </c>
      <c r="H75" s="186"/>
    </row>
    <row r="76" spans="1:9" x14ac:dyDescent="0.2">
      <c r="A76" s="578">
        <v>55601</v>
      </c>
      <c r="B76" s="579" t="s">
        <v>89</v>
      </c>
      <c r="C76" s="840">
        <v>0</v>
      </c>
      <c r="D76" s="847">
        <v>50</v>
      </c>
      <c r="E76" s="841">
        <v>0</v>
      </c>
      <c r="F76" s="842">
        <v>0</v>
      </c>
      <c r="G76" s="583">
        <f t="shared" ref="G76:G77" si="8">SUM(C76:F76)</f>
        <v>50</v>
      </c>
      <c r="H76" s="186"/>
    </row>
    <row r="77" spans="1:9" x14ac:dyDescent="0.2">
      <c r="A77" s="578">
        <v>55602</v>
      </c>
      <c r="B77" s="579" t="s">
        <v>90</v>
      </c>
      <c r="C77" s="848">
        <v>4000</v>
      </c>
      <c r="D77" s="841">
        <v>0</v>
      </c>
      <c r="E77" s="841">
        <v>0</v>
      </c>
      <c r="F77" s="842">
        <v>0</v>
      </c>
      <c r="G77" s="583">
        <f t="shared" si="8"/>
        <v>4000</v>
      </c>
      <c r="H77" s="186"/>
    </row>
    <row r="78" spans="1:9" x14ac:dyDescent="0.2">
      <c r="A78" s="578">
        <v>55603</v>
      </c>
      <c r="B78" s="579" t="s">
        <v>91</v>
      </c>
      <c r="C78" s="840">
        <v>0</v>
      </c>
      <c r="D78" s="841">
        <v>50</v>
      </c>
      <c r="E78" s="841">
        <v>0</v>
      </c>
      <c r="F78" s="842">
        <v>0</v>
      </c>
      <c r="G78" s="583">
        <f>SUM(C78:F78)</f>
        <v>50</v>
      </c>
      <c r="H78" s="186"/>
    </row>
    <row r="79" spans="1:9" hidden="1" x14ac:dyDescent="0.2">
      <c r="A79" s="573">
        <v>557</v>
      </c>
      <c r="B79" s="574" t="s">
        <v>92</v>
      </c>
      <c r="C79" s="843"/>
      <c r="D79" s="844">
        <f>SUM(D80:D82)</f>
        <v>0</v>
      </c>
      <c r="E79" s="844"/>
      <c r="F79" s="845"/>
      <c r="G79" s="576">
        <f>+C79+D79+F79</f>
        <v>0</v>
      </c>
      <c r="H79" s="186"/>
    </row>
    <row r="80" spans="1:9" ht="13.5" hidden="1" thickBot="1" x14ac:dyDescent="0.25">
      <c r="A80" s="585">
        <v>55701</v>
      </c>
      <c r="B80" s="586" t="s">
        <v>93</v>
      </c>
      <c r="C80" s="849"/>
      <c r="D80" s="850"/>
      <c r="E80" s="850"/>
      <c r="F80" s="851"/>
      <c r="G80" s="587"/>
      <c r="H80" s="186"/>
    </row>
    <row r="81" spans="1:10" ht="12.75" hidden="1" customHeight="1" x14ac:dyDescent="0.2">
      <c r="A81" s="588">
        <v>55702</v>
      </c>
      <c r="B81" s="589" t="s">
        <v>94</v>
      </c>
      <c r="C81" s="852"/>
      <c r="D81" s="853"/>
      <c r="E81" s="853"/>
      <c r="F81" s="854"/>
      <c r="G81" s="590"/>
      <c r="H81" s="186"/>
    </row>
    <row r="82" spans="1:10" ht="12.75" hidden="1" customHeight="1" x14ac:dyDescent="0.2">
      <c r="A82" s="588">
        <v>55799</v>
      </c>
      <c r="B82" s="589" t="s">
        <v>95</v>
      </c>
      <c r="C82" s="852"/>
      <c r="D82" s="853"/>
      <c r="E82" s="853"/>
      <c r="F82" s="854"/>
      <c r="G82" s="590"/>
      <c r="H82" s="186"/>
    </row>
    <row r="83" spans="1:10" ht="12.75" hidden="1" customHeight="1" x14ac:dyDescent="0.2">
      <c r="A83" s="591"/>
      <c r="B83" s="592"/>
      <c r="C83" s="855"/>
      <c r="D83" s="856"/>
      <c r="E83" s="856"/>
      <c r="F83" s="857"/>
      <c r="G83" s="593"/>
      <c r="H83" s="186"/>
    </row>
    <row r="84" spans="1:10" ht="12.75" customHeight="1" x14ac:dyDescent="0.2">
      <c r="A84" s="578"/>
      <c r="B84" s="579"/>
      <c r="C84" s="840"/>
      <c r="D84" s="841"/>
      <c r="E84" s="841"/>
      <c r="F84" s="842"/>
      <c r="G84" s="583"/>
      <c r="H84" s="186"/>
    </row>
    <row r="85" spans="1:10" x14ac:dyDescent="0.2">
      <c r="A85" s="594">
        <v>56</v>
      </c>
      <c r="B85" s="595" t="s">
        <v>96</v>
      </c>
      <c r="C85" s="858">
        <f>C86+C89</f>
        <v>19797.48</v>
      </c>
      <c r="D85" s="859">
        <f>D86+D89</f>
        <v>0</v>
      </c>
      <c r="E85" s="859"/>
      <c r="F85" s="860">
        <f>F86+F89</f>
        <v>0</v>
      </c>
      <c r="G85" s="596">
        <f>+C85+F85</f>
        <v>19797.48</v>
      </c>
      <c r="H85" s="186"/>
    </row>
    <row r="86" spans="1:10" x14ac:dyDescent="0.2">
      <c r="A86" s="573">
        <v>562</v>
      </c>
      <c r="B86" s="574" t="s">
        <v>97</v>
      </c>
      <c r="C86" s="843">
        <f>C88</f>
        <v>19797.48</v>
      </c>
      <c r="D86" s="844">
        <f>SUM(D87:D88)</f>
        <v>0</v>
      </c>
      <c r="E86" s="844"/>
      <c r="F86" s="845"/>
      <c r="G86" s="576">
        <f t="shared" ref="G86:G91" si="9">+C86+F86</f>
        <v>19797.48</v>
      </c>
      <c r="H86" s="186"/>
    </row>
    <row r="87" spans="1:10" hidden="1" x14ac:dyDescent="0.2">
      <c r="A87" s="578">
        <v>56201</v>
      </c>
      <c r="B87" s="584" t="s">
        <v>483</v>
      </c>
      <c r="C87" s="840"/>
      <c r="D87" s="841"/>
      <c r="E87" s="841"/>
      <c r="F87" s="842"/>
      <c r="G87" s="583">
        <f t="shared" si="9"/>
        <v>0</v>
      </c>
      <c r="H87" s="186"/>
    </row>
    <row r="88" spans="1:10" x14ac:dyDescent="0.2">
      <c r="A88" s="578">
        <v>56201</v>
      </c>
      <c r="B88" s="584" t="s">
        <v>677</v>
      </c>
      <c r="C88" s="840">
        <f>(1399.79*12)+(200*12)+(50*12)</f>
        <v>19797.48</v>
      </c>
      <c r="D88" s="841">
        <v>0</v>
      </c>
      <c r="E88" s="841">
        <v>0</v>
      </c>
      <c r="F88" s="842">
        <v>0</v>
      </c>
      <c r="G88" s="583">
        <f t="shared" si="9"/>
        <v>19797.48</v>
      </c>
      <c r="H88" s="186"/>
    </row>
    <row r="89" spans="1:10" hidden="1" x14ac:dyDescent="0.2">
      <c r="A89" s="573">
        <v>563</v>
      </c>
      <c r="B89" s="574" t="s">
        <v>99</v>
      </c>
      <c r="C89" s="843">
        <f>SUM(C90:C91)</f>
        <v>0</v>
      </c>
      <c r="D89" s="844">
        <f>SUM(D90:D91)</f>
        <v>0</v>
      </c>
      <c r="E89" s="844">
        <f t="shared" ref="E89:F89" si="10">SUM(E90:E91)</f>
        <v>0</v>
      </c>
      <c r="F89" s="846">
        <f t="shared" si="10"/>
        <v>0</v>
      </c>
      <c r="G89" s="576">
        <f t="shared" si="9"/>
        <v>0</v>
      </c>
      <c r="H89" s="186"/>
    </row>
    <row r="90" spans="1:10" hidden="1" x14ac:dyDescent="0.2">
      <c r="A90" s="578">
        <v>56303</v>
      </c>
      <c r="B90" s="579" t="s">
        <v>98</v>
      </c>
      <c r="C90" s="840"/>
      <c r="D90" s="841"/>
      <c r="E90" s="841"/>
      <c r="F90" s="842"/>
      <c r="G90" s="583">
        <f t="shared" si="9"/>
        <v>0</v>
      </c>
      <c r="H90" s="186"/>
    </row>
    <row r="91" spans="1:10" hidden="1" x14ac:dyDescent="0.2">
      <c r="A91" s="578">
        <v>56304</v>
      </c>
      <c r="B91" s="579" t="s">
        <v>100</v>
      </c>
      <c r="C91" s="840">
        <v>0</v>
      </c>
      <c r="D91" s="841">
        <v>0</v>
      </c>
      <c r="E91" s="841">
        <v>0</v>
      </c>
      <c r="F91" s="842">
        <v>0</v>
      </c>
      <c r="G91" s="583">
        <f t="shared" si="9"/>
        <v>0</v>
      </c>
      <c r="H91" s="186"/>
      <c r="J91" s="2"/>
    </row>
    <row r="92" spans="1:10" x14ac:dyDescent="0.2">
      <c r="A92" s="578"/>
      <c r="B92" s="579"/>
      <c r="C92" s="840"/>
      <c r="D92" s="841"/>
      <c r="E92" s="841"/>
      <c r="F92" s="842"/>
      <c r="G92" s="583"/>
      <c r="H92" s="186"/>
      <c r="J92" s="2"/>
    </row>
    <row r="93" spans="1:10" s="54" customFormat="1" x14ac:dyDescent="0.2">
      <c r="A93" s="573">
        <v>72</v>
      </c>
      <c r="B93" s="574" t="s">
        <v>13</v>
      </c>
      <c r="C93" s="843">
        <f>C94</f>
        <v>225199.12999999998</v>
      </c>
      <c r="D93" s="844">
        <f t="shared" ref="D93:D94" si="11">D94</f>
        <v>0</v>
      </c>
      <c r="E93" s="844">
        <f t="shared" ref="E93:E94" si="12">E94</f>
        <v>0</v>
      </c>
      <c r="F93" s="861">
        <f t="shared" ref="F93:F94" si="13">F94</f>
        <v>0</v>
      </c>
      <c r="G93" s="576">
        <f t="shared" ref="G93:G94" si="14">G94</f>
        <v>225199.12999999998</v>
      </c>
      <c r="H93" s="187"/>
      <c r="I93" s="191"/>
    </row>
    <row r="94" spans="1:10" s="54" customFormat="1" x14ac:dyDescent="0.2">
      <c r="A94" s="573">
        <v>721</v>
      </c>
      <c r="B94" s="574" t="s">
        <v>182</v>
      </c>
      <c r="C94" s="843">
        <f>C95</f>
        <v>225199.12999999998</v>
      </c>
      <c r="D94" s="844">
        <f t="shared" si="11"/>
        <v>0</v>
      </c>
      <c r="E94" s="844">
        <f t="shared" si="12"/>
        <v>0</v>
      </c>
      <c r="F94" s="861">
        <f t="shared" si="13"/>
        <v>0</v>
      </c>
      <c r="G94" s="576">
        <f t="shared" si="14"/>
        <v>225199.12999999998</v>
      </c>
      <c r="H94" s="187"/>
      <c r="I94" s="191"/>
    </row>
    <row r="95" spans="1:10" ht="13.5" thickBot="1" x14ac:dyDescent="0.25">
      <c r="A95" s="578">
        <v>72101</v>
      </c>
      <c r="B95" s="579" t="s">
        <v>182</v>
      </c>
      <c r="C95" s="961">
        <f>5675+10325+64390+67495+57233+2000+7519.8+1050+2765.87+1725.91+1560.77+60+2787.67+611.11</f>
        <v>225199.12999999998</v>
      </c>
      <c r="D95" s="841"/>
      <c r="E95" s="841"/>
      <c r="F95" s="862"/>
      <c r="G95" s="599">
        <f>C95+D95+E95+F95</f>
        <v>225199.12999999998</v>
      </c>
      <c r="H95" s="96"/>
    </row>
    <row r="96" spans="1:10" hidden="1" x14ac:dyDescent="0.2">
      <c r="A96" s="600" t="s">
        <v>162</v>
      </c>
      <c r="B96" s="601" t="s">
        <v>163</v>
      </c>
      <c r="C96" s="863">
        <f t="shared" ref="C96:G97" si="15">C97</f>
        <v>0</v>
      </c>
      <c r="D96" s="864">
        <f t="shared" si="15"/>
        <v>0</v>
      </c>
      <c r="E96" s="864">
        <f t="shared" si="15"/>
        <v>0</v>
      </c>
      <c r="F96" s="864">
        <f t="shared" si="15"/>
        <v>0</v>
      </c>
      <c r="G96" s="604">
        <f t="shared" si="15"/>
        <v>0</v>
      </c>
      <c r="H96" s="96"/>
    </row>
    <row r="97" spans="1:8" hidden="1" x14ac:dyDescent="0.2">
      <c r="A97" s="600" t="s">
        <v>254</v>
      </c>
      <c r="B97" s="601" t="s">
        <v>199</v>
      </c>
      <c r="C97" s="863">
        <f t="shared" si="15"/>
        <v>0</v>
      </c>
      <c r="D97" s="864">
        <f t="shared" si="15"/>
        <v>0</v>
      </c>
      <c r="E97" s="864">
        <f t="shared" si="15"/>
        <v>0</v>
      </c>
      <c r="F97" s="864">
        <f t="shared" si="15"/>
        <v>0</v>
      </c>
      <c r="G97" s="604">
        <f t="shared" si="15"/>
        <v>0</v>
      </c>
      <c r="H97" s="96"/>
    </row>
    <row r="98" spans="1:8" ht="13.5" hidden="1" thickBot="1" x14ac:dyDescent="0.25">
      <c r="A98" s="605" t="s">
        <v>255</v>
      </c>
      <c r="B98" s="606" t="s">
        <v>256</v>
      </c>
      <c r="C98" s="865"/>
      <c r="D98" s="866"/>
      <c r="E98" s="866"/>
      <c r="F98" s="866"/>
      <c r="G98" s="609">
        <f>+C98+F98</f>
        <v>0</v>
      </c>
      <c r="H98" s="96"/>
    </row>
    <row r="99" spans="1:8" ht="13.5" thickBot="1" x14ac:dyDescent="0.25">
      <c r="A99" s="610"/>
      <c r="B99" s="611" t="s">
        <v>25</v>
      </c>
      <c r="C99" s="867">
        <f>C11+C68+C85+C93</f>
        <v>266714.11</v>
      </c>
      <c r="D99" s="867">
        <f>D11+D68+D85+D93</f>
        <v>6700</v>
      </c>
      <c r="E99" s="867">
        <f t="shared" ref="E99:F99" si="16">E11+E68+E85+E93</f>
        <v>1300</v>
      </c>
      <c r="F99" s="867">
        <f t="shared" si="16"/>
        <v>165756.86000000002</v>
      </c>
      <c r="G99" s="867">
        <f>G11+G68+G85+G93</f>
        <v>440470.97</v>
      </c>
      <c r="H99" s="98"/>
    </row>
    <row r="100" spans="1:8" x14ac:dyDescent="0.2">
      <c r="G100" s="833"/>
    </row>
    <row r="101" spans="1:8" x14ac:dyDescent="0.2">
      <c r="G101" s="613">
        <f>+G99-G100</f>
        <v>440470.97</v>
      </c>
    </row>
    <row r="110" spans="1:8" x14ac:dyDescent="0.2">
      <c r="A110" s="1270" t="s">
        <v>568</v>
      </c>
      <c r="B110" s="1270"/>
      <c r="C110" s="1270"/>
      <c r="D110" s="1270"/>
      <c r="E110" s="1270"/>
      <c r="F110" s="1270"/>
      <c r="G110" s="1270"/>
    </row>
    <row r="111" spans="1:8" x14ac:dyDescent="0.2">
      <c r="A111" s="1270" t="s">
        <v>101</v>
      </c>
      <c r="B111" s="1270"/>
      <c r="C111" s="1270"/>
      <c r="D111" s="1270"/>
      <c r="E111" s="1270"/>
      <c r="F111" s="1270"/>
      <c r="G111" s="1270"/>
    </row>
    <row r="112" spans="1:8" x14ac:dyDescent="0.2">
      <c r="A112" s="1270" t="s">
        <v>102</v>
      </c>
      <c r="B112" s="1270"/>
      <c r="C112" s="1270"/>
      <c r="D112" s="1270"/>
      <c r="E112" s="1270"/>
      <c r="F112" s="1270"/>
      <c r="G112" s="1270"/>
    </row>
    <row r="113" spans="1:9" x14ac:dyDescent="0.2">
      <c r="A113" s="1270" t="s">
        <v>450</v>
      </c>
      <c r="B113" s="1270"/>
      <c r="C113" s="1270"/>
      <c r="D113" s="1270"/>
      <c r="E113" s="1270"/>
      <c r="F113" s="1270"/>
      <c r="G113" s="1270"/>
    </row>
    <row r="114" spans="1:9" x14ac:dyDescent="0.2">
      <c r="A114" s="1270" t="s">
        <v>767</v>
      </c>
      <c r="B114" s="1270"/>
      <c r="C114" s="1270"/>
      <c r="D114" s="1270"/>
      <c r="E114" s="1270"/>
      <c r="F114" s="1270"/>
      <c r="G114" s="1270"/>
    </row>
    <row r="115" spans="1:9" ht="13.5" thickBot="1" x14ac:dyDescent="0.25"/>
    <row r="116" spans="1:9" ht="13.5" thickBot="1" x14ac:dyDescent="0.25">
      <c r="A116" s="1271" t="s">
        <v>569</v>
      </c>
      <c r="B116" s="1271" t="s">
        <v>14</v>
      </c>
      <c r="C116" s="1274" t="s">
        <v>570</v>
      </c>
      <c r="D116" s="1275"/>
      <c r="E116" s="1275"/>
      <c r="F116" s="1275"/>
      <c r="G116" s="1276"/>
    </row>
    <row r="117" spans="1:9" x14ac:dyDescent="0.2">
      <c r="A117" s="1272"/>
      <c r="B117" s="1272"/>
      <c r="C117" s="1268" t="s">
        <v>105</v>
      </c>
      <c r="D117" s="1268" t="s">
        <v>106</v>
      </c>
      <c r="E117" s="1268" t="s">
        <v>107</v>
      </c>
      <c r="F117" s="1268" t="s">
        <v>186</v>
      </c>
      <c r="G117" s="1268" t="s">
        <v>4</v>
      </c>
    </row>
    <row r="118" spans="1:9" ht="38.25" customHeight="1" thickBot="1" x14ac:dyDescent="0.25">
      <c r="A118" s="1273"/>
      <c r="B118" s="1273"/>
      <c r="C118" s="1269"/>
      <c r="D118" s="1269"/>
      <c r="E118" s="1269"/>
      <c r="F118" s="1269"/>
      <c r="G118" s="1269"/>
    </row>
    <row r="119" spans="1:9" x14ac:dyDescent="0.2">
      <c r="A119" s="568">
        <v>54</v>
      </c>
      <c r="B119" s="569" t="s">
        <v>27</v>
      </c>
      <c r="C119" s="571">
        <f>C120+C140+C146+C163+C168</f>
        <v>32204</v>
      </c>
      <c r="D119" s="571">
        <f>D120+D140+D146+D163</f>
        <v>3550</v>
      </c>
      <c r="E119" s="571">
        <f>E120+E140+E146+E163</f>
        <v>1150</v>
      </c>
      <c r="F119" s="571">
        <f>F120+F140+F146+F163</f>
        <v>88222.37999999999</v>
      </c>
      <c r="G119" s="614">
        <f>G120+G140+G146+G163+G168</f>
        <v>125126.37999999999</v>
      </c>
      <c r="H119" s="96"/>
    </row>
    <row r="120" spans="1:9" x14ac:dyDescent="0.2">
      <c r="A120" s="573">
        <v>541</v>
      </c>
      <c r="B120" s="574" t="s">
        <v>28</v>
      </c>
      <c r="C120" s="576">
        <f>SUM(C121:C139)</f>
        <v>11175</v>
      </c>
      <c r="D120" s="576">
        <f>SUM(D121:D139)</f>
        <v>2300</v>
      </c>
      <c r="E120" s="576">
        <f>SUM(E121:E139)</f>
        <v>950</v>
      </c>
      <c r="F120" s="576">
        <f>SUM(F121:F139)</f>
        <v>7850.45</v>
      </c>
      <c r="G120" s="597">
        <f>SUM(G121:G139)</f>
        <v>22275.45</v>
      </c>
      <c r="H120" s="96"/>
    </row>
    <row r="121" spans="1:9" x14ac:dyDescent="0.2">
      <c r="A121" s="578">
        <v>54101</v>
      </c>
      <c r="B121" s="579" t="s">
        <v>29</v>
      </c>
      <c r="C121" s="841">
        <v>1100</v>
      </c>
      <c r="D121" s="841">
        <v>0</v>
      </c>
      <c r="E121" s="841">
        <v>0</v>
      </c>
      <c r="F121" s="841">
        <v>0</v>
      </c>
      <c r="G121" s="599">
        <f>SUM(C121:F121)</f>
        <v>1100</v>
      </c>
      <c r="H121" s="96"/>
    </row>
    <row r="122" spans="1:9" hidden="1" x14ac:dyDescent="0.2">
      <c r="A122" s="578">
        <v>54103</v>
      </c>
      <c r="B122" s="579" t="s">
        <v>30</v>
      </c>
      <c r="C122" s="841"/>
      <c r="D122" s="841">
        <v>0</v>
      </c>
      <c r="E122" s="841">
        <v>0</v>
      </c>
      <c r="F122" s="841">
        <v>0</v>
      </c>
      <c r="G122" s="599">
        <f t="shared" ref="G122:G138" si="17">SUM(C122:F122)</f>
        <v>0</v>
      </c>
      <c r="H122" s="96"/>
    </row>
    <row r="123" spans="1:9" x14ac:dyDescent="0.2">
      <c r="A123" s="578">
        <v>54104</v>
      </c>
      <c r="B123" s="579" t="s">
        <v>31</v>
      </c>
      <c r="C123" s="841">
        <v>5000</v>
      </c>
      <c r="D123" s="841">
        <v>0</v>
      </c>
      <c r="E123" s="841">
        <v>0</v>
      </c>
      <c r="F123" s="841">
        <v>0</v>
      </c>
      <c r="G123" s="599">
        <f t="shared" si="17"/>
        <v>5000</v>
      </c>
      <c r="H123" s="96"/>
    </row>
    <row r="124" spans="1:9" x14ac:dyDescent="0.2">
      <c r="A124" s="578">
        <v>54105</v>
      </c>
      <c r="B124" s="579" t="s">
        <v>32</v>
      </c>
      <c r="C124" s="841">
        <v>350</v>
      </c>
      <c r="D124" s="841">
        <v>1000</v>
      </c>
      <c r="E124" s="841">
        <v>200</v>
      </c>
      <c r="F124" s="841">
        <v>75</v>
      </c>
      <c r="G124" s="599">
        <f>SUM(C124:F124)</f>
        <v>1625</v>
      </c>
      <c r="H124" s="96"/>
    </row>
    <row r="125" spans="1:9" x14ac:dyDescent="0.2">
      <c r="A125" s="578">
        <v>54106</v>
      </c>
      <c r="B125" s="579" t="s">
        <v>33</v>
      </c>
      <c r="C125" s="841">
        <v>0</v>
      </c>
      <c r="D125" s="841">
        <v>0</v>
      </c>
      <c r="E125" s="841">
        <v>0</v>
      </c>
      <c r="F125" s="841">
        <v>50</v>
      </c>
      <c r="G125" s="599">
        <f t="shared" si="17"/>
        <v>50</v>
      </c>
      <c r="H125" s="96"/>
    </row>
    <row r="126" spans="1:9" x14ac:dyDescent="0.2">
      <c r="A126" s="578">
        <v>54107</v>
      </c>
      <c r="B126" s="579" t="s">
        <v>34</v>
      </c>
      <c r="C126" s="841">
        <v>0</v>
      </c>
      <c r="D126" s="841">
        <v>0</v>
      </c>
      <c r="E126" s="841">
        <v>0</v>
      </c>
      <c r="F126" s="841">
        <v>2000</v>
      </c>
      <c r="G126" s="599">
        <f t="shared" si="17"/>
        <v>2000</v>
      </c>
      <c r="H126" s="96"/>
    </row>
    <row r="127" spans="1:9" x14ac:dyDescent="0.2">
      <c r="A127" s="578">
        <v>54108</v>
      </c>
      <c r="B127" s="579" t="s">
        <v>35</v>
      </c>
      <c r="C127" s="841">
        <v>0</v>
      </c>
      <c r="D127" s="841">
        <v>0</v>
      </c>
      <c r="E127" s="841">
        <v>0</v>
      </c>
      <c r="F127" s="841">
        <v>0</v>
      </c>
      <c r="G127" s="599">
        <f t="shared" si="17"/>
        <v>0</v>
      </c>
      <c r="H127" s="96"/>
    </row>
    <row r="128" spans="1:9" x14ac:dyDescent="0.2">
      <c r="A128" s="578">
        <v>54109</v>
      </c>
      <c r="B128" s="579" t="s">
        <v>36</v>
      </c>
      <c r="C128" s="841">
        <v>400</v>
      </c>
      <c r="D128" s="841">
        <v>0</v>
      </c>
      <c r="E128" s="841">
        <v>0</v>
      </c>
      <c r="F128" s="841">
        <v>500</v>
      </c>
      <c r="G128" s="599">
        <f t="shared" si="17"/>
        <v>900</v>
      </c>
      <c r="H128" s="96"/>
      <c r="I128"/>
    </row>
    <row r="129" spans="1:9" x14ac:dyDescent="0.2">
      <c r="A129" s="578">
        <v>54110</v>
      </c>
      <c r="B129" s="579" t="s">
        <v>37</v>
      </c>
      <c r="C129" s="841">
        <v>2500</v>
      </c>
      <c r="D129" s="841">
        <v>0</v>
      </c>
      <c r="E129" s="841">
        <v>0</v>
      </c>
      <c r="F129" s="841">
        <v>1500</v>
      </c>
      <c r="G129" s="599">
        <f t="shared" si="17"/>
        <v>4000</v>
      </c>
      <c r="H129" s="96"/>
      <c r="I129"/>
    </row>
    <row r="130" spans="1:9" x14ac:dyDescent="0.2">
      <c r="A130" s="578">
        <v>54111</v>
      </c>
      <c r="B130" s="579" t="s">
        <v>38</v>
      </c>
      <c r="C130" s="841">
        <v>0</v>
      </c>
      <c r="D130" s="841">
        <v>0</v>
      </c>
      <c r="E130" s="841">
        <v>0</v>
      </c>
      <c r="F130" s="841">
        <v>100</v>
      </c>
      <c r="G130" s="599">
        <f t="shared" si="17"/>
        <v>100</v>
      </c>
      <c r="H130" s="96"/>
      <c r="I130"/>
    </row>
    <row r="131" spans="1:9" x14ac:dyDescent="0.2">
      <c r="A131" s="578">
        <v>54112</v>
      </c>
      <c r="B131" s="579" t="s">
        <v>39</v>
      </c>
      <c r="C131" s="841">
        <v>0</v>
      </c>
      <c r="D131" s="841">
        <v>0</v>
      </c>
      <c r="E131" s="841">
        <v>0</v>
      </c>
      <c r="F131" s="841">
        <v>100</v>
      </c>
      <c r="G131" s="599">
        <f t="shared" si="17"/>
        <v>100</v>
      </c>
      <c r="H131" s="96"/>
      <c r="I131"/>
    </row>
    <row r="132" spans="1:9" x14ac:dyDescent="0.2">
      <c r="A132" s="578">
        <v>54114</v>
      </c>
      <c r="B132" s="579" t="s">
        <v>40</v>
      </c>
      <c r="C132" s="841">
        <v>150</v>
      </c>
      <c r="D132" s="841">
        <v>250</v>
      </c>
      <c r="E132" s="841">
        <v>150</v>
      </c>
      <c r="F132" s="841">
        <v>100</v>
      </c>
      <c r="G132" s="599">
        <f t="shared" si="17"/>
        <v>650</v>
      </c>
      <c r="H132" s="96"/>
      <c r="I132"/>
    </row>
    <row r="133" spans="1:9" x14ac:dyDescent="0.2">
      <c r="A133" s="578">
        <v>54115</v>
      </c>
      <c r="B133" s="579" t="s">
        <v>41</v>
      </c>
      <c r="C133" s="841">
        <v>300</v>
      </c>
      <c r="D133" s="841">
        <v>1000</v>
      </c>
      <c r="E133" s="841">
        <v>350</v>
      </c>
      <c r="F133" s="841">
        <v>75</v>
      </c>
      <c r="G133" s="599">
        <f t="shared" si="17"/>
        <v>1725</v>
      </c>
      <c r="H133" s="96"/>
      <c r="I133"/>
    </row>
    <row r="134" spans="1:9" x14ac:dyDescent="0.2">
      <c r="A134" s="578">
        <v>54116</v>
      </c>
      <c r="B134" s="579" t="s">
        <v>42</v>
      </c>
      <c r="C134" s="841">
        <v>200</v>
      </c>
      <c r="D134" s="841">
        <v>0</v>
      </c>
      <c r="E134" s="841">
        <v>0</v>
      </c>
      <c r="F134" s="841">
        <v>0</v>
      </c>
      <c r="G134" s="599">
        <f t="shared" si="17"/>
        <v>200</v>
      </c>
      <c r="H134" s="96"/>
      <c r="I134"/>
    </row>
    <row r="135" spans="1:9" hidden="1" x14ac:dyDescent="0.2">
      <c r="A135" s="578">
        <v>54117</v>
      </c>
      <c r="B135" s="579" t="s">
        <v>43</v>
      </c>
      <c r="C135" s="841">
        <v>0</v>
      </c>
      <c r="D135" s="841">
        <v>0</v>
      </c>
      <c r="E135" s="841">
        <v>0</v>
      </c>
      <c r="F135" s="841">
        <v>0</v>
      </c>
      <c r="G135" s="599">
        <f t="shared" si="17"/>
        <v>0</v>
      </c>
      <c r="H135" s="96"/>
      <c r="I135"/>
    </row>
    <row r="136" spans="1:9" x14ac:dyDescent="0.2">
      <c r="A136" s="578">
        <v>54118</v>
      </c>
      <c r="B136" s="579" t="s">
        <v>44</v>
      </c>
      <c r="C136" s="841">
        <v>50</v>
      </c>
      <c r="D136" s="841">
        <v>0</v>
      </c>
      <c r="E136" s="841">
        <v>50</v>
      </c>
      <c r="F136" s="841">
        <v>2500</v>
      </c>
      <c r="G136" s="599">
        <f t="shared" si="17"/>
        <v>2600</v>
      </c>
      <c r="H136" s="96"/>
      <c r="I136"/>
    </row>
    <row r="137" spans="1:9" x14ac:dyDescent="0.2">
      <c r="A137" s="578">
        <v>54119</v>
      </c>
      <c r="B137" s="579" t="s">
        <v>45</v>
      </c>
      <c r="C137" s="841">
        <v>125</v>
      </c>
      <c r="D137" s="841">
        <v>0</v>
      </c>
      <c r="E137" s="841">
        <v>0</v>
      </c>
      <c r="F137" s="841">
        <v>0</v>
      </c>
      <c r="G137" s="599">
        <f t="shared" si="17"/>
        <v>125</v>
      </c>
      <c r="H137" s="96"/>
      <c r="I137"/>
    </row>
    <row r="138" spans="1:9" x14ac:dyDescent="0.2">
      <c r="A138" s="578">
        <v>54121</v>
      </c>
      <c r="B138" s="579" t="s">
        <v>46</v>
      </c>
      <c r="C138" s="841">
        <v>0</v>
      </c>
      <c r="D138" s="841">
        <v>0</v>
      </c>
      <c r="E138" s="841">
        <v>0</v>
      </c>
      <c r="F138" s="841">
        <v>0</v>
      </c>
      <c r="G138" s="599">
        <f t="shared" si="17"/>
        <v>0</v>
      </c>
      <c r="H138" s="96"/>
      <c r="I138"/>
    </row>
    <row r="139" spans="1:9" x14ac:dyDescent="0.2">
      <c r="A139" s="578">
        <v>54199</v>
      </c>
      <c r="B139" s="579" t="s">
        <v>47</v>
      </c>
      <c r="C139" s="841">
        <v>1000</v>
      </c>
      <c r="D139" s="841">
        <v>50</v>
      </c>
      <c r="E139" s="841">
        <v>200</v>
      </c>
      <c r="F139" s="841">
        <f>500+350.45</f>
        <v>850.45</v>
      </c>
      <c r="G139" s="599">
        <f>SUM(C139:F139)</f>
        <v>2100.4499999999998</v>
      </c>
      <c r="H139" s="96"/>
      <c r="I139"/>
    </row>
    <row r="140" spans="1:9" x14ac:dyDescent="0.2">
      <c r="A140" s="573">
        <v>542</v>
      </c>
      <c r="B140" s="574" t="s">
        <v>48</v>
      </c>
      <c r="C140" s="844">
        <f>SUM(C141:C145)</f>
        <v>6379</v>
      </c>
      <c r="D140" s="844">
        <f>SUM(D141:D145)</f>
        <v>0</v>
      </c>
      <c r="E140" s="844">
        <f>SUM(E141:E145)</f>
        <v>0</v>
      </c>
      <c r="F140" s="844">
        <f>SUM(F141:F145)</f>
        <v>74571.929999999993</v>
      </c>
      <c r="G140" s="597">
        <f>SUM(G141:G145)</f>
        <v>80950.929999999993</v>
      </c>
      <c r="H140" s="96"/>
      <c r="I140"/>
    </row>
    <row r="141" spans="1:9" x14ac:dyDescent="0.2">
      <c r="A141" s="578">
        <v>54201</v>
      </c>
      <c r="B141" s="579" t="s">
        <v>49</v>
      </c>
      <c r="C141" s="841">
        <v>1000</v>
      </c>
      <c r="D141" s="841">
        <v>0</v>
      </c>
      <c r="E141" s="841">
        <v>0</v>
      </c>
      <c r="F141" s="847">
        <f>19823.2+38336-5717.13+9029.86</f>
        <v>61471.93</v>
      </c>
      <c r="G141" s="599">
        <f>SUM(C141:F141)</f>
        <v>62471.93</v>
      </c>
      <c r="H141" s="96"/>
      <c r="I141"/>
    </row>
    <row r="142" spans="1:9" x14ac:dyDescent="0.2">
      <c r="A142" s="578">
        <v>54202</v>
      </c>
      <c r="B142" s="579" t="s">
        <v>50</v>
      </c>
      <c r="C142" s="841">
        <v>879</v>
      </c>
      <c r="D142" s="841">
        <v>0</v>
      </c>
      <c r="E142" s="841">
        <v>0</v>
      </c>
      <c r="F142" s="841">
        <v>500</v>
      </c>
      <c r="G142" s="599">
        <f>SUM(C142:F142)</f>
        <v>1379</v>
      </c>
      <c r="H142" s="96"/>
      <c r="I142"/>
    </row>
    <row r="143" spans="1:9" x14ac:dyDescent="0.2">
      <c r="A143" s="578">
        <v>54203</v>
      </c>
      <c r="B143" s="579" t="s">
        <v>51</v>
      </c>
      <c r="C143" s="841">
        <v>4500</v>
      </c>
      <c r="D143" s="841">
        <v>0</v>
      </c>
      <c r="E143" s="841">
        <v>0</v>
      </c>
      <c r="F143" s="841">
        <v>600</v>
      </c>
      <c r="G143" s="583">
        <f>SUM(C143:F143)</f>
        <v>5100</v>
      </c>
      <c r="H143" s="96"/>
      <c r="I143"/>
    </row>
    <row r="144" spans="1:9" hidden="1" x14ac:dyDescent="0.2">
      <c r="A144" s="578">
        <v>54204</v>
      </c>
      <c r="B144" s="579" t="s">
        <v>52</v>
      </c>
      <c r="C144" s="841">
        <v>0</v>
      </c>
      <c r="D144" s="841">
        <v>0</v>
      </c>
      <c r="E144" s="841">
        <v>0</v>
      </c>
      <c r="F144" s="841">
        <v>0</v>
      </c>
      <c r="G144" s="599">
        <f>SUM(C144:F144)</f>
        <v>0</v>
      </c>
      <c r="H144" s="96"/>
    </row>
    <row r="145" spans="1:8" x14ac:dyDescent="0.2">
      <c r="A145" s="578">
        <v>54205</v>
      </c>
      <c r="B145" s="579" t="s">
        <v>53</v>
      </c>
      <c r="C145" s="841">
        <v>0</v>
      </c>
      <c r="D145" s="841">
        <v>0</v>
      </c>
      <c r="E145" s="841">
        <v>0</v>
      </c>
      <c r="F145" s="841">
        <v>12000</v>
      </c>
      <c r="G145" s="599">
        <f>SUM(C145:F145)</f>
        <v>12000</v>
      </c>
      <c r="H145" s="96"/>
    </row>
    <row r="146" spans="1:8" x14ac:dyDescent="0.2">
      <c r="A146" s="573">
        <v>543</v>
      </c>
      <c r="B146" s="574" t="s">
        <v>54</v>
      </c>
      <c r="C146" s="844">
        <f>SUM(C147:C162)</f>
        <v>12450</v>
      </c>
      <c r="D146" s="844">
        <f>SUM(D147:D162)</f>
        <v>1050</v>
      </c>
      <c r="E146" s="844">
        <f>SUM(E147:E162)</f>
        <v>100</v>
      </c>
      <c r="F146" s="844">
        <f>SUM(F147:F162)</f>
        <v>5600</v>
      </c>
      <c r="G146" s="597">
        <f>SUM(G147:G162)</f>
        <v>19200</v>
      </c>
      <c r="H146" s="96"/>
    </row>
    <row r="147" spans="1:8" x14ac:dyDescent="0.2">
      <c r="A147" s="578">
        <v>54301</v>
      </c>
      <c r="B147" s="579" t="s">
        <v>55</v>
      </c>
      <c r="C147" s="841">
        <v>850</v>
      </c>
      <c r="D147" s="841">
        <v>250</v>
      </c>
      <c r="E147" s="841">
        <v>100</v>
      </c>
      <c r="F147" s="847">
        <v>300</v>
      </c>
      <c r="G147" s="599">
        <f>SUM(C147:F147)</f>
        <v>1500</v>
      </c>
      <c r="H147" s="96"/>
    </row>
    <row r="148" spans="1:8" x14ac:dyDescent="0.2">
      <c r="A148" s="578">
        <v>54302</v>
      </c>
      <c r="B148" s="579" t="s">
        <v>56</v>
      </c>
      <c r="C148" s="841">
        <v>500</v>
      </c>
      <c r="D148" s="841">
        <v>0</v>
      </c>
      <c r="E148" s="841">
        <v>0</v>
      </c>
      <c r="F148" s="841">
        <v>500</v>
      </c>
      <c r="G148" s="599">
        <f t="shared" ref="G148:G161" si="18">SUM(C148:F148)</f>
        <v>1000</v>
      </c>
      <c r="H148" s="96"/>
    </row>
    <row r="149" spans="1:8" x14ac:dyDescent="0.2">
      <c r="A149" s="578">
        <v>54303</v>
      </c>
      <c r="B149" s="579" t="s">
        <v>57</v>
      </c>
      <c r="C149" s="841"/>
      <c r="D149" s="841">
        <v>0</v>
      </c>
      <c r="E149" s="841">
        <v>0</v>
      </c>
      <c r="F149" s="841">
        <v>0</v>
      </c>
      <c r="G149" s="599">
        <f t="shared" si="18"/>
        <v>0</v>
      </c>
      <c r="H149" s="96"/>
    </row>
    <row r="150" spans="1:8" x14ac:dyDescent="0.2">
      <c r="A150" s="578">
        <v>54304</v>
      </c>
      <c r="B150" s="579" t="s">
        <v>58</v>
      </c>
      <c r="C150" s="841">
        <v>1000</v>
      </c>
      <c r="D150" s="841">
        <v>0</v>
      </c>
      <c r="E150" s="841">
        <v>0</v>
      </c>
      <c r="F150" s="841">
        <v>0</v>
      </c>
      <c r="G150" s="599">
        <f t="shared" si="18"/>
        <v>1000</v>
      </c>
      <c r="H150" s="96"/>
    </row>
    <row r="151" spans="1:8" x14ac:dyDescent="0.2">
      <c r="A151" s="578">
        <v>54305</v>
      </c>
      <c r="B151" s="579" t="s">
        <v>59</v>
      </c>
      <c r="C151" s="841">
        <v>0</v>
      </c>
      <c r="D151" s="841">
        <v>0</v>
      </c>
      <c r="E151" s="841">
        <v>0</v>
      </c>
      <c r="F151" s="841">
        <v>0</v>
      </c>
      <c r="G151" s="599">
        <f t="shared" si="18"/>
        <v>0</v>
      </c>
      <c r="H151" s="96"/>
    </row>
    <row r="152" spans="1:8" hidden="1" x14ac:dyDescent="0.2">
      <c r="A152" s="578">
        <v>54306</v>
      </c>
      <c r="B152" s="579" t="s">
        <v>60</v>
      </c>
      <c r="C152" s="841">
        <v>0</v>
      </c>
      <c r="D152" s="841">
        <v>0</v>
      </c>
      <c r="E152" s="841">
        <v>0</v>
      </c>
      <c r="F152" s="841">
        <v>0</v>
      </c>
      <c r="G152" s="599">
        <f t="shared" si="18"/>
        <v>0</v>
      </c>
      <c r="H152" s="96"/>
    </row>
    <row r="153" spans="1:8" hidden="1" x14ac:dyDescent="0.2">
      <c r="A153" s="578">
        <v>54307</v>
      </c>
      <c r="B153" s="579" t="s">
        <v>61</v>
      </c>
      <c r="C153" s="841">
        <v>0</v>
      </c>
      <c r="D153" s="841">
        <v>0</v>
      </c>
      <c r="E153" s="841">
        <v>0</v>
      </c>
      <c r="F153" s="841">
        <v>0</v>
      </c>
      <c r="G153" s="599">
        <f t="shared" si="18"/>
        <v>0</v>
      </c>
      <c r="H153" s="96"/>
    </row>
    <row r="154" spans="1:8" hidden="1" x14ac:dyDescent="0.2">
      <c r="A154" s="578">
        <v>54309</v>
      </c>
      <c r="B154" s="579" t="s">
        <v>62</v>
      </c>
      <c r="C154" s="841">
        <v>0</v>
      </c>
      <c r="D154" s="841">
        <v>0</v>
      </c>
      <c r="E154" s="841">
        <v>0</v>
      </c>
      <c r="F154" s="841">
        <v>0</v>
      </c>
      <c r="G154" s="599">
        <f t="shared" si="18"/>
        <v>0</v>
      </c>
      <c r="H154" s="96"/>
    </row>
    <row r="155" spans="1:8" hidden="1" x14ac:dyDescent="0.2">
      <c r="A155" s="578">
        <v>54310</v>
      </c>
      <c r="B155" s="579" t="s">
        <v>63</v>
      </c>
      <c r="C155" s="841">
        <v>0</v>
      </c>
      <c r="D155" s="841">
        <v>0</v>
      </c>
      <c r="E155" s="841">
        <v>0</v>
      </c>
      <c r="F155" s="841">
        <v>0</v>
      </c>
      <c r="G155" s="599">
        <f t="shared" si="18"/>
        <v>0</v>
      </c>
      <c r="H155" s="96"/>
    </row>
    <row r="156" spans="1:8" hidden="1" x14ac:dyDescent="0.2">
      <c r="A156" s="578">
        <v>54311</v>
      </c>
      <c r="B156" s="579" t="s">
        <v>64</v>
      </c>
      <c r="C156" s="841">
        <v>0</v>
      </c>
      <c r="D156" s="841">
        <v>0</v>
      </c>
      <c r="E156" s="841">
        <v>0</v>
      </c>
      <c r="F156" s="841">
        <v>0</v>
      </c>
      <c r="G156" s="599">
        <f t="shared" si="18"/>
        <v>0</v>
      </c>
      <c r="H156" s="96"/>
    </row>
    <row r="157" spans="1:8" x14ac:dyDescent="0.2">
      <c r="A157" s="578">
        <v>54313</v>
      </c>
      <c r="B157" s="579" t="s">
        <v>65</v>
      </c>
      <c r="C157" s="841">
        <v>100</v>
      </c>
      <c r="D157" s="841">
        <v>100</v>
      </c>
      <c r="E157" s="841">
        <v>0</v>
      </c>
      <c r="F157" s="841">
        <v>0</v>
      </c>
      <c r="G157" s="599">
        <f t="shared" si="18"/>
        <v>200</v>
      </c>
      <c r="H157" s="96"/>
    </row>
    <row r="158" spans="1:8" x14ac:dyDescent="0.2">
      <c r="A158" s="578">
        <v>54307</v>
      </c>
      <c r="B158" s="579" t="s">
        <v>61</v>
      </c>
      <c r="C158" s="841">
        <v>0</v>
      </c>
      <c r="D158" s="841">
        <v>0</v>
      </c>
      <c r="E158" s="841">
        <v>0</v>
      </c>
      <c r="F158" s="841">
        <v>0</v>
      </c>
      <c r="G158" s="599">
        <f t="shared" si="18"/>
        <v>0</v>
      </c>
      <c r="H158" s="96"/>
    </row>
    <row r="159" spans="1:8" x14ac:dyDescent="0.2">
      <c r="A159" s="578">
        <v>54314</v>
      </c>
      <c r="B159" s="579" t="s">
        <v>66</v>
      </c>
      <c r="C159" s="841">
        <v>9000</v>
      </c>
      <c r="D159" s="841">
        <v>0</v>
      </c>
      <c r="E159" s="841">
        <v>0</v>
      </c>
      <c r="F159" s="841">
        <v>0</v>
      </c>
      <c r="G159" s="599">
        <f t="shared" si="18"/>
        <v>9000</v>
      </c>
      <c r="H159" s="96"/>
    </row>
    <row r="160" spans="1:8" x14ac:dyDescent="0.2">
      <c r="A160" s="578">
        <v>54316</v>
      </c>
      <c r="B160" s="579" t="s">
        <v>67</v>
      </c>
      <c r="C160" s="841">
        <v>0</v>
      </c>
      <c r="D160" s="841">
        <v>0</v>
      </c>
      <c r="E160" s="841">
        <v>0</v>
      </c>
      <c r="F160" s="841">
        <v>0</v>
      </c>
      <c r="G160" s="599">
        <f t="shared" si="18"/>
        <v>0</v>
      </c>
      <c r="H160" s="96"/>
    </row>
    <row r="161" spans="1:8" x14ac:dyDescent="0.2">
      <c r="A161" s="578">
        <v>54317</v>
      </c>
      <c r="B161" s="579" t="s">
        <v>68</v>
      </c>
      <c r="C161" s="841">
        <v>0</v>
      </c>
      <c r="D161" s="841">
        <v>0</v>
      </c>
      <c r="E161" s="841">
        <v>0</v>
      </c>
      <c r="F161" s="841">
        <f>(100+125+150)*12</f>
        <v>4500</v>
      </c>
      <c r="G161" s="599">
        <f t="shared" si="18"/>
        <v>4500</v>
      </c>
      <c r="H161" s="96"/>
    </row>
    <row r="162" spans="1:8" x14ac:dyDescent="0.2">
      <c r="A162" s="578">
        <v>54399</v>
      </c>
      <c r="B162" s="579" t="s">
        <v>69</v>
      </c>
      <c r="C162" s="841">
        <v>1000</v>
      </c>
      <c r="D162" s="841">
        <v>700</v>
      </c>
      <c r="E162" s="841">
        <v>0</v>
      </c>
      <c r="F162" s="841">
        <v>300</v>
      </c>
      <c r="G162" s="599">
        <f>SUM(C162:F162)</f>
        <v>2000</v>
      </c>
      <c r="H162" s="96"/>
    </row>
    <row r="163" spans="1:8" x14ac:dyDescent="0.2">
      <c r="A163" s="573">
        <v>544</v>
      </c>
      <c r="B163" s="574" t="s">
        <v>70</v>
      </c>
      <c r="C163" s="844">
        <f>SUM(C164:C175)</f>
        <v>2200</v>
      </c>
      <c r="D163" s="844">
        <f>SUM(D164:D166)</f>
        <v>200</v>
      </c>
      <c r="E163" s="844">
        <f>SUM(E164:E166)</f>
        <v>100</v>
      </c>
      <c r="F163" s="844">
        <f>SUM(F164:F166)</f>
        <v>200</v>
      </c>
      <c r="G163" s="597">
        <f>SUM(C163:F163)</f>
        <v>2700</v>
      </c>
      <c r="H163" s="96"/>
    </row>
    <row r="164" spans="1:8" x14ac:dyDescent="0.2">
      <c r="A164" s="578">
        <v>54401</v>
      </c>
      <c r="B164" s="579" t="s">
        <v>71</v>
      </c>
      <c r="C164" s="841">
        <v>50</v>
      </c>
      <c r="D164" s="841">
        <v>100</v>
      </c>
      <c r="E164" s="841">
        <v>50</v>
      </c>
      <c r="F164" s="841">
        <v>50</v>
      </c>
      <c r="G164" s="599">
        <f>SUM(C164:F164)</f>
        <v>250</v>
      </c>
      <c r="H164" s="96"/>
    </row>
    <row r="165" spans="1:8" hidden="1" x14ac:dyDescent="0.2">
      <c r="A165" s="578">
        <v>54402</v>
      </c>
      <c r="B165" s="579" t="s">
        <v>72</v>
      </c>
      <c r="C165" s="841">
        <v>0</v>
      </c>
      <c r="D165" s="841">
        <v>0</v>
      </c>
      <c r="E165" s="841">
        <v>0</v>
      </c>
      <c r="F165" s="841">
        <v>0</v>
      </c>
      <c r="G165" s="599">
        <f t="shared" ref="G165:G181" si="19">+C165+F165</f>
        <v>0</v>
      </c>
      <c r="H165" s="96"/>
    </row>
    <row r="166" spans="1:8" x14ac:dyDescent="0.2">
      <c r="A166" s="578">
        <v>54403</v>
      </c>
      <c r="B166" s="579" t="s">
        <v>73</v>
      </c>
      <c r="C166" s="841">
        <v>150</v>
      </c>
      <c r="D166" s="841">
        <v>100</v>
      </c>
      <c r="E166" s="841">
        <v>50</v>
      </c>
      <c r="F166" s="841">
        <v>150</v>
      </c>
      <c r="G166" s="599">
        <f>SUM(C166:F166)</f>
        <v>450</v>
      </c>
      <c r="H166" s="96"/>
    </row>
    <row r="167" spans="1:8" x14ac:dyDescent="0.2">
      <c r="A167" s="578">
        <v>54404</v>
      </c>
      <c r="B167" s="579" t="s">
        <v>74</v>
      </c>
      <c r="C167" s="841">
        <v>2000</v>
      </c>
      <c r="D167" s="841">
        <v>0</v>
      </c>
      <c r="E167" s="841">
        <v>0</v>
      </c>
      <c r="F167" s="841">
        <v>0</v>
      </c>
      <c r="G167" s="599">
        <f t="shared" si="19"/>
        <v>2000</v>
      </c>
      <c r="H167" s="96"/>
    </row>
    <row r="168" spans="1:8" hidden="1" x14ac:dyDescent="0.2">
      <c r="A168" s="573">
        <v>545</v>
      </c>
      <c r="B168" s="574" t="s">
        <v>75</v>
      </c>
      <c r="C168" s="844">
        <f>SUM(C169:C175)</f>
        <v>0</v>
      </c>
      <c r="D168" s="844">
        <f>SUM(D169:D175)</f>
        <v>0</v>
      </c>
      <c r="E168" s="844"/>
      <c r="F168" s="844">
        <f>SUM(F169:F175)</f>
        <v>0</v>
      </c>
      <c r="G168" s="597">
        <f t="shared" si="19"/>
        <v>0</v>
      </c>
      <c r="H168" s="96"/>
    </row>
    <row r="169" spans="1:8" hidden="1" x14ac:dyDescent="0.2">
      <c r="A169" s="578">
        <v>54501</v>
      </c>
      <c r="B169" s="579" t="s">
        <v>76</v>
      </c>
      <c r="C169" s="841">
        <v>0</v>
      </c>
      <c r="D169" s="841"/>
      <c r="E169" s="841"/>
      <c r="F169" s="841"/>
      <c r="G169" s="599">
        <f t="shared" si="19"/>
        <v>0</v>
      </c>
      <c r="H169" s="96"/>
    </row>
    <row r="170" spans="1:8" hidden="1" x14ac:dyDescent="0.2">
      <c r="A170" s="578">
        <v>54503</v>
      </c>
      <c r="B170" s="579" t="s">
        <v>77</v>
      </c>
      <c r="C170" s="841">
        <v>0</v>
      </c>
      <c r="D170" s="841">
        <v>0</v>
      </c>
      <c r="E170" s="841">
        <v>0</v>
      </c>
      <c r="F170" s="841">
        <v>0</v>
      </c>
      <c r="G170" s="599">
        <f t="shared" si="19"/>
        <v>0</v>
      </c>
      <c r="H170" s="96"/>
    </row>
    <row r="171" spans="1:8" hidden="1" x14ac:dyDescent="0.2">
      <c r="A171" s="578">
        <v>54504</v>
      </c>
      <c r="B171" s="579" t="s">
        <v>78</v>
      </c>
      <c r="C171" s="841">
        <v>0</v>
      </c>
      <c r="D171" s="841">
        <v>0</v>
      </c>
      <c r="E171" s="841">
        <v>0</v>
      </c>
      <c r="F171" s="841">
        <v>0</v>
      </c>
      <c r="G171" s="599">
        <f t="shared" si="19"/>
        <v>0</v>
      </c>
      <c r="H171" s="96"/>
    </row>
    <row r="172" spans="1:8" hidden="1" x14ac:dyDescent="0.2">
      <c r="A172" s="578">
        <v>54505</v>
      </c>
      <c r="B172" s="579" t="s">
        <v>79</v>
      </c>
      <c r="C172" s="841">
        <v>0</v>
      </c>
      <c r="D172" s="841">
        <v>0</v>
      </c>
      <c r="E172" s="841">
        <v>0</v>
      </c>
      <c r="F172" s="841">
        <v>0</v>
      </c>
      <c r="G172" s="599">
        <f t="shared" si="19"/>
        <v>0</v>
      </c>
      <c r="H172" s="96"/>
    </row>
    <row r="173" spans="1:8" hidden="1" x14ac:dyDescent="0.2">
      <c r="A173" s="578">
        <v>54507</v>
      </c>
      <c r="B173" s="579" t="s">
        <v>80</v>
      </c>
      <c r="C173" s="841">
        <v>0</v>
      </c>
      <c r="D173" s="841">
        <v>0</v>
      </c>
      <c r="E173" s="841">
        <v>0</v>
      </c>
      <c r="F173" s="841">
        <v>0</v>
      </c>
      <c r="G173" s="599">
        <f t="shared" si="19"/>
        <v>0</v>
      </c>
      <c r="H173" s="96"/>
    </row>
    <row r="174" spans="1:8" hidden="1" x14ac:dyDescent="0.2">
      <c r="A174" s="578">
        <v>54508</v>
      </c>
      <c r="B174" s="579" t="s">
        <v>81</v>
      </c>
      <c r="C174" s="841">
        <v>0</v>
      </c>
      <c r="D174" s="841">
        <v>0</v>
      </c>
      <c r="E174" s="841">
        <v>0</v>
      </c>
      <c r="F174" s="841">
        <v>0</v>
      </c>
      <c r="G174" s="599">
        <f t="shared" si="19"/>
        <v>0</v>
      </c>
      <c r="H174" s="96"/>
    </row>
    <row r="175" spans="1:8" hidden="1" x14ac:dyDescent="0.2">
      <c r="A175" s="578">
        <v>54599</v>
      </c>
      <c r="B175" s="579" t="s">
        <v>82</v>
      </c>
      <c r="C175" s="841">
        <v>0</v>
      </c>
      <c r="D175" s="841">
        <v>0</v>
      </c>
      <c r="E175" s="841">
        <v>0</v>
      </c>
      <c r="F175" s="841">
        <v>0</v>
      </c>
      <c r="G175" s="599">
        <f t="shared" si="19"/>
        <v>0</v>
      </c>
      <c r="H175" s="96"/>
    </row>
    <row r="176" spans="1:8" x14ac:dyDescent="0.2">
      <c r="A176" s="615" t="s">
        <v>459</v>
      </c>
      <c r="B176" s="579"/>
      <c r="C176" s="841"/>
      <c r="D176" s="841"/>
      <c r="E176" s="841"/>
      <c r="F176" s="841"/>
      <c r="G176" s="599"/>
      <c r="H176" s="96"/>
    </row>
    <row r="177" spans="1:9" x14ac:dyDescent="0.2">
      <c r="A177" s="573">
        <v>55</v>
      </c>
      <c r="B177" s="574" t="s">
        <v>83</v>
      </c>
      <c r="C177" s="844">
        <f>C178+C182+C184</f>
        <v>728.86</v>
      </c>
      <c r="D177" s="844">
        <f>D178+D182+D184</f>
        <v>257.18</v>
      </c>
      <c r="E177" s="844">
        <f>E178+E182+E184</f>
        <v>0</v>
      </c>
      <c r="F177" s="844">
        <f>F178+F182+F184</f>
        <v>120.01</v>
      </c>
      <c r="G177" s="597">
        <f>G178+G182+G184</f>
        <v>1106.0500000000002</v>
      </c>
      <c r="H177" s="96"/>
    </row>
    <row r="178" spans="1:9" hidden="1" x14ac:dyDescent="0.2">
      <c r="A178" s="573">
        <v>553</v>
      </c>
      <c r="B178" s="574" t="s">
        <v>84</v>
      </c>
      <c r="C178" s="841">
        <v>0</v>
      </c>
      <c r="D178" s="841">
        <v>0</v>
      </c>
      <c r="E178" s="841">
        <v>0</v>
      </c>
      <c r="F178" s="841">
        <v>0</v>
      </c>
      <c r="G178" s="597">
        <f t="shared" si="19"/>
        <v>0</v>
      </c>
      <c r="H178" s="96"/>
    </row>
    <row r="179" spans="1:9" hidden="1" x14ac:dyDescent="0.2">
      <c r="A179" s="578">
        <v>55303</v>
      </c>
      <c r="B179" s="579" t="s">
        <v>85</v>
      </c>
      <c r="C179" s="841">
        <v>0</v>
      </c>
      <c r="D179" s="841">
        <v>0</v>
      </c>
      <c r="E179" s="841">
        <v>0</v>
      </c>
      <c r="F179" s="841">
        <v>0</v>
      </c>
      <c r="G179" s="599">
        <f t="shared" si="19"/>
        <v>0</v>
      </c>
      <c r="H179" s="96"/>
    </row>
    <row r="180" spans="1:9" hidden="1" x14ac:dyDescent="0.2">
      <c r="A180" s="578">
        <v>55304</v>
      </c>
      <c r="B180" s="579" t="s">
        <v>86</v>
      </c>
      <c r="C180" s="841">
        <v>0</v>
      </c>
      <c r="D180" s="841">
        <v>0</v>
      </c>
      <c r="E180" s="841">
        <v>0</v>
      </c>
      <c r="F180" s="841">
        <v>0</v>
      </c>
      <c r="G180" s="599">
        <f t="shared" si="19"/>
        <v>0</v>
      </c>
      <c r="H180" s="96"/>
    </row>
    <row r="181" spans="1:9" hidden="1" x14ac:dyDescent="0.2">
      <c r="A181" s="578">
        <v>55308</v>
      </c>
      <c r="B181" s="579" t="s">
        <v>87</v>
      </c>
      <c r="C181" s="841">
        <v>0</v>
      </c>
      <c r="D181" s="841">
        <v>0</v>
      </c>
      <c r="E181" s="841">
        <v>0</v>
      </c>
      <c r="F181" s="841">
        <v>0</v>
      </c>
      <c r="G181" s="599">
        <f t="shared" si="19"/>
        <v>0</v>
      </c>
      <c r="H181" s="96"/>
    </row>
    <row r="182" spans="1:9" s="54" customFormat="1" x14ac:dyDescent="0.2">
      <c r="A182" s="573">
        <v>555</v>
      </c>
      <c r="B182" s="574" t="s">
        <v>481</v>
      </c>
      <c r="C182" s="844">
        <f>C183</f>
        <v>28.86</v>
      </c>
      <c r="D182" s="844">
        <f>D183</f>
        <v>0</v>
      </c>
      <c r="E182" s="844">
        <f>E183</f>
        <v>0</v>
      </c>
      <c r="F182" s="844">
        <f>F183</f>
        <v>120.01</v>
      </c>
      <c r="G182" s="597">
        <f>+C182+D182+E182+F182</f>
        <v>148.87</v>
      </c>
      <c r="H182" s="187"/>
      <c r="I182" s="191"/>
    </row>
    <row r="183" spans="1:9" x14ac:dyDescent="0.2">
      <c r="A183" s="578">
        <v>55508</v>
      </c>
      <c r="B183" s="584" t="s">
        <v>335</v>
      </c>
      <c r="C183" s="841">
        <v>28.86</v>
      </c>
      <c r="D183" s="841">
        <v>0</v>
      </c>
      <c r="E183" s="841">
        <v>0</v>
      </c>
      <c r="F183" s="841">
        <v>120.01</v>
      </c>
      <c r="G183" s="598">
        <f>+C183+D183+E183+F183</f>
        <v>148.87</v>
      </c>
      <c r="H183" s="96"/>
    </row>
    <row r="184" spans="1:9" x14ac:dyDescent="0.2">
      <c r="A184" s="573">
        <v>556</v>
      </c>
      <c r="B184" s="574" t="s">
        <v>88</v>
      </c>
      <c r="C184" s="844">
        <f>SUM(C185:C187)</f>
        <v>700</v>
      </c>
      <c r="D184" s="844">
        <f>SUM(D185:D187)</f>
        <v>257.18</v>
      </c>
      <c r="E184" s="844">
        <v>0</v>
      </c>
      <c r="F184" s="844">
        <v>0</v>
      </c>
      <c r="G184" s="597">
        <f>+C184+D184+F184</f>
        <v>957.18000000000006</v>
      </c>
      <c r="H184" s="96"/>
    </row>
    <row r="185" spans="1:9" x14ac:dyDescent="0.2">
      <c r="A185" s="578">
        <v>55601</v>
      </c>
      <c r="B185" s="579" t="s">
        <v>89</v>
      </c>
      <c r="C185" s="847">
        <v>0</v>
      </c>
      <c r="D185" s="847">
        <v>0</v>
      </c>
      <c r="E185" s="847">
        <v>0</v>
      </c>
      <c r="F185" s="847">
        <v>0</v>
      </c>
      <c r="G185" s="599">
        <f t="shared" ref="G185:G186" si="20">+C185+D185+E185+F185</f>
        <v>0</v>
      </c>
      <c r="H185" s="96"/>
    </row>
    <row r="186" spans="1:9" x14ac:dyDescent="0.2">
      <c r="A186" s="578">
        <v>55602</v>
      </c>
      <c r="B186" s="579" t="s">
        <v>90</v>
      </c>
      <c r="C186" s="847">
        <v>700</v>
      </c>
      <c r="D186" s="847">
        <v>0</v>
      </c>
      <c r="E186" s="847">
        <v>0</v>
      </c>
      <c r="F186" s="847">
        <v>0</v>
      </c>
      <c r="G186" s="599">
        <f t="shared" si="20"/>
        <v>700</v>
      </c>
      <c r="H186" s="96"/>
    </row>
    <row r="187" spans="1:9" x14ac:dyDescent="0.2">
      <c r="A187" s="578">
        <v>55603</v>
      </c>
      <c r="B187" s="579" t="s">
        <v>91</v>
      </c>
      <c r="C187" s="841">
        <v>0</v>
      </c>
      <c r="D187" s="841">
        <f>250+7.18</f>
        <v>257.18</v>
      </c>
      <c r="E187" s="841">
        <v>0</v>
      </c>
      <c r="F187" s="841">
        <v>0</v>
      </c>
      <c r="G187" s="599">
        <f>+C187+D187+E187+F187</f>
        <v>257.18</v>
      </c>
      <c r="H187" s="96"/>
    </row>
    <row r="188" spans="1:9" hidden="1" x14ac:dyDescent="0.2">
      <c r="A188" s="573">
        <v>557</v>
      </c>
      <c r="B188" s="574" t="s">
        <v>92</v>
      </c>
      <c r="C188" s="844">
        <f>SUM(C189:C191)</f>
        <v>0</v>
      </c>
      <c r="D188" s="844">
        <f>SUM(D189:D191)</f>
        <v>0</v>
      </c>
      <c r="E188" s="844">
        <f>SUM(E189:E191)</f>
        <v>0</v>
      </c>
      <c r="F188" s="844">
        <f>SUM(F189:F191)</f>
        <v>0</v>
      </c>
      <c r="G188" s="597">
        <f t="shared" ref="G188:G199" si="21">+C188+F188</f>
        <v>0</v>
      </c>
      <c r="H188" s="96"/>
    </row>
    <row r="189" spans="1:9" hidden="1" x14ac:dyDescent="0.2">
      <c r="A189" s="578">
        <v>55701</v>
      </c>
      <c r="B189" s="579" t="s">
        <v>93</v>
      </c>
      <c r="C189" s="841">
        <v>0</v>
      </c>
      <c r="D189" s="841">
        <v>0</v>
      </c>
      <c r="E189" s="841">
        <v>0</v>
      </c>
      <c r="F189" s="841">
        <v>0</v>
      </c>
      <c r="G189" s="599">
        <f t="shared" si="21"/>
        <v>0</v>
      </c>
      <c r="H189" s="96"/>
    </row>
    <row r="190" spans="1:9" hidden="1" x14ac:dyDescent="0.2">
      <c r="A190" s="578">
        <v>55702</v>
      </c>
      <c r="B190" s="579" t="s">
        <v>94</v>
      </c>
      <c r="C190" s="841">
        <v>0</v>
      </c>
      <c r="D190" s="841">
        <v>0</v>
      </c>
      <c r="E190" s="841">
        <v>0</v>
      </c>
      <c r="F190" s="841">
        <v>0</v>
      </c>
      <c r="G190" s="599">
        <f t="shared" si="21"/>
        <v>0</v>
      </c>
      <c r="H190" s="96"/>
    </row>
    <row r="191" spans="1:9" hidden="1" x14ac:dyDescent="0.2">
      <c r="A191" s="578">
        <v>55799</v>
      </c>
      <c r="B191" s="579" t="s">
        <v>95</v>
      </c>
      <c r="C191" s="841">
        <v>0</v>
      </c>
      <c r="D191" s="841">
        <v>0</v>
      </c>
      <c r="E191" s="841">
        <v>0</v>
      </c>
      <c r="F191" s="841">
        <v>0</v>
      </c>
      <c r="G191" s="599">
        <f t="shared" si="21"/>
        <v>0</v>
      </c>
      <c r="H191" s="96"/>
    </row>
    <row r="192" spans="1:9" x14ac:dyDescent="0.2">
      <c r="A192" s="615" t="s">
        <v>459</v>
      </c>
      <c r="B192" s="579"/>
      <c r="C192" s="841"/>
      <c r="D192" s="841"/>
      <c r="E192" s="841"/>
      <c r="F192" s="841"/>
      <c r="G192" s="599"/>
      <c r="H192" s="96"/>
    </row>
    <row r="193" spans="1:9" x14ac:dyDescent="0.2">
      <c r="A193" s="573">
        <v>56</v>
      </c>
      <c r="B193" s="574" t="s">
        <v>96</v>
      </c>
      <c r="C193" s="844">
        <f>C194+C197</f>
        <v>11549.5</v>
      </c>
      <c r="D193" s="844">
        <f>D194+D197</f>
        <v>0</v>
      </c>
      <c r="E193" s="844">
        <v>0</v>
      </c>
      <c r="F193" s="844">
        <v>0</v>
      </c>
      <c r="G193" s="597">
        <f>+C193+F193</f>
        <v>11549.5</v>
      </c>
      <c r="H193" s="96"/>
    </row>
    <row r="194" spans="1:9" x14ac:dyDescent="0.2">
      <c r="A194" s="573">
        <v>562</v>
      </c>
      <c r="B194" s="574" t="s">
        <v>97</v>
      </c>
      <c r="C194" s="844">
        <f>C196</f>
        <v>2549.5</v>
      </c>
      <c r="D194" s="844">
        <f>SUM(D195:D196)</f>
        <v>0</v>
      </c>
      <c r="E194" s="844">
        <v>0</v>
      </c>
      <c r="F194" s="844">
        <v>0</v>
      </c>
      <c r="G194" s="597">
        <f t="shared" si="21"/>
        <v>2549.5</v>
      </c>
      <c r="H194" s="96"/>
    </row>
    <row r="195" spans="1:9" hidden="1" x14ac:dyDescent="0.2">
      <c r="A195" s="578">
        <v>56201</v>
      </c>
      <c r="B195" s="584" t="s">
        <v>489</v>
      </c>
      <c r="C195" s="841">
        <v>0</v>
      </c>
      <c r="D195" s="841">
        <v>0</v>
      </c>
      <c r="E195" s="841">
        <v>0</v>
      </c>
      <c r="F195" s="841">
        <v>0</v>
      </c>
      <c r="G195" s="599">
        <f t="shared" si="21"/>
        <v>0</v>
      </c>
      <c r="H195" s="96"/>
    </row>
    <row r="196" spans="1:9" x14ac:dyDescent="0.2">
      <c r="A196" s="578">
        <v>56201</v>
      </c>
      <c r="B196" s="584" t="s">
        <v>484</v>
      </c>
      <c r="C196" s="841">
        <f>'PLLA MUNICIPAL LEY SAL'!Q82</f>
        <v>2549.5</v>
      </c>
      <c r="D196" s="841">
        <v>0</v>
      </c>
      <c r="E196" s="841">
        <v>0</v>
      </c>
      <c r="F196" s="841">
        <v>0</v>
      </c>
      <c r="G196" s="599">
        <f>+C196+F196</f>
        <v>2549.5</v>
      </c>
      <c r="H196" s="96"/>
    </row>
    <row r="197" spans="1:9" x14ac:dyDescent="0.2">
      <c r="A197" s="573">
        <v>563</v>
      </c>
      <c r="B197" s="574" t="s">
        <v>99</v>
      </c>
      <c r="C197" s="844">
        <f>SUM(C198:C199)</f>
        <v>9000</v>
      </c>
      <c r="D197" s="844">
        <f>SUM(D198:D199)</f>
        <v>0</v>
      </c>
      <c r="E197" s="844">
        <v>0</v>
      </c>
      <c r="F197" s="844">
        <v>0</v>
      </c>
      <c r="G197" s="597">
        <f t="shared" si="21"/>
        <v>9000</v>
      </c>
      <c r="H197" s="96"/>
    </row>
    <row r="198" spans="1:9" x14ac:dyDescent="0.2">
      <c r="A198" s="578">
        <v>56303</v>
      </c>
      <c r="B198" s="579" t="s">
        <v>98</v>
      </c>
      <c r="C198" s="841">
        <v>0</v>
      </c>
      <c r="D198" s="841">
        <v>0</v>
      </c>
      <c r="E198" s="841">
        <v>0</v>
      </c>
      <c r="F198" s="841">
        <v>0</v>
      </c>
      <c r="G198" s="599">
        <f t="shared" si="21"/>
        <v>0</v>
      </c>
      <c r="H198" s="96"/>
    </row>
    <row r="199" spans="1:9" x14ac:dyDescent="0.2">
      <c r="A199" s="578">
        <v>56304</v>
      </c>
      <c r="B199" s="579" t="s">
        <v>109</v>
      </c>
      <c r="C199" s="841">
        <v>9000</v>
      </c>
      <c r="D199" s="841">
        <v>0</v>
      </c>
      <c r="E199" s="841">
        <v>0</v>
      </c>
      <c r="F199" s="841">
        <v>0</v>
      </c>
      <c r="G199" s="599">
        <f t="shared" si="21"/>
        <v>9000</v>
      </c>
      <c r="H199" s="96"/>
    </row>
    <row r="200" spans="1:9" x14ac:dyDescent="0.2">
      <c r="A200" s="578"/>
      <c r="B200" s="579"/>
      <c r="C200" s="841"/>
      <c r="D200" s="841"/>
      <c r="E200" s="841"/>
      <c r="F200" s="841"/>
      <c r="G200" s="583"/>
      <c r="H200" s="96"/>
    </row>
    <row r="201" spans="1:9" s="54" customFormat="1" x14ac:dyDescent="0.2">
      <c r="A201" s="573">
        <v>72</v>
      </c>
      <c r="B201" s="574" t="s">
        <v>13</v>
      </c>
      <c r="C201" s="844">
        <f>C202</f>
        <v>87265.680000000022</v>
      </c>
      <c r="D201" s="844">
        <f t="shared" ref="D201:F202" si="22">D202</f>
        <v>0</v>
      </c>
      <c r="E201" s="844">
        <f t="shared" si="22"/>
        <v>0</v>
      </c>
      <c r="F201" s="844">
        <f t="shared" si="22"/>
        <v>35.229999999999997</v>
      </c>
      <c r="G201" s="576">
        <f>G202</f>
        <v>87300.910000000018</v>
      </c>
      <c r="H201" s="187"/>
      <c r="I201" s="191"/>
    </row>
    <row r="202" spans="1:9" s="54" customFormat="1" x14ac:dyDescent="0.2">
      <c r="A202" s="573">
        <v>721</v>
      </c>
      <c r="B202" s="574" t="s">
        <v>182</v>
      </c>
      <c r="C202" s="844">
        <f>C203</f>
        <v>87265.680000000022</v>
      </c>
      <c r="D202" s="844">
        <f t="shared" si="22"/>
        <v>0</v>
      </c>
      <c r="E202" s="844">
        <f t="shared" si="22"/>
        <v>0</v>
      </c>
      <c r="F202" s="844">
        <f t="shared" si="22"/>
        <v>35.229999999999997</v>
      </c>
      <c r="G202" s="576">
        <f>G203</f>
        <v>87300.910000000018</v>
      </c>
      <c r="H202" s="187"/>
      <c r="I202" s="191"/>
    </row>
    <row r="203" spans="1:9" ht="13.5" thickBot="1" x14ac:dyDescent="0.25">
      <c r="A203" s="578">
        <v>72101</v>
      </c>
      <c r="B203" s="579" t="s">
        <v>182</v>
      </c>
      <c r="C203" s="962">
        <f>76770.45+13.58+21.34+65.96+610.13+5590+195+724.24+32.1+3242.88</f>
        <v>87265.680000000022</v>
      </c>
      <c r="D203" s="841">
        <v>0</v>
      </c>
      <c r="E203" s="841">
        <v>0</v>
      </c>
      <c r="F203" s="841">
        <v>35.229999999999997</v>
      </c>
      <c r="G203" s="599">
        <f>C203+D203+E203+F203</f>
        <v>87300.910000000018</v>
      </c>
      <c r="H203" s="96"/>
    </row>
    <row r="204" spans="1:9" hidden="1" x14ac:dyDescent="0.2">
      <c r="A204" s="616" t="s">
        <v>162</v>
      </c>
      <c r="B204" s="617" t="s">
        <v>163</v>
      </c>
      <c r="C204" s="602">
        <f>C205</f>
        <v>0</v>
      </c>
      <c r="D204" s="603">
        <f t="shared" ref="D204:F205" si="23">D205</f>
        <v>0</v>
      </c>
      <c r="E204" s="603">
        <f t="shared" si="23"/>
        <v>0</v>
      </c>
      <c r="F204" s="604">
        <f t="shared" si="23"/>
        <v>0</v>
      </c>
      <c r="G204" s="597">
        <f>G205</f>
        <v>0</v>
      </c>
      <c r="H204" s="96"/>
    </row>
    <row r="205" spans="1:9" hidden="1" x14ac:dyDescent="0.2">
      <c r="A205" s="616" t="s">
        <v>254</v>
      </c>
      <c r="B205" s="617" t="s">
        <v>199</v>
      </c>
      <c r="C205" s="602">
        <f>C206</f>
        <v>0</v>
      </c>
      <c r="D205" s="603">
        <f t="shared" si="23"/>
        <v>0</v>
      </c>
      <c r="E205" s="603">
        <f t="shared" si="23"/>
        <v>0</v>
      </c>
      <c r="F205" s="604">
        <f t="shared" si="23"/>
        <v>0</v>
      </c>
      <c r="G205" s="597">
        <f>G206</f>
        <v>0</v>
      </c>
      <c r="H205" s="96"/>
    </row>
    <row r="206" spans="1:9" ht="13.5" hidden="1" thickBot="1" x14ac:dyDescent="0.25">
      <c r="A206" s="618" t="s">
        <v>255</v>
      </c>
      <c r="B206" s="619" t="s">
        <v>256</v>
      </c>
      <c r="C206" s="607">
        <v>0</v>
      </c>
      <c r="D206" s="608">
        <v>0</v>
      </c>
      <c r="E206" s="608">
        <v>0</v>
      </c>
      <c r="F206" s="620">
        <v>0</v>
      </c>
      <c r="G206" s="621">
        <f>+C206+F206</f>
        <v>0</v>
      </c>
      <c r="H206" s="96"/>
    </row>
    <row r="207" spans="1:9" ht="13.5" thickBot="1" x14ac:dyDescent="0.25">
      <c r="A207" s="622"/>
      <c r="B207" s="623" t="s">
        <v>25</v>
      </c>
      <c r="C207" s="612">
        <f>+C193+C177+C119+C201</f>
        <v>131748.04000000004</v>
      </c>
      <c r="D207" s="612">
        <f t="shared" ref="D207:F207" si="24">+D193+D177+D119+D201</f>
        <v>3807.18</v>
      </c>
      <c r="E207" s="612">
        <f t="shared" si="24"/>
        <v>1150</v>
      </c>
      <c r="F207" s="612">
        <f t="shared" si="24"/>
        <v>88377.619999999981</v>
      </c>
      <c r="G207" s="612">
        <f>+G193+G177+G119+G201</f>
        <v>225082.84000000003</v>
      </c>
      <c r="H207" s="98"/>
    </row>
    <row r="208" spans="1:9" x14ac:dyDescent="0.2">
      <c r="G208" s="613">
        <f>'ING. REALES'!I73-'AG1'!D12</f>
        <v>225082.83999999997</v>
      </c>
    </row>
    <row r="211" spans="3:9" x14ac:dyDescent="0.2">
      <c r="C211" s="567">
        <f>C207+C99</f>
        <v>398462.15</v>
      </c>
    </row>
    <row r="213" spans="3:9" x14ac:dyDescent="0.2">
      <c r="D213" s="567">
        <f>C207+D207+E207+F207</f>
        <v>225082.84000000003</v>
      </c>
    </row>
    <row r="217" spans="3:9" x14ac:dyDescent="0.2">
      <c r="H217" s="231"/>
      <c r="I217" s="232"/>
    </row>
    <row r="223" spans="3:9" x14ac:dyDescent="0.2">
      <c r="C223" s="512"/>
      <c r="D223" s="512"/>
      <c r="E223" s="512"/>
      <c r="F223" s="512"/>
      <c r="G223" s="512"/>
      <c r="H223"/>
      <c r="I223"/>
    </row>
    <row r="224" spans="3:9" x14ac:dyDescent="0.2">
      <c r="C224" s="512"/>
      <c r="D224" s="512"/>
      <c r="E224" s="512"/>
      <c r="F224" s="512"/>
      <c r="G224" s="512"/>
      <c r="H224"/>
      <c r="I224"/>
    </row>
    <row r="225" spans="3:9" x14ac:dyDescent="0.2">
      <c r="C225" s="512"/>
      <c r="D225" s="512"/>
      <c r="E225" s="512"/>
      <c r="F225" s="512"/>
      <c r="G225" s="512"/>
      <c r="H225"/>
      <c r="I225"/>
    </row>
  </sheetData>
  <autoFilter ref="A116:G207">
    <filterColumn colId="2" showButton="0"/>
    <filterColumn colId="3" showButton="0"/>
    <filterColumn colId="4" showButton="0"/>
    <filterColumn colId="5" showButton="0"/>
  </autoFilter>
  <mergeCells count="26">
    <mergeCell ref="A2:G2"/>
    <mergeCell ref="A3:G3"/>
    <mergeCell ref="A4:G4"/>
    <mergeCell ref="A5:G5"/>
    <mergeCell ref="G9:G10"/>
    <mergeCell ref="E9:E10"/>
    <mergeCell ref="A6:G6"/>
    <mergeCell ref="A8:A10"/>
    <mergeCell ref="B8:B10"/>
    <mergeCell ref="C8:G8"/>
    <mergeCell ref="C9:C10"/>
    <mergeCell ref="D9:D10"/>
    <mergeCell ref="F9:F10"/>
    <mergeCell ref="G117:G118"/>
    <mergeCell ref="E117:E118"/>
    <mergeCell ref="A114:G114"/>
    <mergeCell ref="A110:G110"/>
    <mergeCell ref="A111:G111"/>
    <mergeCell ref="A112:G112"/>
    <mergeCell ref="A113:G113"/>
    <mergeCell ref="A116:A118"/>
    <mergeCell ref="B116:B118"/>
    <mergeCell ref="C116:G116"/>
    <mergeCell ref="C117:C118"/>
    <mergeCell ref="D117:D118"/>
    <mergeCell ref="F117:F118"/>
  </mergeCells>
  <phoneticPr fontId="6" type="noConversion"/>
  <printOptions horizontalCentered="1"/>
  <pageMargins left="0.31496062992125984" right="0.31496062992125984" top="0.43307086614173229" bottom="0.51181102362204722" header="0" footer="0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O151"/>
  <sheetViews>
    <sheetView showGridLines="0" workbookViewId="0">
      <pane ySplit="11" topLeftCell="A125" activePane="bottomLeft" state="frozen"/>
      <selection pane="bottomLeft" activeCell="J139" sqref="J139"/>
    </sheetView>
  </sheetViews>
  <sheetFormatPr baseColWidth="10" defaultRowHeight="12.75" x14ac:dyDescent="0.2"/>
  <cols>
    <col min="1" max="1" width="9.5703125" style="512" customWidth="1"/>
    <col min="2" max="2" width="35.5703125" style="512" customWidth="1"/>
    <col min="3" max="3" width="14.140625" style="567" customWidth="1"/>
    <col min="4" max="4" width="13.28515625" style="719" customWidth="1"/>
    <col min="5" max="5" width="12.28515625" style="512" hidden="1" customWidth="1"/>
    <col min="6" max="7" width="11.42578125" style="512" hidden="1" customWidth="1"/>
    <col min="8" max="8" width="15.28515625" style="512" customWidth="1"/>
    <col min="9" max="9" width="13.5703125" style="17" customWidth="1"/>
    <col min="10" max="10" width="12.85546875" style="17" bestFit="1" customWidth="1"/>
    <col min="11" max="11" width="3.85546875" style="17" customWidth="1"/>
    <col min="12" max="12" width="12.28515625" bestFit="1" customWidth="1"/>
    <col min="13" max="13" width="3.7109375" customWidth="1"/>
  </cols>
  <sheetData>
    <row r="1" spans="1:15" x14ac:dyDescent="0.2">
      <c r="A1" s="1281" t="s">
        <v>110</v>
      </c>
      <c r="B1" s="1281"/>
      <c r="C1" s="1281"/>
      <c r="D1" s="1281"/>
      <c r="E1" s="1281"/>
      <c r="F1" s="1281"/>
      <c r="G1" s="1281"/>
      <c r="H1" s="1281"/>
    </row>
    <row r="2" spans="1:15" x14ac:dyDescent="0.2">
      <c r="A2" s="1281" t="s">
        <v>111</v>
      </c>
      <c r="B2" s="1281"/>
      <c r="C2" s="1281"/>
      <c r="D2" s="1281"/>
      <c r="E2" s="1281"/>
      <c r="F2" s="1281"/>
      <c r="G2" s="1281"/>
      <c r="H2" s="1281"/>
    </row>
    <row r="3" spans="1:15" x14ac:dyDescent="0.2">
      <c r="A3" s="1281" t="s">
        <v>583</v>
      </c>
      <c r="B3" s="1281"/>
      <c r="C3" s="1281"/>
      <c r="D3" s="1281"/>
      <c r="E3" s="1281"/>
      <c r="F3" s="1281"/>
      <c r="G3" s="1281"/>
      <c r="H3" s="1281"/>
    </row>
    <row r="4" spans="1:15" x14ac:dyDescent="0.2">
      <c r="A4" s="624"/>
      <c r="B4" s="625"/>
      <c r="C4" s="626"/>
      <c r="D4" s="625"/>
      <c r="E4" s="625"/>
      <c r="F4" s="625"/>
      <c r="G4" s="625"/>
      <c r="H4" s="625"/>
    </row>
    <row r="5" spans="1:15" x14ac:dyDescent="0.2">
      <c r="A5" s="627" t="s">
        <v>441</v>
      </c>
      <c r="B5" s="627"/>
      <c r="C5" s="627"/>
      <c r="D5" s="627"/>
      <c r="E5" s="627"/>
      <c r="F5" s="627"/>
      <c r="G5" s="627"/>
      <c r="H5" s="627"/>
    </row>
    <row r="6" spans="1:15" x14ac:dyDescent="0.2">
      <c r="A6" s="627" t="s">
        <v>768</v>
      </c>
      <c r="B6" s="627"/>
      <c r="C6" s="627"/>
      <c r="D6" s="627"/>
      <c r="E6" s="627"/>
      <c r="F6" s="627"/>
      <c r="G6" s="627"/>
      <c r="H6" s="627"/>
    </row>
    <row r="7" spans="1:15" x14ac:dyDescent="0.2">
      <c r="A7" s="627" t="s">
        <v>112</v>
      </c>
      <c r="B7" s="627"/>
      <c r="C7" s="627"/>
      <c r="D7" s="627"/>
      <c r="E7" s="627"/>
      <c r="F7" s="627"/>
      <c r="G7" s="627"/>
      <c r="H7" s="627"/>
    </row>
    <row r="8" spans="1:15" x14ac:dyDescent="0.2">
      <c r="A8" s="627" t="s">
        <v>113</v>
      </c>
      <c r="B8" s="627"/>
      <c r="C8" s="627"/>
      <c r="D8" s="627"/>
      <c r="E8" s="627"/>
      <c r="F8" s="627"/>
      <c r="G8" s="627"/>
      <c r="H8" s="627"/>
    </row>
    <row r="9" spans="1:15" ht="13.5" thickBot="1" x14ac:dyDescent="0.25">
      <c r="A9" s="628" t="s">
        <v>114</v>
      </c>
      <c r="B9" s="628"/>
      <c r="C9" s="628"/>
      <c r="D9" s="628"/>
      <c r="E9" s="628"/>
      <c r="F9" s="628"/>
      <c r="G9" s="628"/>
      <c r="H9" s="628"/>
    </row>
    <row r="10" spans="1:15" ht="13.5" thickBot="1" x14ac:dyDescent="0.25">
      <c r="A10" s="1277" t="s">
        <v>115</v>
      </c>
      <c r="B10" s="1277"/>
      <c r="C10" s="1169" t="s">
        <v>116</v>
      </c>
      <c r="D10" s="1280"/>
      <c r="E10" s="623"/>
      <c r="F10" s="623"/>
      <c r="G10" s="629"/>
      <c r="H10" s="1278" t="s">
        <v>25</v>
      </c>
    </row>
    <row r="11" spans="1:15" ht="23.25" thickBot="1" x14ac:dyDescent="0.25">
      <c r="A11" s="630" t="s">
        <v>117</v>
      </c>
      <c r="B11" s="631" t="s">
        <v>118</v>
      </c>
      <c r="C11" s="632" t="s">
        <v>119</v>
      </c>
      <c r="D11" s="633" t="s">
        <v>120</v>
      </c>
      <c r="E11" s="634" t="s">
        <v>2</v>
      </c>
      <c r="F11" s="634" t="s">
        <v>3</v>
      </c>
      <c r="G11" s="634" t="s">
        <v>121</v>
      </c>
      <c r="H11" s="1279"/>
    </row>
    <row r="12" spans="1:15" x14ac:dyDescent="0.2">
      <c r="A12" s="568">
        <v>51</v>
      </c>
      <c r="B12" s="635" t="s">
        <v>122</v>
      </c>
      <c r="C12" s="636">
        <f>C13+C25+C28+C31+C34+C37+C42</f>
        <v>208310.15</v>
      </c>
      <c r="D12" s="637">
        <f>D13+D25+D28+D31+D34+D37+D42</f>
        <v>254544.62</v>
      </c>
      <c r="E12" s="638"/>
      <c r="F12" s="638"/>
      <c r="G12" s="639"/>
      <c r="H12" s="640">
        <f>SUM(C12:G12)</f>
        <v>462854.77</v>
      </c>
      <c r="I12" s="17">
        <f>'ING. REALES'!C54/2</f>
        <v>209967.785</v>
      </c>
      <c r="J12" s="17">
        <f>+I12-C12</f>
        <v>1657.6350000000093</v>
      </c>
      <c r="L12" s="17"/>
      <c r="O12" s="390"/>
    </row>
    <row r="13" spans="1:15" x14ac:dyDescent="0.2">
      <c r="A13" s="573">
        <v>511</v>
      </c>
      <c r="B13" s="641" t="s">
        <v>123</v>
      </c>
      <c r="C13" s="642">
        <f>C14+C16+C18+C19</f>
        <v>178264.4</v>
      </c>
      <c r="D13" s="643">
        <f>D14+D16+D18+D19</f>
        <v>217433.02</v>
      </c>
      <c r="E13" s="644"/>
      <c r="F13" s="644"/>
      <c r="G13" s="645"/>
      <c r="H13" s="646">
        <f>SUM(C13:G13)</f>
        <v>395697.42</v>
      </c>
      <c r="L13" s="17"/>
    </row>
    <row r="14" spans="1:15" x14ac:dyDescent="0.2">
      <c r="A14" s="647" t="s">
        <v>124</v>
      </c>
      <c r="B14" s="648" t="s">
        <v>125</v>
      </c>
      <c r="C14" s="868">
        <f>'PLLA MUNICIPAL LEY SAL'!X82</f>
        <v>117067.56</v>
      </c>
      <c r="D14" s="869">
        <f>'PLLA MUNICIPAL LEY SAL'!AI82</f>
        <v>163694.51999999999</v>
      </c>
      <c r="E14" s="649"/>
      <c r="F14" s="649"/>
      <c r="G14" s="650"/>
      <c r="H14" s="651">
        <f>SUM(C14:G14)</f>
        <v>280762.07999999996</v>
      </c>
      <c r="L14" s="17"/>
    </row>
    <row r="15" spans="1:15" hidden="1" x14ac:dyDescent="0.2">
      <c r="A15" s="578">
        <v>51102</v>
      </c>
      <c r="B15" s="579" t="s">
        <v>126</v>
      </c>
      <c r="C15" s="868">
        <v>0</v>
      </c>
      <c r="D15" s="869">
        <v>0</v>
      </c>
      <c r="E15" s="649"/>
      <c r="F15" s="649"/>
      <c r="G15" s="650"/>
      <c r="H15" s="651">
        <f t="shared" ref="H15:H43" si="0">SUM(C15:G15)</f>
        <v>0</v>
      </c>
      <c r="L15" s="17"/>
    </row>
    <row r="16" spans="1:15" x14ac:dyDescent="0.2">
      <c r="A16" s="578">
        <v>51103</v>
      </c>
      <c r="B16" s="648" t="s">
        <v>127</v>
      </c>
      <c r="C16" s="868">
        <f>'PLLA MUNICIPAL LEY SAL'!M82</f>
        <v>23396.84</v>
      </c>
      <c r="D16" s="869">
        <v>0</v>
      </c>
      <c r="E16" s="652"/>
      <c r="F16" s="652"/>
      <c r="G16" s="653"/>
      <c r="H16" s="651">
        <f>SUM(C16:G16)</f>
        <v>23396.84</v>
      </c>
      <c r="L16" s="17"/>
    </row>
    <row r="17" spans="1:12" hidden="1" x14ac:dyDescent="0.2">
      <c r="A17" s="578">
        <v>51104</v>
      </c>
      <c r="B17" s="648" t="s">
        <v>128</v>
      </c>
      <c r="C17" s="868"/>
      <c r="D17" s="869"/>
      <c r="E17" s="649"/>
      <c r="F17" s="649"/>
      <c r="G17" s="650"/>
      <c r="H17" s="651">
        <f t="shared" si="0"/>
        <v>0</v>
      </c>
      <c r="L17" s="17"/>
    </row>
    <row r="18" spans="1:12" x14ac:dyDescent="0.2">
      <c r="A18" s="647" t="s">
        <v>129</v>
      </c>
      <c r="B18" s="648" t="s">
        <v>130</v>
      </c>
      <c r="C18" s="868">
        <f>+'PLLA DIETAS'!E19/2</f>
        <v>37800</v>
      </c>
      <c r="D18" s="869">
        <f>C18</f>
        <v>37800</v>
      </c>
      <c r="E18" s="649"/>
      <c r="F18" s="649"/>
      <c r="G18" s="650"/>
      <c r="H18" s="651">
        <f t="shared" si="0"/>
        <v>75600</v>
      </c>
      <c r="L18" s="17"/>
    </row>
    <row r="19" spans="1:12" x14ac:dyDescent="0.2">
      <c r="A19" s="647" t="s">
        <v>131</v>
      </c>
      <c r="B19" s="648" t="s">
        <v>132</v>
      </c>
      <c r="C19" s="868">
        <f>'PLLA MUNICIPAL LEY SAL'!Y82+'PLLA MUNICIPAL LEY SAL'!Z82</f>
        <v>0</v>
      </c>
      <c r="D19" s="870">
        <f>'PLLA DIETAS'!F19+'PLLA MUNICIPAL LEY SAL'!AJ82+'PLLA MUNICIPAL LEY SAL'!AK82</f>
        <v>15938.5</v>
      </c>
      <c r="E19" s="652"/>
      <c r="F19" s="652"/>
      <c r="G19" s="653"/>
      <c r="H19" s="651">
        <f t="shared" si="0"/>
        <v>15938.5</v>
      </c>
      <c r="L19" s="17"/>
    </row>
    <row r="20" spans="1:12" hidden="1" x14ac:dyDescent="0.2">
      <c r="A20" s="616" t="s">
        <v>133</v>
      </c>
      <c r="B20" s="617" t="s">
        <v>134</v>
      </c>
      <c r="C20" s="871">
        <v>0</v>
      </c>
      <c r="D20" s="872">
        <v>0</v>
      </c>
      <c r="E20" s="654"/>
      <c r="F20" s="654"/>
      <c r="G20" s="655"/>
      <c r="H20" s="656">
        <f t="shared" si="0"/>
        <v>0</v>
      </c>
      <c r="L20" s="17"/>
    </row>
    <row r="21" spans="1:12" hidden="1" x14ac:dyDescent="0.2">
      <c r="A21" s="647" t="s">
        <v>135</v>
      </c>
      <c r="B21" s="648" t="s">
        <v>125</v>
      </c>
      <c r="C21" s="868">
        <v>0</v>
      </c>
      <c r="D21" s="869">
        <v>0</v>
      </c>
      <c r="E21" s="654"/>
      <c r="F21" s="654"/>
      <c r="G21" s="655"/>
      <c r="H21" s="651">
        <f t="shared" si="0"/>
        <v>0</v>
      </c>
      <c r="L21" s="17"/>
    </row>
    <row r="22" spans="1:12" hidden="1" x14ac:dyDescent="0.2">
      <c r="A22" s="578">
        <v>51202</v>
      </c>
      <c r="B22" s="579" t="s">
        <v>136</v>
      </c>
      <c r="C22" s="868">
        <v>0</v>
      </c>
      <c r="D22" s="869">
        <v>0</v>
      </c>
      <c r="E22" s="657"/>
      <c r="F22" s="657"/>
      <c r="G22" s="658"/>
      <c r="H22" s="651">
        <f t="shared" si="0"/>
        <v>0</v>
      </c>
      <c r="L22" s="17"/>
    </row>
    <row r="23" spans="1:12" hidden="1" x14ac:dyDescent="0.2">
      <c r="A23" s="647" t="s">
        <v>137</v>
      </c>
      <c r="B23" s="648" t="s">
        <v>127</v>
      </c>
      <c r="C23" s="868"/>
      <c r="D23" s="869"/>
      <c r="E23" s="649"/>
      <c r="F23" s="649"/>
      <c r="G23" s="650"/>
      <c r="H23" s="651">
        <f t="shared" si="0"/>
        <v>0</v>
      </c>
      <c r="L23" s="17"/>
    </row>
    <row r="24" spans="1:12" hidden="1" x14ac:dyDescent="0.2">
      <c r="A24" s="647" t="s">
        <v>138</v>
      </c>
      <c r="B24" s="648" t="s">
        <v>132</v>
      </c>
      <c r="C24" s="868"/>
      <c r="D24" s="869"/>
      <c r="E24" s="652"/>
      <c r="F24" s="652"/>
      <c r="G24" s="653"/>
      <c r="H24" s="651">
        <f t="shared" si="0"/>
        <v>0</v>
      </c>
      <c r="L24" s="17"/>
    </row>
    <row r="25" spans="1:12" x14ac:dyDescent="0.2">
      <c r="A25" s="616" t="s">
        <v>139</v>
      </c>
      <c r="B25" s="659" t="s">
        <v>140</v>
      </c>
      <c r="C25" s="871">
        <f>SUM(C26:C27)</f>
        <v>0</v>
      </c>
      <c r="D25" s="872">
        <f>SUM(D26:D27)</f>
        <v>0</v>
      </c>
      <c r="E25" s="649"/>
      <c r="F25" s="649"/>
      <c r="G25" s="650"/>
      <c r="H25" s="656">
        <f>SUM(C25:G25)</f>
        <v>0</v>
      </c>
      <c r="I25" s="308"/>
      <c r="L25" s="17"/>
    </row>
    <row r="26" spans="1:12" x14ac:dyDescent="0.2">
      <c r="A26" s="578">
        <v>51301</v>
      </c>
      <c r="B26" s="579" t="s">
        <v>141</v>
      </c>
      <c r="C26" s="868">
        <v>0</v>
      </c>
      <c r="D26" s="869">
        <v>0</v>
      </c>
      <c r="E26" s="652"/>
      <c r="F26" s="652"/>
      <c r="G26" s="653"/>
      <c r="H26" s="651">
        <f t="shared" si="0"/>
        <v>0</v>
      </c>
      <c r="I26" s="308"/>
      <c r="L26" s="17"/>
    </row>
    <row r="27" spans="1:12" hidden="1" x14ac:dyDescent="0.2">
      <c r="A27" s="578">
        <v>51302</v>
      </c>
      <c r="B27" s="579" t="s">
        <v>142</v>
      </c>
      <c r="C27" s="868"/>
      <c r="D27" s="869"/>
      <c r="E27" s="654"/>
      <c r="F27" s="654"/>
      <c r="G27" s="655"/>
      <c r="H27" s="651">
        <f t="shared" si="0"/>
        <v>0</v>
      </c>
      <c r="I27" s="308"/>
      <c r="L27" s="17"/>
    </row>
    <row r="28" spans="1:12" ht="22.5" x14ac:dyDescent="0.2">
      <c r="A28" s="573">
        <v>514</v>
      </c>
      <c r="B28" s="659" t="s">
        <v>143</v>
      </c>
      <c r="C28" s="871">
        <f>SUM(C29:C30)</f>
        <v>11096.35</v>
      </c>
      <c r="D28" s="872">
        <f>SUM(D29:D30)</f>
        <v>14504.48</v>
      </c>
      <c r="E28" s="654"/>
      <c r="F28" s="654"/>
      <c r="G28" s="655"/>
      <c r="H28" s="660">
        <f>SUM(C28:G28)</f>
        <v>25600.83</v>
      </c>
      <c r="I28" s="308"/>
      <c r="L28" s="17"/>
    </row>
    <row r="29" spans="1:12" x14ac:dyDescent="0.2">
      <c r="A29" s="647" t="s">
        <v>144</v>
      </c>
      <c r="B29" s="648" t="s">
        <v>145</v>
      </c>
      <c r="C29" s="873">
        <f>'PLLA MUNICIPAL LEY SAL'!AA82+'PLLA MUNICIPAL LEY SAL'!AB82+ROUND(('PLLA DIETAS'!H19/2),2)+ROUND(('PLLA DIETAS'!I19/2),2)+'PLLA MUNICIPAL LEY SAL'!AD82</f>
        <v>11096.35</v>
      </c>
      <c r="D29" s="874">
        <f>'PLLA MUNICIPAL LEY SAL'!AL82+'PLLA MUNICIPAL LEY SAL'!AM82+ROUND(('PLLA DIETAS'!H19/2),2)+ROUND(('PLLA DIETAS'!I19/2),2)+'PLLA MUNICIPAL LEY SAL'!AO82</f>
        <v>14504.48</v>
      </c>
      <c r="E29" s="657"/>
      <c r="F29" s="657"/>
      <c r="G29" s="658"/>
      <c r="H29" s="651">
        <f t="shared" si="0"/>
        <v>25600.83</v>
      </c>
      <c r="I29" s="308"/>
      <c r="L29" s="17"/>
    </row>
    <row r="30" spans="1:12" hidden="1" x14ac:dyDescent="0.2">
      <c r="A30" s="647" t="s">
        <v>146</v>
      </c>
      <c r="B30" s="648" t="s">
        <v>147</v>
      </c>
      <c r="C30" s="868"/>
      <c r="D30" s="869"/>
      <c r="E30" s="654"/>
      <c r="F30" s="654"/>
      <c r="G30" s="655"/>
      <c r="H30" s="651">
        <f t="shared" si="0"/>
        <v>0</v>
      </c>
      <c r="I30" s="308"/>
      <c r="L30" s="17"/>
    </row>
    <row r="31" spans="1:12" ht="22.5" x14ac:dyDescent="0.2">
      <c r="A31" s="573">
        <v>515</v>
      </c>
      <c r="B31" s="659" t="s">
        <v>148</v>
      </c>
      <c r="C31" s="871">
        <f>SUM(C32:C33)</f>
        <v>9282.7400000000016</v>
      </c>
      <c r="D31" s="872">
        <f>SUM(D32:D33)</f>
        <v>12940.46</v>
      </c>
      <c r="E31" s="654"/>
      <c r="F31" s="654"/>
      <c r="G31" s="655"/>
      <c r="H31" s="663">
        <f>SUM(C31:G31)</f>
        <v>22223.200000000001</v>
      </c>
      <c r="I31" s="308"/>
      <c r="L31" s="17"/>
    </row>
    <row r="32" spans="1:12" x14ac:dyDescent="0.2">
      <c r="A32" s="647" t="s">
        <v>149</v>
      </c>
      <c r="B32" s="648" t="s">
        <v>145</v>
      </c>
      <c r="C32" s="873">
        <f>'PLLA MUNICIPAL LEY SAL'!AC82-0.02</f>
        <v>9282.7400000000016</v>
      </c>
      <c r="D32" s="874">
        <f>'PLLA MUNICIPAL LEY SAL'!AN82</f>
        <v>12940.46</v>
      </c>
      <c r="E32" s="652"/>
      <c r="F32" s="652"/>
      <c r="G32" s="653"/>
      <c r="H32" s="651">
        <f t="shared" si="0"/>
        <v>22223.200000000001</v>
      </c>
      <c r="I32" s="308"/>
      <c r="L32" s="17"/>
    </row>
    <row r="33" spans="1:12" hidden="1" x14ac:dyDescent="0.2">
      <c r="A33" s="647" t="s">
        <v>150</v>
      </c>
      <c r="B33" s="648" t="s">
        <v>147</v>
      </c>
      <c r="C33" s="868"/>
      <c r="D33" s="869"/>
      <c r="E33" s="657"/>
      <c r="F33" s="657"/>
      <c r="G33" s="658"/>
      <c r="H33" s="651">
        <f t="shared" si="0"/>
        <v>0</v>
      </c>
      <c r="I33" s="308"/>
      <c r="L33" s="17"/>
    </row>
    <row r="34" spans="1:12" x14ac:dyDescent="0.2">
      <c r="A34" s="616" t="s">
        <v>151</v>
      </c>
      <c r="B34" s="617" t="s">
        <v>152</v>
      </c>
      <c r="C34" s="871">
        <f>SUM(C35:C36)</f>
        <v>3600</v>
      </c>
      <c r="D34" s="872">
        <f>SUM(D35:D36)</f>
        <v>3600</v>
      </c>
      <c r="E34" s="654"/>
      <c r="F34" s="654"/>
      <c r="G34" s="655"/>
      <c r="H34" s="656">
        <f>SUM(C34:G34)</f>
        <v>7200</v>
      </c>
      <c r="I34" s="308"/>
      <c r="L34" s="17"/>
    </row>
    <row r="35" spans="1:12" x14ac:dyDescent="0.2">
      <c r="A35" s="578">
        <v>51601</v>
      </c>
      <c r="B35" s="579" t="s">
        <v>153</v>
      </c>
      <c r="C35" s="868">
        <f>600*6</f>
        <v>3600</v>
      </c>
      <c r="D35" s="869">
        <f>C35</f>
        <v>3600</v>
      </c>
      <c r="E35" s="654"/>
      <c r="F35" s="654"/>
      <c r="G35" s="655"/>
      <c r="H35" s="651">
        <f t="shared" si="0"/>
        <v>7200</v>
      </c>
      <c r="I35" s="308"/>
      <c r="L35" s="17"/>
    </row>
    <row r="36" spans="1:12" hidden="1" x14ac:dyDescent="0.2">
      <c r="A36" s="578">
        <v>51602</v>
      </c>
      <c r="B36" s="579" t="s">
        <v>154</v>
      </c>
      <c r="C36" s="868"/>
      <c r="D36" s="869"/>
      <c r="E36" s="654"/>
      <c r="F36" s="654"/>
      <c r="G36" s="655"/>
      <c r="H36" s="651">
        <f t="shared" si="0"/>
        <v>0</v>
      </c>
      <c r="I36" s="308"/>
      <c r="L36" s="17"/>
    </row>
    <row r="37" spans="1:12" x14ac:dyDescent="0.2">
      <c r="A37" s="573">
        <v>517</v>
      </c>
      <c r="B37" s="574" t="s">
        <v>155</v>
      </c>
      <c r="C37" s="871">
        <f>SUM(C38:C39)</f>
        <v>0</v>
      </c>
      <c r="D37" s="872">
        <f>SUM(D38:D39)</f>
        <v>0</v>
      </c>
      <c r="E37" s="654"/>
      <c r="F37" s="654"/>
      <c r="G37" s="655"/>
      <c r="H37" s="656">
        <f>SUM(C37:G37)</f>
        <v>0</v>
      </c>
      <c r="L37" s="17"/>
    </row>
    <row r="38" spans="1:12" x14ac:dyDescent="0.2">
      <c r="A38" s="578">
        <v>51701</v>
      </c>
      <c r="B38" s="579" t="s">
        <v>156</v>
      </c>
      <c r="C38" s="868"/>
      <c r="D38" s="875"/>
      <c r="E38" s="654"/>
      <c r="F38" s="654"/>
      <c r="G38" s="655"/>
      <c r="H38" s="651">
        <f t="shared" si="0"/>
        <v>0</v>
      </c>
      <c r="L38" s="17"/>
    </row>
    <row r="39" spans="1:12" hidden="1" x14ac:dyDescent="0.2">
      <c r="A39" s="578">
        <v>51702</v>
      </c>
      <c r="B39" s="579" t="s">
        <v>157</v>
      </c>
      <c r="C39" s="868"/>
      <c r="D39" s="869"/>
      <c r="E39" s="654"/>
      <c r="F39" s="654"/>
      <c r="G39" s="655"/>
      <c r="H39" s="651">
        <f t="shared" si="0"/>
        <v>0</v>
      </c>
      <c r="L39" s="17"/>
    </row>
    <row r="40" spans="1:12" x14ac:dyDescent="0.2">
      <c r="A40" s="573">
        <v>518</v>
      </c>
      <c r="B40" s="659" t="s">
        <v>158</v>
      </c>
      <c r="C40" s="871">
        <f>SUM(C41:C41)</f>
        <v>0</v>
      </c>
      <c r="D40" s="872">
        <f>SUM(D41:D41)</f>
        <v>0</v>
      </c>
      <c r="E40" s="654"/>
      <c r="F40" s="654"/>
      <c r="G40" s="655"/>
      <c r="H40" s="651">
        <f t="shared" si="0"/>
        <v>0</v>
      </c>
      <c r="L40" s="17"/>
    </row>
    <row r="41" spans="1:12" x14ac:dyDescent="0.2">
      <c r="A41" s="578">
        <v>51803</v>
      </c>
      <c r="B41" s="579" t="s">
        <v>159</v>
      </c>
      <c r="C41" s="868"/>
      <c r="D41" s="869"/>
      <c r="E41" s="654"/>
      <c r="F41" s="654"/>
      <c r="G41" s="655"/>
      <c r="H41" s="651">
        <f t="shared" si="0"/>
        <v>0</v>
      </c>
      <c r="L41" s="17"/>
    </row>
    <row r="42" spans="1:12" x14ac:dyDescent="0.2">
      <c r="A42" s="573">
        <v>519</v>
      </c>
      <c r="B42" s="574" t="s">
        <v>160</v>
      </c>
      <c r="C42" s="871">
        <f>SUM(C43:C44)</f>
        <v>6066.66</v>
      </c>
      <c r="D42" s="872">
        <f>SUM(D43:D44)</f>
        <v>6066.66</v>
      </c>
      <c r="E42" s="654"/>
      <c r="F42" s="654"/>
      <c r="G42" s="655"/>
      <c r="H42" s="656">
        <f>SUM(C42:G42)</f>
        <v>12133.32</v>
      </c>
      <c r="L42" s="17"/>
    </row>
    <row r="43" spans="1:12" x14ac:dyDescent="0.2">
      <c r="A43" s="578">
        <v>51901</v>
      </c>
      <c r="B43" s="579" t="s">
        <v>161</v>
      </c>
      <c r="C43" s="868">
        <f>'PLLA MUNICIPAL HONORARIOS'!J9/2</f>
        <v>6066.66</v>
      </c>
      <c r="D43" s="875">
        <f>'PLLA MUNICIPAL HONORARIOS'!J9/2</f>
        <v>6066.66</v>
      </c>
      <c r="E43" s="654"/>
      <c r="F43" s="654"/>
      <c r="G43" s="655"/>
      <c r="H43" s="651">
        <f t="shared" si="0"/>
        <v>12133.32</v>
      </c>
      <c r="L43" s="17"/>
    </row>
    <row r="44" spans="1:12" hidden="1" x14ac:dyDescent="0.2">
      <c r="A44" s="578">
        <v>51999</v>
      </c>
      <c r="B44" s="579" t="s">
        <v>160</v>
      </c>
      <c r="C44" s="868">
        <v>0</v>
      </c>
      <c r="D44" s="869">
        <v>0</v>
      </c>
      <c r="E44" s="654"/>
      <c r="F44" s="654"/>
      <c r="G44" s="655"/>
      <c r="H44" s="651">
        <f t="shared" ref="H44:H77" si="1">SUM(C44:G44)</f>
        <v>0</v>
      </c>
      <c r="L44" s="17"/>
    </row>
    <row r="45" spans="1:12" x14ac:dyDescent="0.2">
      <c r="A45" s="578"/>
      <c r="B45" s="579"/>
      <c r="C45" s="868"/>
      <c r="D45" s="869"/>
      <c r="E45" s="654"/>
      <c r="F45" s="654"/>
      <c r="G45" s="655"/>
      <c r="H45" s="651"/>
      <c r="L45" s="17"/>
    </row>
    <row r="46" spans="1:12" x14ac:dyDescent="0.2">
      <c r="A46" s="573">
        <v>54</v>
      </c>
      <c r="B46" s="574" t="s">
        <v>27</v>
      </c>
      <c r="C46" s="876">
        <f>C47+C66+C72+C88+C93</f>
        <v>191204.35</v>
      </c>
      <c r="D46" s="877">
        <f>D47+D66+D72+D88+D93</f>
        <v>125126.37999999999</v>
      </c>
      <c r="E46" s="666"/>
      <c r="F46" s="666"/>
      <c r="G46" s="667"/>
      <c r="H46" s="668">
        <f>SUM(C46:G46)</f>
        <v>316330.73</v>
      </c>
      <c r="I46" s="17">
        <f>'egresos 25% y F.P'!G119</f>
        <v>125126.37999999999</v>
      </c>
      <c r="L46" s="17"/>
    </row>
    <row r="47" spans="1:12" x14ac:dyDescent="0.2">
      <c r="A47" s="573">
        <v>541</v>
      </c>
      <c r="B47" s="574" t="s">
        <v>28</v>
      </c>
      <c r="C47" s="876">
        <f>SUM(C48:C65)</f>
        <v>17200</v>
      </c>
      <c r="D47" s="877">
        <f>SUM(D48:D65)</f>
        <v>22275.45</v>
      </c>
      <c r="E47" s="666"/>
      <c r="F47" s="666"/>
      <c r="G47" s="667"/>
      <c r="H47" s="668">
        <f t="shared" si="1"/>
        <v>39475.449999999997</v>
      </c>
      <c r="I47" s="2">
        <f>D47-'egresos 25% y F.P'!G120</f>
        <v>0</v>
      </c>
      <c r="L47" s="17"/>
    </row>
    <row r="48" spans="1:12" x14ac:dyDescent="0.2">
      <c r="A48" s="578">
        <v>54101</v>
      </c>
      <c r="B48" s="579" t="s">
        <v>29</v>
      </c>
      <c r="C48" s="878">
        <f>'egresos 25% y F.P'!G13</f>
        <v>50</v>
      </c>
      <c r="D48" s="879">
        <f>'egresos 25% y F.P'!G121</f>
        <v>1100</v>
      </c>
      <c r="E48" s="666"/>
      <c r="F48" s="666"/>
      <c r="G48" s="667"/>
      <c r="H48" s="671">
        <f t="shared" si="1"/>
        <v>1150</v>
      </c>
      <c r="L48" s="17"/>
    </row>
    <row r="49" spans="1:12" x14ac:dyDescent="0.2">
      <c r="A49" s="578">
        <v>54104</v>
      </c>
      <c r="B49" s="579" t="s">
        <v>31</v>
      </c>
      <c r="C49" s="878">
        <f>'egresos 25% y F.P'!G15</f>
        <v>0</v>
      </c>
      <c r="D49" s="879">
        <f>'egresos 25% y F.P'!G123</f>
        <v>5000</v>
      </c>
      <c r="E49" s="666"/>
      <c r="F49" s="666"/>
      <c r="G49" s="667"/>
      <c r="H49" s="671">
        <f t="shared" si="1"/>
        <v>5000</v>
      </c>
      <c r="L49" s="17"/>
    </row>
    <row r="50" spans="1:12" x14ac:dyDescent="0.2">
      <c r="A50" s="578">
        <v>54105</v>
      </c>
      <c r="B50" s="579" t="s">
        <v>32</v>
      </c>
      <c r="C50" s="878">
        <f>'egresos 25% y F.P'!G16</f>
        <v>2500</v>
      </c>
      <c r="D50" s="879">
        <f>'egresos 25% y F.P'!G124</f>
        <v>1625</v>
      </c>
      <c r="E50" s="666"/>
      <c r="F50" s="666"/>
      <c r="G50" s="667"/>
      <c r="H50" s="671">
        <f t="shared" si="1"/>
        <v>4125</v>
      </c>
      <c r="L50" s="17"/>
    </row>
    <row r="51" spans="1:12" x14ac:dyDescent="0.2">
      <c r="A51" s="578">
        <v>54106</v>
      </c>
      <c r="B51" s="584" t="s">
        <v>629</v>
      </c>
      <c r="C51" s="669">
        <v>0</v>
      </c>
      <c r="D51" s="670">
        <f>'egresos 25% y F.P'!G125</f>
        <v>50</v>
      </c>
      <c r="E51" s="666"/>
      <c r="F51" s="666"/>
      <c r="G51" s="667"/>
      <c r="H51" s="671">
        <f t="shared" si="1"/>
        <v>50</v>
      </c>
      <c r="L51" s="17"/>
    </row>
    <row r="52" spans="1:12" x14ac:dyDescent="0.2">
      <c r="A52" s="578">
        <v>54107</v>
      </c>
      <c r="B52" s="579" t="s">
        <v>34</v>
      </c>
      <c r="C52" s="669">
        <f>'egresos 25% y F.P'!G18</f>
        <v>1100</v>
      </c>
      <c r="D52" s="670">
        <f>'egresos 25% y F.P'!G126</f>
        <v>2000</v>
      </c>
      <c r="E52" s="672"/>
      <c r="F52" s="672"/>
      <c r="G52" s="673"/>
      <c r="H52" s="671">
        <f t="shared" si="1"/>
        <v>3100</v>
      </c>
      <c r="L52" s="17"/>
    </row>
    <row r="53" spans="1:12" hidden="1" x14ac:dyDescent="0.2">
      <c r="A53" s="578">
        <v>54108</v>
      </c>
      <c r="B53" s="579" t="s">
        <v>35</v>
      </c>
      <c r="C53" s="669">
        <v>0</v>
      </c>
      <c r="D53" s="670">
        <v>0</v>
      </c>
      <c r="E53" s="666"/>
      <c r="F53" s="666"/>
      <c r="G53" s="667"/>
      <c r="H53" s="671">
        <f t="shared" si="1"/>
        <v>0</v>
      </c>
      <c r="L53" s="17"/>
    </row>
    <row r="54" spans="1:12" x14ac:dyDescent="0.2">
      <c r="A54" s="578">
        <v>54109</v>
      </c>
      <c r="B54" s="579" t="s">
        <v>36</v>
      </c>
      <c r="C54" s="669">
        <f>'egresos 25% y F.P'!G20</f>
        <v>2200</v>
      </c>
      <c r="D54" s="670">
        <f>'egresos 25% y F.P'!G128</f>
        <v>900</v>
      </c>
      <c r="E54" s="666"/>
      <c r="F54" s="666"/>
      <c r="G54" s="667"/>
      <c r="H54" s="671">
        <f t="shared" si="1"/>
        <v>3100</v>
      </c>
      <c r="L54" s="17"/>
    </row>
    <row r="55" spans="1:12" x14ac:dyDescent="0.2">
      <c r="A55" s="578">
        <v>54110</v>
      </c>
      <c r="B55" s="579" t="s">
        <v>37</v>
      </c>
      <c r="C55" s="669">
        <f>'egresos 25% y F.P'!G21</f>
        <v>3000</v>
      </c>
      <c r="D55" s="670">
        <f>'egresos 25% y F.P'!G129</f>
        <v>4000</v>
      </c>
      <c r="E55" s="666"/>
      <c r="F55" s="666"/>
      <c r="G55" s="667"/>
      <c r="H55" s="671">
        <f t="shared" si="1"/>
        <v>7000</v>
      </c>
      <c r="I55" s="17">
        <f>+H55/12</f>
        <v>583.33333333333337</v>
      </c>
      <c r="L55" s="17"/>
    </row>
    <row r="56" spans="1:12" x14ac:dyDescent="0.2">
      <c r="A56" s="578">
        <v>54111</v>
      </c>
      <c r="B56" s="579" t="s">
        <v>38</v>
      </c>
      <c r="C56" s="669">
        <f>'egresos 25% y F.P'!G22</f>
        <v>0</v>
      </c>
      <c r="D56" s="670">
        <f>'egresos 25% y F.P'!G130</f>
        <v>100</v>
      </c>
      <c r="E56" s="666"/>
      <c r="F56" s="666"/>
      <c r="G56" s="667"/>
      <c r="H56" s="671">
        <f t="shared" si="1"/>
        <v>100</v>
      </c>
      <c r="L56" s="17"/>
    </row>
    <row r="57" spans="1:12" x14ac:dyDescent="0.2">
      <c r="A57" s="578">
        <v>54112</v>
      </c>
      <c r="B57" s="579" t="s">
        <v>39</v>
      </c>
      <c r="C57" s="669">
        <f>'egresos 25% y F.P'!G23</f>
        <v>0</v>
      </c>
      <c r="D57" s="670">
        <f>'egresos 25% y F.P'!G131</f>
        <v>100</v>
      </c>
      <c r="E57" s="672"/>
      <c r="F57" s="672"/>
      <c r="G57" s="673"/>
      <c r="H57" s="671">
        <f t="shared" si="1"/>
        <v>100</v>
      </c>
      <c r="L57" s="17"/>
    </row>
    <row r="58" spans="1:12" x14ac:dyDescent="0.2">
      <c r="A58" s="578">
        <v>54114</v>
      </c>
      <c r="B58" s="579" t="s">
        <v>40</v>
      </c>
      <c r="C58" s="669">
        <f>'egresos 25% y F.P'!G24</f>
        <v>1000</v>
      </c>
      <c r="D58" s="670">
        <f>'egresos 25% y F.P'!G132</f>
        <v>650</v>
      </c>
      <c r="E58" s="666"/>
      <c r="F58" s="666"/>
      <c r="G58" s="667"/>
      <c r="H58" s="671">
        <f t="shared" si="1"/>
        <v>1650</v>
      </c>
      <c r="L58" s="17"/>
    </row>
    <row r="59" spans="1:12" x14ac:dyDescent="0.2">
      <c r="A59" s="578">
        <v>54115</v>
      </c>
      <c r="B59" s="579" t="s">
        <v>41</v>
      </c>
      <c r="C59" s="669">
        <f>'egresos 25% y F.P'!G25</f>
        <v>1050</v>
      </c>
      <c r="D59" s="670">
        <f>'egresos 25% y F.P'!G133</f>
        <v>1725</v>
      </c>
      <c r="E59" s="666"/>
      <c r="F59" s="666"/>
      <c r="G59" s="667"/>
      <c r="H59" s="671">
        <f t="shared" si="1"/>
        <v>2775</v>
      </c>
      <c r="L59" s="17"/>
    </row>
    <row r="60" spans="1:12" ht="22.5" hidden="1" x14ac:dyDescent="0.2">
      <c r="A60" s="578">
        <v>54116</v>
      </c>
      <c r="B60" s="674" t="s">
        <v>42</v>
      </c>
      <c r="C60" s="669">
        <f>'egresos 25% y F.P'!G26</f>
        <v>100</v>
      </c>
      <c r="D60" s="670">
        <f>'egresos 25% y F.P'!G134</f>
        <v>200</v>
      </c>
      <c r="E60" s="666"/>
      <c r="F60" s="666"/>
      <c r="G60" s="667"/>
      <c r="H60" s="671">
        <f t="shared" si="1"/>
        <v>300</v>
      </c>
      <c r="L60" s="17"/>
    </row>
    <row r="61" spans="1:12" ht="22.5" hidden="1" x14ac:dyDescent="0.2">
      <c r="A61" s="578">
        <v>54117</v>
      </c>
      <c r="B61" s="674" t="s">
        <v>43</v>
      </c>
      <c r="C61" s="669"/>
      <c r="D61" s="670"/>
      <c r="E61" s="666"/>
      <c r="F61" s="666"/>
      <c r="G61" s="667"/>
      <c r="H61" s="671">
        <f t="shared" si="1"/>
        <v>0</v>
      </c>
      <c r="L61" s="17"/>
    </row>
    <row r="62" spans="1:12" x14ac:dyDescent="0.2">
      <c r="A62" s="578">
        <v>54118</v>
      </c>
      <c r="B62" s="579" t="s">
        <v>44</v>
      </c>
      <c r="C62" s="669">
        <f>'egresos 25% y F.P'!G28</f>
        <v>1100</v>
      </c>
      <c r="D62" s="670">
        <f>'egresos 25% y F.P'!G136</f>
        <v>2600</v>
      </c>
      <c r="E62" s="666"/>
      <c r="F62" s="666"/>
      <c r="G62" s="667"/>
      <c r="H62" s="671">
        <f t="shared" si="1"/>
        <v>3700</v>
      </c>
      <c r="L62" s="17"/>
    </row>
    <row r="63" spans="1:12" x14ac:dyDescent="0.2">
      <c r="A63" s="578">
        <v>54119</v>
      </c>
      <c r="B63" s="579" t="s">
        <v>45</v>
      </c>
      <c r="C63" s="669">
        <f>'egresos 25% y F.P'!G29</f>
        <v>200</v>
      </c>
      <c r="D63" s="670">
        <f>'egresos 25% y F.P'!G137</f>
        <v>125</v>
      </c>
      <c r="E63" s="666"/>
      <c r="F63" s="666"/>
      <c r="G63" s="667"/>
      <c r="H63" s="671">
        <f t="shared" si="1"/>
        <v>325</v>
      </c>
      <c r="L63" s="17"/>
    </row>
    <row r="64" spans="1:12" x14ac:dyDescent="0.2">
      <c r="A64" s="578">
        <v>54121</v>
      </c>
      <c r="B64" s="579" t="s">
        <v>46</v>
      </c>
      <c r="C64" s="669">
        <f>'egresos 25% y F.P'!G30</f>
        <v>3650</v>
      </c>
      <c r="D64" s="670">
        <v>0</v>
      </c>
      <c r="E64" s="666"/>
      <c r="F64" s="666"/>
      <c r="G64" s="667"/>
      <c r="H64" s="671">
        <f t="shared" si="1"/>
        <v>3650</v>
      </c>
      <c r="L64" s="17"/>
    </row>
    <row r="65" spans="1:12" x14ac:dyDescent="0.2">
      <c r="A65" s="578">
        <v>54199</v>
      </c>
      <c r="B65" s="579" t="s">
        <v>47</v>
      </c>
      <c r="C65" s="669">
        <f>'egresos 25% y F.P'!G31</f>
        <v>1250</v>
      </c>
      <c r="D65" s="670">
        <f>'egresos 25% y F.P'!G139</f>
        <v>2100.4499999999998</v>
      </c>
      <c r="E65" s="666"/>
      <c r="F65" s="666"/>
      <c r="G65" s="667"/>
      <c r="H65" s="671">
        <f t="shared" si="1"/>
        <v>3350.45</v>
      </c>
      <c r="L65" s="17"/>
    </row>
    <row r="66" spans="1:12" x14ac:dyDescent="0.2">
      <c r="A66" s="573">
        <v>542</v>
      </c>
      <c r="B66" s="574" t="s">
        <v>48</v>
      </c>
      <c r="C66" s="664">
        <f>SUM(C67:C71)</f>
        <v>168454.35</v>
      </c>
      <c r="D66" s="665">
        <f>SUM(D67:D71)</f>
        <v>80950.929999999993</v>
      </c>
      <c r="E66" s="666"/>
      <c r="F66" s="666"/>
      <c r="G66" s="667"/>
      <c r="H66" s="668">
        <f t="shared" si="1"/>
        <v>249405.28</v>
      </c>
      <c r="L66" s="17"/>
    </row>
    <row r="67" spans="1:12" x14ac:dyDescent="0.2">
      <c r="A67" s="578">
        <v>54201</v>
      </c>
      <c r="B67" s="579" t="s">
        <v>49</v>
      </c>
      <c r="C67" s="669">
        <f>'egresos 25% y F.P'!G33</f>
        <v>141354.08000000002</v>
      </c>
      <c r="D67" s="670">
        <f>'egresos 25% y F.P'!G141</f>
        <v>62471.93</v>
      </c>
      <c r="E67" s="666"/>
      <c r="F67" s="666"/>
      <c r="G67" s="667"/>
      <c r="H67" s="671">
        <f t="shared" si="1"/>
        <v>203826.01</v>
      </c>
      <c r="L67" s="17"/>
    </row>
    <row r="68" spans="1:12" x14ac:dyDescent="0.2">
      <c r="A68" s="578">
        <v>54202</v>
      </c>
      <c r="B68" s="579" t="s">
        <v>50</v>
      </c>
      <c r="C68" s="669">
        <f>'egresos 25% y F.P'!G34</f>
        <v>1717.5</v>
      </c>
      <c r="D68" s="670">
        <f>'egresos 25% y F.P'!G142</f>
        <v>1379</v>
      </c>
      <c r="E68" s="666"/>
      <c r="F68" s="666"/>
      <c r="G68" s="667"/>
      <c r="H68" s="671">
        <f t="shared" si="1"/>
        <v>3096.5</v>
      </c>
      <c r="L68" s="17"/>
    </row>
    <row r="69" spans="1:12" x14ac:dyDescent="0.2">
      <c r="A69" s="578">
        <v>54203</v>
      </c>
      <c r="B69" s="579" t="s">
        <v>51</v>
      </c>
      <c r="C69" s="669">
        <f>'egresos 25% y F.P'!G35</f>
        <v>6000</v>
      </c>
      <c r="D69" s="670">
        <f>'egresos 25% y F.P'!G143</f>
        <v>5100</v>
      </c>
      <c r="E69" s="666"/>
      <c r="F69" s="666"/>
      <c r="G69" s="667"/>
      <c r="H69" s="671">
        <f t="shared" si="1"/>
        <v>11100</v>
      </c>
      <c r="L69" s="17"/>
    </row>
    <row r="70" spans="1:12" hidden="1" x14ac:dyDescent="0.2">
      <c r="A70" s="578">
        <v>54204</v>
      </c>
      <c r="B70" s="579" t="s">
        <v>52</v>
      </c>
      <c r="C70" s="669"/>
      <c r="D70" s="670"/>
      <c r="E70" s="666"/>
      <c r="F70" s="666"/>
      <c r="G70" s="667"/>
      <c r="H70" s="671">
        <f t="shared" si="1"/>
        <v>0</v>
      </c>
      <c r="L70" s="17"/>
    </row>
    <row r="71" spans="1:12" x14ac:dyDescent="0.2">
      <c r="A71" s="578">
        <v>54205</v>
      </c>
      <c r="B71" s="579" t="s">
        <v>53</v>
      </c>
      <c r="C71" s="669">
        <f>'egresos 25% y F.P'!G37</f>
        <v>19382.77</v>
      </c>
      <c r="D71" s="670">
        <f>'egresos 25% y F.P'!G145</f>
        <v>12000</v>
      </c>
      <c r="E71" s="672"/>
      <c r="F71" s="672"/>
      <c r="G71" s="673"/>
      <c r="H71" s="671">
        <f t="shared" si="1"/>
        <v>31382.77</v>
      </c>
      <c r="L71" s="17"/>
    </row>
    <row r="72" spans="1:12" x14ac:dyDescent="0.2">
      <c r="A72" s="594">
        <v>543</v>
      </c>
      <c r="B72" s="595" t="s">
        <v>54</v>
      </c>
      <c r="C72" s="675">
        <f>SUM(C73:C87)</f>
        <v>5550</v>
      </c>
      <c r="D72" s="676">
        <f>SUM(D73:D87)</f>
        <v>19200</v>
      </c>
      <c r="E72" s="677"/>
      <c r="F72" s="677"/>
      <c r="G72" s="678"/>
      <c r="H72" s="679">
        <f t="shared" si="1"/>
        <v>24750</v>
      </c>
      <c r="I72" s="17">
        <f>D72-'egresos 25% y F.P'!G146</f>
        <v>0</v>
      </c>
      <c r="L72" s="17"/>
    </row>
    <row r="73" spans="1:12" ht="22.5" x14ac:dyDescent="0.2">
      <c r="A73" s="680">
        <v>54301</v>
      </c>
      <c r="B73" s="674" t="s">
        <v>55</v>
      </c>
      <c r="C73" s="661">
        <f>'egresos 25% y F.P'!G39</f>
        <v>1050</v>
      </c>
      <c r="D73" s="662">
        <f>'egresos 25% y F.P'!G147</f>
        <v>1500</v>
      </c>
      <c r="E73" s="681"/>
      <c r="F73" s="681"/>
      <c r="G73" s="682"/>
      <c r="H73" s="683">
        <f t="shared" si="1"/>
        <v>2550</v>
      </c>
      <c r="L73" s="17"/>
    </row>
    <row r="74" spans="1:12" ht="22.5" x14ac:dyDescent="0.2">
      <c r="A74" s="1070">
        <v>54302</v>
      </c>
      <c r="B74" s="1071" t="s">
        <v>56</v>
      </c>
      <c r="C74" s="1072">
        <f>'egresos 25% y F.P'!G40</f>
        <v>3000</v>
      </c>
      <c r="D74" s="1073">
        <f>'egresos 25% y F.P'!G148</f>
        <v>1000</v>
      </c>
      <c r="E74" s="681"/>
      <c r="F74" s="681"/>
      <c r="G74" s="681"/>
      <c r="H74" s="1074">
        <f t="shared" si="1"/>
        <v>4000</v>
      </c>
      <c r="L74" s="17"/>
    </row>
    <row r="75" spans="1:12" ht="22.5" hidden="1" x14ac:dyDescent="0.2">
      <c r="A75" s="578">
        <v>54303</v>
      </c>
      <c r="B75" s="674" t="s">
        <v>57</v>
      </c>
      <c r="C75" s="669">
        <f>'egresos 25% y F.P'!G41</f>
        <v>0</v>
      </c>
      <c r="D75" s="670">
        <f>'egresos 25% y F.P'!G149</f>
        <v>0</v>
      </c>
      <c r="E75" s="666"/>
      <c r="F75" s="666"/>
      <c r="G75" s="667"/>
      <c r="H75" s="671">
        <f t="shared" si="1"/>
        <v>0</v>
      </c>
      <c r="L75" s="17"/>
    </row>
    <row r="76" spans="1:12" x14ac:dyDescent="0.2">
      <c r="A76" s="578">
        <v>54304</v>
      </c>
      <c r="B76" s="579" t="s">
        <v>58</v>
      </c>
      <c r="C76" s="669">
        <f>'egresos 25% y F.P'!G42</f>
        <v>0</v>
      </c>
      <c r="D76" s="670">
        <f>'egresos 25% y F.P'!G150</f>
        <v>1000</v>
      </c>
      <c r="E76" s="666"/>
      <c r="F76" s="666"/>
      <c r="G76" s="667"/>
      <c r="H76" s="671">
        <f t="shared" si="1"/>
        <v>1000</v>
      </c>
      <c r="L76" s="17"/>
    </row>
    <row r="77" spans="1:12" x14ac:dyDescent="0.2">
      <c r="A77" s="578">
        <v>54305</v>
      </c>
      <c r="B77" s="579" t="s">
        <v>59</v>
      </c>
      <c r="C77" s="669">
        <f>'egresos 25% y F.P'!G43</f>
        <v>0</v>
      </c>
      <c r="D77" s="670"/>
      <c r="E77" s="666"/>
      <c r="F77" s="666"/>
      <c r="G77" s="667"/>
      <c r="H77" s="671">
        <f t="shared" si="1"/>
        <v>0</v>
      </c>
      <c r="L77" s="17"/>
    </row>
    <row r="78" spans="1:12" hidden="1" x14ac:dyDescent="0.2">
      <c r="A78" s="578">
        <v>54306</v>
      </c>
      <c r="B78" s="579" t="s">
        <v>60</v>
      </c>
      <c r="C78" s="669"/>
      <c r="D78" s="670"/>
      <c r="E78" s="666"/>
      <c r="F78" s="666"/>
      <c r="G78" s="667"/>
      <c r="H78" s="671">
        <f t="shared" ref="H78:H83" si="2">SUM(C78:G78)</f>
        <v>0</v>
      </c>
      <c r="L78" s="17"/>
    </row>
    <row r="79" spans="1:12" x14ac:dyDescent="0.2">
      <c r="A79" s="578">
        <v>54307</v>
      </c>
      <c r="B79" s="579" t="s">
        <v>61</v>
      </c>
      <c r="C79" s="669">
        <f>'egresos 25% y F.P'!G45</f>
        <v>1200</v>
      </c>
      <c r="D79" s="670">
        <f>'egresos 25% y F.P'!G158</f>
        <v>0</v>
      </c>
      <c r="E79" s="672"/>
      <c r="F79" s="672"/>
      <c r="G79" s="673"/>
      <c r="H79" s="671">
        <f t="shared" si="2"/>
        <v>1200</v>
      </c>
      <c r="L79" s="17"/>
    </row>
    <row r="80" spans="1:12" hidden="1" x14ac:dyDescent="0.2">
      <c r="A80" s="578">
        <v>54309</v>
      </c>
      <c r="B80" s="579" t="s">
        <v>62</v>
      </c>
      <c r="C80" s="669"/>
      <c r="D80" s="670">
        <f>'egresos 25% y F.P'!G154</f>
        <v>0</v>
      </c>
      <c r="E80" s="672"/>
      <c r="F80" s="672"/>
      <c r="G80" s="673"/>
      <c r="H80" s="671">
        <f t="shared" si="2"/>
        <v>0</v>
      </c>
      <c r="L80" s="17"/>
    </row>
    <row r="81" spans="1:12" hidden="1" x14ac:dyDescent="0.2">
      <c r="A81" s="578">
        <v>54310</v>
      </c>
      <c r="B81" s="579" t="s">
        <v>63</v>
      </c>
      <c r="C81" s="669"/>
      <c r="D81" s="670">
        <f>'egresos 25% y F.P'!G155</f>
        <v>0</v>
      </c>
      <c r="E81" s="666"/>
      <c r="F81" s="666"/>
      <c r="G81" s="667"/>
      <c r="H81" s="671">
        <f t="shared" si="2"/>
        <v>0</v>
      </c>
      <c r="L81" s="17"/>
    </row>
    <row r="82" spans="1:12" hidden="1" x14ac:dyDescent="0.2">
      <c r="A82" s="578">
        <v>54311</v>
      </c>
      <c r="B82" s="579" t="s">
        <v>64</v>
      </c>
      <c r="C82" s="669"/>
      <c r="D82" s="670">
        <f>'egresos 25% y F.P'!G156</f>
        <v>0</v>
      </c>
      <c r="E82" s="666"/>
      <c r="F82" s="666"/>
      <c r="G82" s="667"/>
      <c r="H82" s="671">
        <f t="shared" si="2"/>
        <v>0</v>
      </c>
      <c r="L82" s="17"/>
    </row>
    <row r="83" spans="1:12" ht="22.5" x14ac:dyDescent="0.2">
      <c r="A83" s="578">
        <v>54313</v>
      </c>
      <c r="B83" s="674" t="s">
        <v>65</v>
      </c>
      <c r="C83" s="669"/>
      <c r="D83" s="670">
        <f>'egresos 25% y F.P'!G157</f>
        <v>200</v>
      </c>
      <c r="E83" s="672"/>
      <c r="F83" s="672"/>
      <c r="G83" s="673"/>
      <c r="H83" s="671">
        <f t="shared" si="2"/>
        <v>200</v>
      </c>
      <c r="L83" s="17"/>
    </row>
    <row r="84" spans="1:12" x14ac:dyDescent="0.2">
      <c r="A84" s="578">
        <v>54314</v>
      </c>
      <c r="B84" s="579" t="s">
        <v>66</v>
      </c>
      <c r="C84" s="669">
        <f>'egresos 25% y F.P'!G50</f>
        <v>100</v>
      </c>
      <c r="D84" s="670">
        <f>'egresos 25% y F.P'!G159</f>
        <v>9000</v>
      </c>
      <c r="E84" s="666"/>
      <c r="F84" s="666"/>
      <c r="G84" s="667"/>
      <c r="H84" s="671">
        <f>+C84+D84</f>
        <v>9100</v>
      </c>
      <c r="L84" s="17"/>
    </row>
    <row r="85" spans="1:12" hidden="1" x14ac:dyDescent="0.2">
      <c r="A85" s="578">
        <v>54316</v>
      </c>
      <c r="B85" s="579" t="s">
        <v>67</v>
      </c>
      <c r="C85" s="669">
        <f>'egresos 25% y F.P'!G51</f>
        <v>0</v>
      </c>
      <c r="D85" s="670"/>
      <c r="E85" s="666"/>
      <c r="F85" s="666"/>
      <c r="G85" s="667"/>
      <c r="H85" s="671">
        <f t="shared" ref="H85:H106" si="3">SUM(C85:G85)</f>
        <v>0</v>
      </c>
      <c r="L85" s="17"/>
    </row>
    <row r="86" spans="1:12" x14ac:dyDescent="0.2">
      <c r="A86" s="578">
        <v>54317</v>
      </c>
      <c r="B86" s="579" t="s">
        <v>68</v>
      </c>
      <c r="C86" s="669">
        <f>'egresos 25% y F.P'!G52</f>
        <v>0</v>
      </c>
      <c r="D86" s="670">
        <f>'egresos 25% y F.P'!F161</f>
        <v>4500</v>
      </c>
      <c r="E86" s="672"/>
      <c r="F86" s="672"/>
      <c r="G86" s="673"/>
      <c r="H86" s="671">
        <f t="shared" si="3"/>
        <v>4500</v>
      </c>
      <c r="L86" s="17"/>
    </row>
    <row r="87" spans="1:12" ht="22.5" x14ac:dyDescent="0.2">
      <c r="A87" s="578">
        <v>54399</v>
      </c>
      <c r="B87" s="674" t="s">
        <v>69</v>
      </c>
      <c r="C87" s="669">
        <f>'egresos 25% y F.P'!G53</f>
        <v>200</v>
      </c>
      <c r="D87" s="670">
        <f>'egresos 25% y F.P'!G162</f>
        <v>2000</v>
      </c>
      <c r="E87" s="672"/>
      <c r="F87" s="672"/>
      <c r="G87" s="673"/>
      <c r="H87" s="671">
        <f t="shared" si="3"/>
        <v>2200</v>
      </c>
      <c r="L87" s="17"/>
    </row>
    <row r="88" spans="1:12" x14ac:dyDescent="0.2">
      <c r="A88" s="573">
        <v>544</v>
      </c>
      <c r="B88" s="574" t="s">
        <v>70</v>
      </c>
      <c r="C88" s="664">
        <f>SUM(C89:C92)</f>
        <v>0</v>
      </c>
      <c r="D88" s="665">
        <f>SUM(D89:D92)</f>
        <v>2700</v>
      </c>
      <c r="E88" s="666"/>
      <c r="F88" s="666"/>
      <c r="G88" s="667"/>
      <c r="H88" s="668">
        <f t="shared" si="3"/>
        <v>2700</v>
      </c>
      <c r="I88" s="17">
        <f>D88-'egresos 25% y F.P'!G163</f>
        <v>0</v>
      </c>
      <c r="L88" s="17"/>
    </row>
    <row r="89" spans="1:12" x14ac:dyDescent="0.2">
      <c r="A89" s="578">
        <v>54401</v>
      </c>
      <c r="B89" s="579" t="s">
        <v>71</v>
      </c>
      <c r="C89" s="669">
        <f>'egresos 25% y F.P'!G55</f>
        <v>0</v>
      </c>
      <c r="D89" s="670">
        <f>'egresos 25% y F.P'!G164</f>
        <v>250</v>
      </c>
      <c r="E89" s="666"/>
      <c r="F89" s="666"/>
      <c r="G89" s="667"/>
      <c r="H89" s="671">
        <f t="shared" si="3"/>
        <v>250</v>
      </c>
      <c r="L89" s="17"/>
    </row>
    <row r="90" spans="1:12" x14ac:dyDescent="0.2">
      <c r="A90" s="578">
        <v>54402</v>
      </c>
      <c r="B90" s="579" t="s">
        <v>72</v>
      </c>
      <c r="C90" s="669">
        <f>'egresos 25% y F.P'!G56</f>
        <v>0</v>
      </c>
      <c r="D90" s="670">
        <f>'egresos 25% y F.P'!G165</f>
        <v>0</v>
      </c>
      <c r="E90" s="666"/>
      <c r="F90" s="666"/>
      <c r="G90" s="667"/>
      <c r="H90" s="671">
        <f t="shared" si="3"/>
        <v>0</v>
      </c>
      <c r="L90" s="17"/>
    </row>
    <row r="91" spans="1:12" x14ac:dyDescent="0.2">
      <c r="A91" s="578">
        <v>54403</v>
      </c>
      <c r="B91" s="579" t="s">
        <v>73</v>
      </c>
      <c r="C91" s="669">
        <f>'egresos 25% y F.P'!G57</f>
        <v>0</v>
      </c>
      <c r="D91" s="670">
        <f>'egresos 25% y F.P'!G166</f>
        <v>450</v>
      </c>
      <c r="E91" s="666"/>
      <c r="F91" s="666"/>
      <c r="G91" s="667"/>
      <c r="H91" s="671">
        <f t="shared" si="3"/>
        <v>450</v>
      </c>
      <c r="L91" s="17"/>
    </row>
    <row r="92" spans="1:12" x14ac:dyDescent="0.2">
      <c r="A92" s="578">
        <v>54404</v>
      </c>
      <c r="B92" s="579" t="s">
        <v>74</v>
      </c>
      <c r="C92" s="669">
        <f>'egresos 25% y F.P'!G58</f>
        <v>0</v>
      </c>
      <c r="D92" s="670">
        <f>'egresos 25% y F.P'!G167</f>
        <v>2000</v>
      </c>
      <c r="E92" s="666"/>
      <c r="F92" s="666"/>
      <c r="G92" s="667"/>
      <c r="H92" s="671">
        <f t="shared" si="3"/>
        <v>2000</v>
      </c>
      <c r="L92" s="17"/>
    </row>
    <row r="93" spans="1:12" ht="22.5" x14ac:dyDescent="0.2">
      <c r="A93" s="573">
        <v>545</v>
      </c>
      <c r="B93" s="659" t="s">
        <v>75</v>
      </c>
      <c r="C93" s="664">
        <f>SUM(C94:C100)</f>
        <v>0</v>
      </c>
      <c r="D93" s="665">
        <f>SUM(D94:D100)</f>
        <v>0</v>
      </c>
      <c r="E93" s="672"/>
      <c r="F93" s="672"/>
      <c r="G93" s="673"/>
      <c r="H93" s="668">
        <f t="shared" si="3"/>
        <v>0</v>
      </c>
      <c r="L93" s="17"/>
    </row>
    <row r="94" spans="1:12" hidden="1" x14ac:dyDescent="0.2">
      <c r="A94" s="578">
        <v>54501</v>
      </c>
      <c r="B94" s="579" t="s">
        <v>76</v>
      </c>
      <c r="C94" s="669"/>
      <c r="D94" s="670"/>
      <c r="E94" s="672"/>
      <c r="F94" s="672"/>
      <c r="G94" s="673"/>
      <c r="H94" s="671">
        <f t="shared" si="3"/>
        <v>0</v>
      </c>
      <c r="L94" s="17"/>
    </row>
    <row r="95" spans="1:12" x14ac:dyDescent="0.2">
      <c r="A95" s="578">
        <v>54503</v>
      </c>
      <c r="B95" s="579" t="s">
        <v>77</v>
      </c>
      <c r="C95" s="669">
        <f>+'egresos 25% y F.P'!C61</f>
        <v>0</v>
      </c>
      <c r="D95" s="670">
        <f>+'egresos 25% y F.P'!G170</f>
        <v>0</v>
      </c>
      <c r="E95" s="666"/>
      <c r="F95" s="666"/>
      <c r="G95" s="667"/>
      <c r="H95" s="671">
        <f t="shared" si="3"/>
        <v>0</v>
      </c>
      <c r="L95" s="17"/>
    </row>
    <row r="96" spans="1:12" hidden="1" x14ac:dyDescent="0.2">
      <c r="A96" s="578">
        <v>54504</v>
      </c>
      <c r="B96" s="579" t="s">
        <v>78</v>
      </c>
      <c r="C96" s="669"/>
      <c r="D96" s="670"/>
      <c r="E96" s="666"/>
      <c r="F96" s="666"/>
      <c r="G96" s="667"/>
      <c r="H96" s="671">
        <f t="shared" si="3"/>
        <v>0</v>
      </c>
      <c r="L96" s="17"/>
    </row>
    <row r="97" spans="1:12" hidden="1" x14ac:dyDescent="0.2">
      <c r="A97" s="578">
        <v>54505</v>
      </c>
      <c r="B97" s="579" t="s">
        <v>79</v>
      </c>
      <c r="C97" s="669"/>
      <c r="D97" s="670"/>
      <c r="E97" s="672"/>
      <c r="F97" s="672"/>
      <c r="G97" s="673"/>
      <c r="H97" s="671">
        <f t="shared" si="3"/>
        <v>0</v>
      </c>
      <c r="L97" s="17"/>
    </row>
    <row r="98" spans="1:12" hidden="1" x14ac:dyDescent="0.2">
      <c r="A98" s="578">
        <v>54507</v>
      </c>
      <c r="B98" s="579" t="s">
        <v>80</v>
      </c>
      <c r="C98" s="669"/>
      <c r="D98" s="670"/>
      <c r="E98" s="672"/>
      <c r="F98" s="672"/>
      <c r="G98" s="673"/>
      <c r="H98" s="671">
        <f t="shared" si="3"/>
        <v>0</v>
      </c>
      <c r="L98" s="17"/>
    </row>
    <row r="99" spans="1:12" hidden="1" x14ac:dyDescent="0.2">
      <c r="A99" s="578">
        <v>54508</v>
      </c>
      <c r="B99" s="579" t="s">
        <v>81</v>
      </c>
      <c r="C99" s="669"/>
      <c r="D99" s="670"/>
      <c r="E99" s="666"/>
      <c r="F99" s="666"/>
      <c r="G99" s="667"/>
      <c r="H99" s="671">
        <f t="shared" si="3"/>
        <v>0</v>
      </c>
      <c r="L99" s="17"/>
    </row>
    <row r="100" spans="1:12" ht="22.5" hidden="1" x14ac:dyDescent="0.2">
      <c r="A100" s="578">
        <v>54599</v>
      </c>
      <c r="B100" s="674" t="s">
        <v>82</v>
      </c>
      <c r="C100" s="669"/>
      <c r="D100" s="670"/>
      <c r="E100" s="684"/>
      <c r="F100" s="684"/>
      <c r="G100" s="685"/>
      <c r="H100" s="671">
        <f t="shared" si="3"/>
        <v>0</v>
      </c>
      <c r="L100" s="17"/>
    </row>
    <row r="101" spans="1:12" x14ac:dyDescent="0.2">
      <c r="A101" s="578"/>
      <c r="B101" s="674"/>
      <c r="C101" s="686"/>
      <c r="D101" s="670"/>
      <c r="E101" s="684"/>
      <c r="F101" s="684"/>
      <c r="G101" s="685"/>
      <c r="H101" s="671"/>
      <c r="L101" s="17"/>
    </row>
    <row r="102" spans="1:12" x14ac:dyDescent="0.2">
      <c r="A102" s="573">
        <v>55</v>
      </c>
      <c r="B102" s="574" t="s">
        <v>83</v>
      </c>
      <c r="C102" s="687">
        <f>C109+C107</f>
        <v>4270.01</v>
      </c>
      <c r="D102" s="665">
        <f>D109+D107</f>
        <v>1106.0500000000002</v>
      </c>
      <c r="E102" s="688"/>
      <c r="F102" s="688"/>
      <c r="G102" s="689"/>
      <c r="H102" s="668">
        <f t="shared" si="3"/>
        <v>5376.06</v>
      </c>
      <c r="I102" s="17">
        <f>D102-'egresos 25% y F.P'!G177</f>
        <v>0</v>
      </c>
      <c r="L102" s="17"/>
    </row>
    <row r="103" spans="1:12" ht="22.5" hidden="1" x14ac:dyDescent="0.2">
      <c r="A103" s="573">
        <v>553</v>
      </c>
      <c r="B103" s="659" t="s">
        <v>84</v>
      </c>
      <c r="C103" s="687">
        <f>SUM(C104:C106)</f>
        <v>0</v>
      </c>
      <c r="D103" s="665">
        <f>SUM(D104:D106)</f>
        <v>0</v>
      </c>
      <c r="E103" s="688"/>
      <c r="F103" s="688"/>
      <c r="G103" s="689"/>
      <c r="H103" s="668">
        <f t="shared" si="3"/>
        <v>0</v>
      </c>
      <c r="L103" s="17"/>
    </row>
    <row r="104" spans="1:12" hidden="1" x14ac:dyDescent="0.2">
      <c r="A104" s="578">
        <v>55303</v>
      </c>
      <c r="B104" s="579" t="s">
        <v>85</v>
      </c>
      <c r="C104" s="686"/>
      <c r="D104" s="670"/>
      <c r="E104" s="688"/>
      <c r="F104" s="688"/>
      <c r="G104" s="689"/>
      <c r="H104" s="671">
        <f t="shared" si="3"/>
        <v>0</v>
      </c>
      <c r="L104" s="17"/>
    </row>
    <row r="105" spans="1:12" hidden="1" x14ac:dyDescent="0.2">
      <c r="A105" s="578">
        <v>55304</v>
      </c>
      <c r="B105" s="579" t="s">
        <v>86</v>
      </c>
      <c r="C105" s="686"/>
      <c r="D105" s="670"/>
      <c r="E105" s="688"/>
      <c r="F105" s="688"/>
      <c r="G105" s="689"/>
      <c r="H105" s="671">
        <f t="shared" si="3"/>
        <v>0</v>
      </c>
      <c r="L105" s="17"/>
    </row>
    <row r="106" spans="1:12" hidden="1" x14ac:dyDescent="0.2">
      <c r="A106" s="578">
        <v>55308</v>
      </c>
      <c r="B106" s="579" t="s">
        <v>87</v>
      </c>
      <c r="C106" s="686"/>
      <c r="D106" s="670"/>
      <c r="E106" s="688"/>
      <c r="F106" s="688"/>
      <c r="G106" s="689"/>
      <c r="H106" s="671">
        <f t="shared" si="3"/>
        <v>0</v>
      </c>
      <c r="L106" s="17"/>
    </row>
    <row r="107" spans="1:12" s="54" customFormat="1" x14ac:dyDescent="0.2">
      <c r="A107" s="573">
        <v>555</v>
      </c>
      <c r="B107" s="574" t="s">
        <v>481</v>
      </c>
      <c r="C107" s="687">
        <f>C108</f>
        <v>170.01</v>
      </c>
      <c r="D107" s="665">
        <f>D108</f>
        <v>148.87</v>
      </c>
      <c r="E107" s="688">
        <f>E108</f>
        <v>0</v>
      </c>
      <c r="F107" s="688">
        <f>F108</f>
        <v>0</v>
      </c>
      <c r="G107" s="689">
        <f>+C107+D107+E107+F107</f>
        <v>318.88</v>
      </c>
      <c r="H107" s="668">
        <f>SUM(C107:C107)</f>
        <v>170.01</v>
      </c>
      <c r="I107" s="389"/>
      <c r="J107" s="389"/>
      <c r="K107" s="389"/>
      <c r="L107" s="17"/>
    </row>
    <row r="108" spans="1:12" x14ac:dyDescent="0.2">
      <c r="A108" s="578">
        <v>55508</v>
      </c>
      <c r="B108" s="579" t="s">
        <v>335</v>
      </c>
      <c r="C108" s="669">
        <f>+'egresos 25% y F.P'!G74</f>
        <v>170.01</v>
      </c>
      <c r="D108" s="690">
        <f>+'egresos 25% y F.P'!G183</f>
        <v>148.87</v>
      </c>
      <c r="E108" s="688"/>
      <c r="F108" s="688"/>
      <c r="G108" s="689">
        <f>+C108+D108+E108+F108</f>
        <v>318.88</v>
      </c>
      <c r="H108" s="671">
        <f>SUM(C108:C108)</f>
        <v>170.01</v>
      </c>
      <c r="L108" s="17"/>
    </row>
    <row r="109" spans="1:12" x14ac:dyDescent="0.2">
      <c r="A109" s="573">
        <v>556</v>
      </c>
      <c r="B109" s="574" t="s">
        <v>88</v>
      </c>
      <c r="C109" s="664">
        <f>SUM(C110:C112)</f>
        <v>4100</v>
      </c>
      <c r="D109" s="665">
        <f>SUM(D110:D112)</f>
        <v>957.18000000000006</v>
      </c>
      <c r="E109" s="688"/>
      <c r="F109" s="688"/>
      <c r="G109" s="689"/>
      <c r="H109" s="668">
        <f t="shared" ref="H109:H116" si="4">SUM(C109:G109)</f>
        <v>5057.18</v>
      </c>
      <c r="L109" s="17"/>
    </row>
    <row r="110" spans="1:12" x14ac:dyDescent="0.2">
      <c r="A110" s="578">
        <v>55601</v>
      </c>
      <c r="B110" s="579" t="s">
        <v>89</v>
      </c>
      <c r="C110" s="669">
        <f>'egresos 25% y F.P'!G76</f>
        <v>50</v>
      </c>
      <c r="D110" s="670">
        <f>'egresos 25% y F.P'!G185</f>
        <v>0</v>
      </c>
      <c r="E110" s="688"/>
      <c r="F110" s="688"/>
      <c r="G110" s="689"/>
      <c r="H110" s="671">
        <f t="shared" si="4"/>
        <v>50</v>
      </c>
      <c r="L110" s="17"/>
    </row>
    <row r="111" spans="1:12" x14ac:dyDescent="0.2">
      <c r="A111" s="578">
        <v>55602</v>
      </c>
      <c r="B111" s="579" t="s">
        <v>90</v>
      </c>
      <c r="C111" s="669">
        <f>'egresos 25% y F.P'!G77</f>
        <v>4000</v>
      </c>
      <c r="D111" s="670">
        <f>'egresos 25% y F.P'!G186</f>
        <v>700</v>
      </c>
      <c r="E111" s="688"/>
      <c r="F111" s="688"/>
      <c r="G111" s="689"/>
      <c r="H111" s="671">
        <f t="shared" si="4"/>
        <v>4700</v>
      </c>
      <c r="L111" s="17"/>
    </row>
    <row r="112" spans="1:12" x14ac:dyDescent="0.2">
      <c r="A112" s="578">
        <v>55603</v>
      </c>
      <c r="B112" s="579" t="s">
        <v>91</v>
      </c>
      <c r="C112" s="669">
        <f>+'egresos 25% y F.P'!G78</f>
        <v>50</v>
      </c>
      <c r="D112" s="670">
        <f>'egresos 25% y F.P'!G187</f>
        <v>257.18</v>
      </c>
      <c r="E112" s="688"/>
      <c r="F112" s="688"/>
      <c r="G112" s="689"/>
      <c r="H112" s="671">
        <f t="shared" si="4"/>
        <v>307.18</v>
      </c>
      <c r="L112" s="17"/>
    </row>
    <row r="113" spans="1:12" hidden="1" x14ac:dyDescent="0.2">
      <c r="A113" s="573">
        <v>557</v>
      </c>
      <c r="B113" s="574" t="s">
        <v>92</v>
      </c>
      <c r="C113" s="664">
        <f>SUM(C114:C116)</f>
        <v>0</v>
      </c>
      <c r="D113" s="665">
        <f>SUM(D114:D116)</f>
        <v>0</v>
      </c>
      <c r="E113" s="688"/>
      <c r="F113" s="688"/>
      <c r="G113" s="689"/>
      <c r="H113" s="668">
        <f t="shared" si="4"/>
        <v>0</v>
      </c>
      <c r="L113" s="17"/>
    </row>
    <row r="114" spans="1:12" hidden="1" x14ac:dyDescent="0.2">
      <c r="A114" s="578">
        <v>55701</v>
      </c>
      <c r="B114" s="579" t="s">
        <v>93</v>
      </c>
      <c r="C114" s="669">
        <v>0</v>
      </c>
      <c r="D114" s="670">
        <v>0</v>
      </c>
      <c r="E114" s="688"/>
      <c r="F114" s="688"/>
      <c r="G114" s="689"/>
      <c r="H114" s="671">
        <f t="shared" si="4"/>
        <v>0</v>
      </c>
      <c r="L114" s="17"/>
    </row>
    <row r="115" spans="1:12" hidden="1" x14ac:dyDescent="0.2">
      <c r="A115" s="578">
        <v>55702</v>
      </c>
      <c r="B115" s="579" t="s">
        <v>94</v>
      </c>
      <c r="C115" s="669">
        <v>0</v>
      </c>
      <c r="D115" s="670">
        <v>0</v>
      </c>
      <c r="E115" s="688"/>
      <c r="F115" s="688"/>
      <c r="G115" s="689"/>
      <c r="H115" s="671">
        <f t="shared" si="4"/>
        <v>0</v>
      </c>
      <c r="L115" s="17"/>
    </row>
    <row r="116" spans="1:12" hidden="1" x14ac:dyDescent="0.2">
      <c r="A116" s="578">
        <v>55799</v>
      </c>
      <c r="B116" s="579" t="s">
        <v>95</v>
      </c>
      <c r="C116" s="669">
        <v>0</v>
      </c>
      <c r="D116" s="670">
        <v>0</v>
      </c>
      <c r="E116" s="688"/>
      <c r="F116" s="688"/>
      <c r="G116" s="689"/>
      <c r="H116" s="671">
        <f t="shared" si="4"/>
        <v>0</v>
      </c>
      <c r="L116" s="17"/>
    </row>
    <row r="117" spans="1:12" hidden="1" x14ac:dyDescent="0.2">
      <c r="A117" s="578"/>
      <c r="B117" s="579"/>
      <c r="C117" s="669"/>
      <c r="D117" s="670"/>
      <c r="E117" s="688"/>
      <c r="F117" s="688"/>
      <c r="G117" s="689"/>
      <c r="H117" s="671"/>
      <c r="L117" s="17"/>
    </row>
    <row r="118" spans="1:12" x14ac:dyDescent="0.2">
      <c r="A118" s="578"/>
      <c r="B118" s="579"/>
      <c r="C118" s="669"/>
      <c r="D118" s="670"/>
      <c r="E118" s="688"/>
      <c r="F118" s="688"/>
      <c r="G118" s="689"/>
      <c r="H118" s="671"/>
      <c r="L118" s="17"/>
    </row>
    <row r="119" spans="1:12" x14ac:dyDescent="0.2">
      <c r="A119" s="573">
        <v>56</v>
      </c>
      <c r="B119" s="574" t="s">
        <v>96</v>
      </c>
      <c r="C119" s="664">
        <f>C120+C123</f>
        <v>19797.48</v>
      </c>
      <c r="D119" s="665">
        <f>D120+D123</f>
        <v>11549.5</v>
      </c>
      <c r="E119" s="688"/>
      <c r="F119" s="688"/>
      <c r="G119" s="689"/>
      <c r="H119" s="668">
        <f t="shared" ref="H119:H126" si="5">SUM(C119:G119)</f>
        <v>31346.98</v>
      </c>
      <c r="I119" s="17">
        <f>D119-'egresos 25% y F.P'!G193</f>
        <v>0</v>
      </c>
      <c r="L119" s="17"/>
    </row>
    <row r="120" spans="1:12" ht="22.5" x14ac:dyDescent="0.2">
      <c r="A120" s="691">
        <v>562</v>
      </c>
      <c r="B120" s="659" t="s">
        <v>97</v>
      </c>
      <c r="C120" s="642">
        <f>SUM(C121:C122)</f>
        <v>19797.48</v>
      </c>
      <c r="D120" s="692">
        <f>SUM(D121:D122)</f>
        <v>2549.5</v>
      </c>
      <c r="E120" s="693"/>
      <c r="F120" s="693"/>
      <c r="G120" s="694"/>
      <c r="H120" s="695">
        <f t="shared" si="5"/>
        <v>22346.98</v>
      </c>
      <c r="L120" s="17"/>
    </row>
    <row r="121" spans="1:12" x14ac:dyDescent="0.2">
      <c r="A121" s="578">
        <v>56201</v>
      </c>
      <c r="B121" s="579" t="s">
        <v>489</v>
      </c>
      <c r="C121" s="669"/>
      <c r="D121" s="670">
        <v>0</v>
      </c>
      <c r="E121" s="688"/>
      <c r="F121" s="688"/>
      <c r="G121" s="689"/>
      <c r="H121" s="671">
        <f t="shared" si="5"/>
        <v>0</v>
      </c>
      <c r="L121" s="17"/>
    </row>
    <row r="122" spans="1:12" ht="22.5" x14ac:dyDescent="0.2">
      <c r="A122" s="680">
        <v>56201</v>
      </c>
      <c r="B122" s="696" t="s">
        <v>701</v>
      </c>
      <c r="C122" s="661">
        <f>'egresos 25% y F.P'!G88</f>
        <v>19797.48</v>
      </c>
      <c r="D122" s="662">
        <f>'egresos 25% y F.P'!G196</f>
        <v>2549.5</v>
      </c>
      <c r="E122" s="693"/>
      <c r="F122" s="693"/>
      <c r="G122" s="694"/>
      <c r="H122" s="683">
        <f t="shared" si="5"/>
        <v>22346.98</v>
      </c>
      <c r="L122" s="17"/>
    </row>
    <row r="123" spans="1:12" ht="22.5" x14ac:dyDescent="0.2">
      <c r="A123" s="691">
        <v>563</v>
      </c>
      <c r="B123" s="659" t="s">
        <v>99</v>
      </c>
      <c r="C123" s="642">
        <f>SUM(C124:C125)</f>
        <v>0</v>
      </c>
      <c r="D123" s="692">
        <f>SUM(D124:D125)</f>
        <v>9000</v>
      </c>
      <c r="E123" s="693"/>
      <c r="F123" s="693"/>
      <c r="G123" s="694"/>
      <c r="H123" s="695">
        <f t="shared" si="5"/>
        <v>9000</v>
      </c>
      <c r="L123" s="17"/>
    </row>
    <row r="124" spans="1:12" hidden="1" x14ac:dyDescent="0.2">
      <c r="A124" s="578">
        <v>56303</v>
      </c>
      <c r="B124" s="579" t="s">
        <v>98</v>
      </c>
      <c r="C124" s="669">
        <v>0</v>
      </c>
      <c r="D124" s="670">
        <v>0</v>
      </c>
      <c r="E124" s="688"/>
      <c r="F124" s="688"/>
      <c r="G124" s="689"/>
      <c r="H124" s="671">
        <f t="shared" si="5"/>
        <v>0</v>
      </c>
      <c r="L124" s="17"/>
    </row>
    <row r="125" spans="1:12" x14ac:dyDescent="0.2">
      <c r="A125" s="578">
        <v>56304</v>
      </c>
      <c r="B125" s="579" t="s">
        <v>100</v>
      </c>
      <c r="C125" s="669">
        <f>'egresos 25% y F.P'!G91</f>
        <v>0</v>
      </c>
      <c r="D125" s="670">
        <f>'egresos 25% y F.P'!G199</f>
        <v>9000</v>
      </c>
      <c r="E125" s="688"/>
      <c r="F125" s="688"/>
      <c r="G125" s="689"/>
      <c r="H125" s="671">
        <f t="shared" si="5"/>
        <v>9000</v>
      </c>
      <c r="L125" s="17"/>
    </row>
    <row r="126" spans="1:12" hidden="1" x14ac:dyDescent="0.2">
      <c r="A126" s="616" t="s">
        <v>162</v>
      </c>
      <c r="B126" s="617" t="s">
        <v>163</v>
      </c>
      <c r="C126" s="664">
        <f>C127</f>
        <v>0</v>
      </c>
      <c r="D126" s="665">
        <f>D127</f>
        <v>0</v>
      </c>
      <c r="E126" s="688"/>
      <c r="F126" s="688"/>
      <c r="G126" s="689"/>
      <c r="H126" s="668">
        <f t="shared" si="5"/>
        <v>0</v>
      </c>
    </row>
    <row r="127" spans="1:12" hidden="1" x14ac:dyDescent="0.2">
      <c r="A127" s="616" t="s">
        <v>254</v>
      </c>
      <c r="B127" s="697" t="s">
        <v>199</v>
      </c>
      <c r="C127" s="664">
        <f>C128</f>
        <v>0</v>
      </c>
      <c r="D127" s="665">
        <f>D128</f>
        <v>0</v>
      </c>
      <c r="E127" s="688"/>
      <c r="F127" s="688"/>
      <c r="G127" s="689"/>
      <c r="H127" s="668">
        <f>H128</f>
        <v>0</v>
      </c>
    </row>
    <row r="128" spans="1:12" ht="22.5" hidden="1" x14ac:dyDescent="0.2">
      <c r="A128" s="647" t="s">
        <v>255</v>
      </c>
      <c r="B128" s="674" t="s">
        <v>256</v>
      </c>
      <c r="C128" s="669">
        <f>'egresos 25% y F.P'!G98</f>
        <v>0</v>
      </c>
      <c r="D128" s="690">
        <f>'egresos 25% y F.P'!G206</f>
        <v>0</v>
      </c>
      <c r="E128" s="698"/>
      <c r="F128" s="698"/>
      <c r="G128" s="699"/>
      <c r="H128" s="700">
        <f>SUM(C128:C128)</f>
        <v>0</v>
      </c>
    </row>
    <row r="129" spans="1:9" hidden="1" x14ac:dyDescent="0.2">
      <c r="A129" s="616"/>
      <c r="B129" s="648"/>
      <c r="C129" s="701"/>
      <c r="D129" s="690"/>
      <c r="E129" s="698"/>
      <c r="F129" s="698"/>
      <c r="G129" s="699"/>
      <c r="H129" s="700"/>
    </row>
    <row r="130" spans="1:9" ht="12.75" hidden="1" customHeight="1" x14ac:dyDescent="0.2">
      <c r="A130" s="616" t="s">
        <v>164</v>
      </c>
      <c r="B130" s="617" t="s">
        <v>165</v>
      </c>
      <c r="C130" s="664"/>
      <c r="D130" s="665"/>
      <c r="E130" s="688"/>
      <c r="F130" s="688"/>
      <c r="G130" s="689"/>
      <c r="H130" s="668">
        <f t="shared" ref="H130:H141" si="6">SUM(C130:G130)</f>
        <v>0</v>
      </c>
    </row>
    <row r="131" spans="1:9" ht="12.75" hidden="1" customHeight="1" x14ac:dyDescent="0.2">
      <c r="A131" s="647" t="s">
        <v>166</v>
      </c>
      <c r="B131" s="648" t="s">
        <v>167</v>
      </c>
      <c r="C131" s="669"/>
      <c r="D131" s="670"/>
      <c r="E131" s="688"/>
      <c r="F131" s="688"/>
      <c r="G131" s="689"/>
      <c r="H131" s="671">
        <f t="shared" si="6"/>
        <v>0</v>
      </c>
    </row>
    <row r="132" spans="1:9" ht="12.75" hidden="1" customHeight="1" x14ac:dyDescent="0.2">
      <c r="A132" s="647" t="s">
        <v>168</v>
      </c>
      <c r="B132" s="648" t="s">
        <v>169</v>
      </c>
      <c r="C132" s="669"/>
      <c r="D132" s="670"/>
      <c r="E132" s="688"/>
      <c r="F132" s="688"/>
      <c r="G132" s="689"/>
      <c r="H132" s="671">
        <f t="shared" si="6"/>
        <v>0</v>
      </c>
    </row>
    <row r="133" spans="1:9" ht="12.75" hidden="1" customHeight="1" x14ac:dyDescent="0.2">
      <c r="A133" s="647" t="s">
        <v>170</v>
      </c>
      <c r="B133" s="648" t="s">
        <v>171</v>
      </c>
      <c r="C133" s="669"/>
      <c r="D133" s="670"/>
      <c r="E133" s="688"/>
      <c r="F133" s="688"/>
      <c r="G133" s="689"/>
      <c r="H133" s="671">
        <f t="shared" si="6"/>
        <v>0</v>
      </c>
    </row>
    <row r="134" spans="1:9" ht="12.75" hidden="1" customHeight="1" x14ac:dyDescent="0.2">
      <c r="A134" s="647" t="s">
        <v>172</v>
      </c>
      <c r="B134" s="648" t="s">
        <v>173</v>
      </c>
      <c r="C134" s="669"/>
      <c r="D134" s="670"/>
      <c r="E134" s="688"/>
      <c r="F134" s="688"/>
      <c r="G134" s="689"/>
      <c r="H134" s="671">
        <f t="shared" si="6"/>
        <v>0</v>
      </c>
    </row>
    <row r="135" spans="1:9" ht="12.75" hidden="1" customHeight="1" x14ac:dyDescent="0.2">
      <c r="A135" s="647" t="s">
        <v>174</v>
      </c>
      <c r="B135" s="648" t="s">
        <v>175</v>
      </c>
      <c r="C135" s="669"/>
      <c r="D135" s="670"/>
      <c r="E135" s="688"/>
      <c r="F135" s="688"/>
      <c r="G135" s="689"/>
      <c r="H135" s="671">
        <f t="shared" si="6"/>
        <v>0</v>
      </c>
    </row>
    <row r="136" spans="1:9" ht="12.75" hidden="1" customHeight="1" x14ac:dyDescent="0.2">
      <c r="A136" s="647" t="s">
        <v>176</v>
      </c>
      <c r="B136" s="648" t="s">
        <v>177</v>
      </c>
      <c r="C136" s="669"/>
      <c r="D136" s="670"/>
      <c r="E136" s="688"/>
      <c r="F136" s="688"/>
      <c r="G136" s="689"/>
      <c r="H136" s="671">
        <f t="shared" si="6"/>
        <v>0</v>
      </c>
    </row>
    <row r="137" spans="1:9" ht="12.75" hidden="1" customHeight="1" x14ac:dyDescent="0.2">
      <c r="A137" s="647" t="s">
        <v>178</v>
      </c>
      <c r="B137" s="648" t="s">
        <v>179</v>
      </c>
      <c r="C137" s="669"/>
      <c r="D137" s="670"/>
      <c r="E137" s="688"/>
      <c r="F137" s="688"/>
      <c r="G137" s="689"/>
      <c r="H137" s="671">
        <f t="shared" si="6"/>
        <v>0</v>
      </c>
    </row>
    <row r="138" spans="1:9" ht="12.75" hidden="1" customHeight="1" x14ac:dyDescent="0.2">
      <c r="A138" s="647" t="s">
        <v>180</v>
      </c>
      <c r="B138" s="648" t="s">
        <v>181</v>
      </c>
      <c r="C138" s="669"/>
      <c r="D138" s="670"/>
      <c r="E138" s="688"/>
      <c r="F138" s="688"/>
      <c r="G138" s="689"/>
      <c r="H138" s="671">
        <f t="shared" si="6"/>
        <v>0</v>
      </c>
    </row>
    <row r="139" spans="1:9" ht="12.75" customHeight="1" x14ac:dyDescent="0.2">
      <c r="A139" s="573">
        <v>72</v>
      </c>
      <c r="B139" s="574" t="s">
        <v>13</v>
      </c>
      <c r="C139" s="664">
        <f>C140</f>
        <v>225199.12999999998</v>
      </c>
      <c r="D139" s="665">
        <f>D140</f>
        <v>87300.910000000018</v>
      </c>
      <c r="E139" s="688"/>
      <c r="F139" s="688"/>
      <c r="G139" s="689"/>
      <c r="H139" s="668">
        <f t="shared" si="6"/>
        <v>312500.03999999998</v>
      </c>
      <c r="I139" s="17">
        <f>D139-'egresos 25% y F.P'!G201</f>
        <v>0</v>
      </c>
    </row>
    <row r="140" spans="1:9" ht="22.5" customHeight="1" x14ac:dyDescent="0.2">
      <c r="A140" s="691">
        <v>721</v>
      </c>
      <c r="B140" s="659" t="s">
        <v>182</v>
      </c>
      <c r="C140" s="642">
        <f>C141</f>
        <v>225199.12999999998</v>
      </c>
      <c r="D140" s="692">
        <f>D141</f>
        <v>87300.910000000018</v>
      </c>
      <c r="E140" s="693"/>
      <c r="F140" s="693"/>
      <c r="G140" s="694"/>
      <c r="H140" s="695">
        <f t="shared" si="6"/>
        <v>312500.03999999998</v>
      </c>
    </row>
    <row r="141" spans="1:9" ht="22.5" customHeight="1" x14ac:dyDescent="0.2">
      <c r="A141" s="680">
        <v>72101</v>
      </c>
      <c r="B141" s="674" t="s">
        <v>182</v>
      </c>
      <c r="C141" s="661">
        <f>'egresos 25% y F.P'!G93</f>
        <v>225199.12999999998</v>
      </c>
      <c r="D141" s="662">
        <f>'egresos 25% y F.P'!G202</f>
        <v>87300.910000000018</v>
      </c>
      <c r="E141" s="693"/>
      <c r="F141" s="693"/>
      <c r="G141" s="694"/>
      <c r="H141" s="683">
        <f t="shared" si="6"/>
        <v>312500.03999999998</v>
      </c>
    </row>
    <row r="142" spans="1:9" ht="13.5" thickBot="1" x14ac:dyDescent="0.25">
      <c r="A142" s="578"/>
      <c r="B142" s="579"/>
      <c r="C142" s="669"/>
      <c r="D142" s="670"/>
      <c r="E142" s="688"/>
      <c r="F142" s="688"/>
      <c r="G142" s="689"/>
      <c r="H142" s="671"/>
    </row>
    <row r="143" spans="1:9" ht="13.5" hidden="1" thickBot="1" x14ac:dyDescent="0.25">
      <c r="A143" s="573">
        <v>99</v>
      </c>
      <c r="B143" s="574" t="s">
        <v>183</v>
      </c>
      <c r="C143" s="664"/>
      <c r="D143" s="665"/>
      <c r="E143" s="688"/>
      <c r="F143" s="688"/>
      <c r="G143" s="689"/>
      <c r="H143" s="668">
        <f>SUM(C143:G143)</f>
        <v>0</v>
      </c>
    </row>
    <row r="144" spans="1:9" ht="23.25" hidden="1" thickBot="1" x14ac:dyDescent="0.25">
      <c r="A144" s="573">
        <v>991</v>
      </c>
      <c r="B144" s="659" t="s">
        <v>184</v>
      </c>
      <c r="C144" s="702"/>
      <c r="D144" s="665"/>
      <c r="E144" s="688"/>
      <c r="F144" s="688"/>
      <c r="G144" s="689"/>
      <c r="H144" s="668">
        <f>SUM(C144:G144)</f>
        <v>0</v>
      </c>
    </row>
    <row r="145" spans="1:8" ht="23.25" hidden="1" thickBot="1" x14ac:dyDescent="0.25">
      <c r="A145" s="703">
        <v>99101</v>
      </c>
      <c r="B145" s="704" t="s">
        <v>184</v>
      </c>
      <c r="C145" s="705"/>
      <c r="D145" s="706"/>
      <c r="E145" s="707"/>
      <c r="F145" s="707"/>
      <c r="G145" s="708"/>
      <c r="H145" s="709">
        <f>SUM(C145:G145)</f>
        <v>0</v>
      </c>
    </row>
    <row r="146" spans="1:8" ht="13.5" thickBot="1" x14ac:dyDescent="0.25">
      <c r="A146" s="622"/>
      <c r="B146" s="710" t="s">
        <v>185</v>
      </c>
      <c r="C146" s="711">
        <f>+C143+C139+C126+C119+C102+C46+C12</f>
        <v>648781.12</v>
      </c>
      <c r="D146" s="711">
        <f t="shared" ref="D146:G146" si="7">+D143+D139+D126+D119+D102+D46+D12</f>
        <v>479627.46</v>
      </c>
      <c r="E146" s="712">
        <f t="shared" si="7"/>
        <v>0</v>
      </c>
      <c r="F146" s="712">
        <f t="shared" si="7"/>
        <v>0</v>
      </c>
      <c r="G146" s="713">
        <f t="shared" si="7"/>
        <v>0</v>
      </c>
      <c r="H146" s="714">
        <f>+H143+H139+H126+H119+H102+H46+H12</f>
        <v>1128408.58</v>
      </c>
    </row>
    <row r="147" spans="1:8" x14ac:dyDescent="0.2">
      <c r="A147" s="715"/>
      <c r="B147" s="834"/>
      <c r="C147" s="716"/>
      <c r="D147" s="717"/>
      <c r="E147" s="718"/>
      <c r="F147" s="718"/>
      <c r="G147" s="718"/>
      <c r="H147" s="718"/>
    </row>
    <row r="148" spans="1:8" x14ac:dyDescent="0.2">
      <c r="A148" s="715"/>
      <c r="E148" s="718"/>
      <c r="F148" s="718"/>
      <c r="G148" s="718"/>
      <c r="H148" s="720"/>
    </row>
    <row r="149" spans="1:8" x14ac:dyDescent="0.2">
      <c r="B149" s="718"/>
      <c r="C149" s="721"/>
      <c r="D149" s="720"/>
      <c r="E149" s="718"/>
      <c r="F149" s="718"/>
      <c r="G149" s="718"/>
      <c r="H149" s="718"/>
    </row>
    <row r="150" spans="1:8" x14ac:dyDescent="0.2">
      <c r="B150" s="722"/>
      <c r="C150" s="723"/>
      <c r="D150" s="724"/>
    </row>
    <row r="151" spans="1:8" x14ac:dyDescent="0.2">
      <c r="B151" s="722"/>
      <c r="C151" s="723"/>
      <c r="D151" s="724"/>
    </row>
  </sheetData>
  <mergeCells count="6">
    <mergeCell ref="A10:B10"/>
    <mergeCell ref="H10:H11"/>
    <mergeCell ref="C10:D10"/>
    <mergeCell ref="A1:H1"/>
    <mergeCell ref="A2:H2"/>
    <mergeCell ref="A3:H3"/>
  </mergeCells>
  <phoneticPr fontId="6" type="noConversion"/>
  <printOptions horizontalCentered="1"/>
  <pageMargins left="0.94488188976377963" right="0.94488188976377963" top="0.94488188976377963" bottom="0.74803149606299213" header="0" footer="0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indexed="22"/>
  </sheetPr>
  <dimension ref="A2:R218"/>
  <sheetViews>
    <sheetView showGridLines="0" topLeftCell="A10" zoomScale="115" zoomScaleNormal="115" workbookViewId="0">
      <pane xSplit="1" ySplit="4" topLeftCell="B194" activePane="bottomRight" state="frozen"/>
      <selection activeCell="A10" sqref="A10"/>
      <selection pane="topRight" activeCell="B10" sqref="B10"/>
      <selection pane="bottomLeft" activeCell="A14" sqref="A14"/>
      <selection pane="bottomRight" activeCell="I212" sqref="I212:J212"/>
    </sheetView>
  </sheetViews>
  <sheetFormatPr baseColWidth="10" defaultRowHeight="12.75" x14ac:dyDescent="0.2"/>
  <cols>
    <col min="1" max="1" width="0.85546875" style="1358" customWidth="1"/>
    <col min="2" max="2" width="6.42578125" style="1492" customWidth="1"/>
    <col min="3" max="3" width="7.42578125" style="1493" customWidth="1"/>
    <col min="4" max="4" width="47.7109375" style="1481" customWidth="1"/>
    <col min="5" max="5" width="13" style="1483" customWidth="1"/>
    <col min="6" max="6" width="12.28515625" style="1483" customWidth="1"/>
    <col min="7" max="7" width="9.28515625" style="1483" customWidth="1"/>
    <col min="8" max="8" width="11.140625" style="1483" customWidth="1"/>
    <col min="9" max="9" width="11" style="1483" customWidth="1"/>
    <col min="10" max="12" width="11.85546875" style="1483" customWidth="1"/>
    <col min="13" max="13" width="9.28515625" style="1483" customWidth="1"/>
    <col min="14" max="14" width="15.28515625" style="1483" hidden="1" customWidth="1"/>
    <col min="15" max="15" width="11.5703125" style="1483" customWidth="1"/>
    <col min="16" max="16" width="11.85546875" style="1483" customWidth="1"/>
    <col min="17" max="17" width="12.28515625" style="1358" bestFit="1" customWidth="1"/>
    <col min="18" max="18" width="15" style="1358" customWidth="1"/>
    <col min="19" max="16384" width="11.42578125" style="1358"/>
  </cols>
  <sheetData>
    <row r="2" spans="1:16" ht="15.75" x14ac:dyDescent="0.25">
      <c r="B2" s="1359" t="s">
        <v>187</v>
      </c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59"/>
      <c r="P2" s="1359"/>
    </row>
    <row r="3" spans="1:16" x14ac:dyDescent="0.2">
      <c r="B3" s="1360" t="s">
        <v>583</v>
      </c>
      <c r="C3" s="1360"/>
      <c r="D3" s="1360"/>
      <c r="E3" s="1360"/>
      <c r="F3" s="1360"/>
      <c r="G3" s="1360"/>
      <c r="H3" s="1360"/>
      <c r="I3" s="1360"/>
      <c r="J3" s="1360"/>
      <c r="K3" s="1360"/>
      <c r="L3" s="1360"/>
      <c r="M3" s="1360"/>
      <c r="N3" s="1360"/>
      <c r="O3" s="1360"/>
      <c r="P3" s="1360"/>
    </row>
    <row r="4" spans="1:16" ht="9.75" customHeight="1" x14ac:dyDescent="0.3">
      <c r="B4" s="1361"/>
      <c r="C4" s="1361"/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  <c r="O4" s="1361"/>
      <c r="P4" s="1361"/>
    </row>
    <row r="5" spans="1:16" ht="18" customHeight="1" x14ac:dyDescent="0.3">
      <c r="B5" s="1362" t="s">
        <v>866</v>
      </c>
      <c r="C5" s="1362"/>
      <c r="D5" s="1362"/>
      <c r="E5" s="1362"/>
      <c r="F5" s="1362"/>
      <c r="G5" s="1362"/>
      <c r="H5" s="1362"/>
      <c r="I5" s="1362"/>
      <c r="J5" s="1362"/>
      <c r="K5" s="1362"/>
      <c r="L5" s="1362"/>
      <c r="M5" s="1362"/>
      <c r="N5" s="1362"/>
      <c r="O5" s="1362"/>
      <c r="P5" s="1362"/>
    </row>
    <row r="6" spans="1:16" ht="18" customHeight="1" x14ac:dyDescent="0.3">
      <c r="B6" s="1362" t="s">
        <v>867</v>
      </c>
      <c r="C6" s="1362"/>
      <c r="D6" s="1362"/>
      <c r="E6" s="1362"/>
      <c r="F6" s="1362"/>
      <c r="G6" s="1362"/>
      <c r="H6" s="1362"/>
      <c r="I6" s="1362"/>
      <c r="J6" s="1362"/>
      <c r="K6" s="1362"/>
      <c r="L6" s="1362"/>
      <c r="M6" s="1362"/>
      <c r="N6" s="1362"/>
      <c r="O6" s="1362"/>
      <c r="P6" s="1362"/>
    </row>
    <row r="7" spans="1:16" ht="18" customHeight="1" x14ac:dyDescent="0.3">
      <c r="B7" s="1362" t="s">
        <v>868</v>
      </c>
      <c r="C7" s="1362"/>
      <c r="D7" s="1362"/>
      <c r="E7" s="1362"/>
      <c r="F7" s="1362"/>
      <c r="G7" s="1362"/>
      <c r="H7" s="1362"/>
      <c r="I7" s="1362"/>
      <c r="J7" s="1362"/>
      <c r="K7" s="1362"/>
      <c r="L7" s="1362"/>
      <c r="M7" s="1362"/>
      <c r="N7" s="1362"/>
      <c r="O7" s="1362"/>
      <c r="P7" s="1362"/>
    </row>
    <row r="8" spans="1:16" ht="18" customHeight="1" x14ac:dyDescent="0.3">
      <c r="B8" s="1362" t="s">
        <v>869</v>
      </c>
      <c r="C8" s="1362"/>
      <c r="D8" s="1362"/>
      <c r="E8" s="1362"/>
      <c r="F8" s="1362"/>
      <c r="G8" s="1362"/>
      <c r="H8" s="1362"/>
      <c r="I8" s="1362"/>
      <c r="J8" s="1362"/>
      <c r="K8" s="1362"/>
      <c r="L8" s="1362"/>
      <c r="M8" s="1362"/>
      <c r="N8" s="1362"/>
      <c r="O8" s="1362"/>
      <c r="P8" s="1362"/>
    </row>
    <row r="9" spans="1:16" ht="18" customHeight="1" x14ac:dyDescent="0.3">
      <c r="B9" s="1362" t="s">
        <v>870</v>
      </c>
      <c r="C9" s="1362"/>
      <c r="D9" s="1362"/>
      <c r="E9" s="1362"/>
      <c r="F9" s="1362"/>
      <c r="G9" s="1362"/>
      <c r="H9" s="1362"/>
      <c r="I9" s="1362"/>
      <c r="J9" s="1362"/>
      <c r="K9" s="1362"/>
      <c r="L9" s="1362"/>
      <c r="M9" s="1362"/>
      <c r="N9" s="1362"/>
      <c r="O9" s="1362"/>
      <c r="P9" s="1362"/>
    </row>
    <row r="10" spans="1:16" ht="10.5" customHeight="1" thickBot="1" x14ac:dyDescent="0.35">
      <c r="B10" s="1363"/>
      <c r="C10" s="1363"/>
      <c r="D10" s="1363"/>
      <c r="E10" s="1363"/>
      <c r="F10" s="1363"/>
      <c r="G10" s="1363"/>
      <c r="H10" s="1363"/>
      <c r="I10" s="1363"/>
      <c r="J10" s="1363"/>
      <c r="K10" s="1363"/>
      <c r="L10" s="1363"/>
      <c r="M10" s="1363"/>
      <c r="N10" s="1363"/>
      <c r="O10" s="1363"/>
      <c r="P10" s="1363"/>
    </row>
    <row r="11" spans="1:16" ht="15.75" customHeight="1" thickBot="1" x14ac:dyDescent="0.25">
      <c r="B11" s="1364" t="s">
        <v>549</v>
      </c>
      <c r="C11" s="1365" t="s">
        <v>550</v>
      </c>
      <c r="D11" s="1366" t="s">
        <v>571</v>
      </c>
      <c r="E11" s="1367" t="s">
        <v>572</v>
      </c>
      <c r="F11" s="1368"/>
      <c r="G11" s="1368"/>
      <c r="H11" s="1368"/>
      <c r="I11" s="1368"/>
      <c r="J11" s="1368"/>
      <c r="K11" s="1368"/>
      <c r="L11" s="1368"/>
      <c r="M11" s="1368"/>
      <c r="N11" s="1368"/>
      <c r="O11" s="1368"/>
      <c r="P11" s="1369" t="s">
        <v>573</v>
      </c>
    </row>
    <row r="12" spans="1:16" ht="25.5" customHeight="1" thickBot="1" x14ac:dyDescent="0.25">
      <c r="B12" s="1370"/>
      <c r="C12" s="1371"/>
      <c r="D12" s="1370"/>
      <c r="E12" s="1372" t="s">
        <v>757</v>
      </c>
      <c r="F12" s="1373" t="s">
        <v>747</v>
      </c>
      <c r="G12" s="1374" t="s">
        <v>2</v>
      </c>
      <c r="H12" s="1373" t="s">
        <v>774</v>
      </c>
      <c r="I12" s="1373" t="s">
        <v>775</v>
      </c>
      <c r="J12" s="1373" t="s">
        <v>805</v>
      </c>
      <c r="K12" s="1373" t="s">
        <v>806</v>
      </c>
      <c r="L12" s="1373" t="s">
        <v>807</v>
      </c>
      <c r="M12" s="1373" t="s">
        <v>429</v>
      </c>
      <c r="N12" s="1373" t="s">
        <v>121</v>
      </c>
      <c r="O12" s="1374" t="s">
        <v>680</v>
      </c>
      <c r="P12" s="1375"/>
    </row>
    <row r="13" spans="1:16" x14ac:dyDescent="0.2">
      <c r="B13" s="1376"/>
      <c r="C13" s="1377" t="s">
        <v>459</v>
      </c>
      <c r="D13" s="1378"/>
      <c r="E13" s="1379"/>
      <c r="F13" s="1380"/>
      <c r="G13" s="1381"/>
      <c r="H13" s="1380"/>
      <c r="I13" s="1380"/>
      <c r="J13" s="1380"/>
      <c r="K13" s="1380"/>
      <c r="L13" s="1381"/>
      <c r="M13" s="1380"/>
      <c r="N13" s="1380"/>
      <c r="O13" s="1381"/>
      <c r="P13" s="1382"/>
    </row>
    <row r="14" spans="1:16" x14ac:dyDescent="0.2">
      <c r="A14" s="1383"/>
      <c r="B14" s="1376"/>
      <c r="C14" s="1384" t="s">
        <v>459</v>
      </c>
      <c r="D14" s="1385" t="s">
        <v>828</v>
      </c>
      <c r="E14" s="1386">
        <f>SUM(E15:E18)</f>
        <v>25000</v>
      </c>
      <c r="F14" s="1387"/>
      <c r="G14" s="1388"/>
      <c r="H14" s="1387"/>
      <c r="I14" s="1387"/>
      <c r="J14" s="1387"/>
      <c r="K14" s="1387"/>
      <c r="L14" s="1388"/>
      <c r="M14" s="1387"/>
      <c r="N14" s="1387"/>
      <c r="O14" s="1389"/>
      <c r="P14" s="1390">
        <f>SUM(E14:O14)</f>
        <v>25000</v>
      </c>
    </row>
    <row r="15" spans="1:16" x14ac:dyDescent="0.2">
      <c r="A15" s="1383"/>
      <c r="B15" s="1376">
        <v>61101</v>
      </c>
      <c r="C15" s="1384"/>
      <c r="D15" s="1378" t="s">
        <v>734</v>
      </c>
      <c r="E15" s="1391">
        <v>2500</v>
      </c>
      <c r="F15" s="1387"/>
      <c r="G15" s="1388"/>
      <c r="H15" s="1387"/>
      <c r="I15" s="1387"/>
      <c r="J15" s="1387"/>
      <c r="K15" s="1387"/>
      <c r="L15" s="1388"/>
      <c r="M15" s="1387"/>
      <c r="N15" s="1387"/>
      <c r="O15" s="1389"/>
      <c r="P15" s="1382">
        <f t="shared" ref="P15:P21" si="0">SUM(E15:O15)</f>
        <v>2500</v>
      </c>
    </row>
    <row r="16" spans="1:16" x14ac:dyDescent="0.2">
      <c r="A16" s="1383"/>
      <c r="B16" s="1376">
        <v>61102</v>
      </c>
      <c r="C16" s="1384"/>
      <c r="D16" s="1378" t="s">
        <v>735</v>
      </c>
      <c r="E16" s="1391">
        <v>8000</v>
      </c>
      <c r="F16" s="1387"/>
      <c r="G16" s="1388"/>
      <c r="H16" s="1387"/>
      <c r="I16" s="1387"/>
      <c r="J16" s="1387"/>
      <c r="K16" s="1387"/>
      <c r="L16" s="1388"/>
      <c r="M16" s="1387"/>
      <c r="N16" s="1387"/>
      <c r="O16" s="1389"/>
      <c r="P16" s="1382">
        <f t="shared" si="0"/>
        <v>8000</v>
      </c>
    </row>
    <row r="17" spans="1:18" x14ac:dyDescent="0.2">
      <c r="A17" s="1383"/>
      <c r="B17" s="1376">
        <v>61104</v>
      </c>
      <c r="C17" s="1384"/>
      <c r="D17" s="1378" t="s">
        <v>736</v>
      </c>
      <c r="E17" s="1391">
        <v>13500</v>
      </c>
      <c r="F17" s="1387"/>
      <c r="G17" s="1388"/>
      <c r="H17" s="1387"/>
      <c r="I17" s="1387"/>
      <c r="J17" s="1387"/>
      <c r="K17" s="1387"/>
      <c r="L17" s="1388"/>
      <c r="M17" s="1387"/>
      <c r="N17" s="1387"/>
      <c r="O17" s="1389"/>
      <c r="P17" s="1382">
        <f t="shared" si="0"/>
        <v>13500</v>
      </c>
    </row>
    <row r="18" spans="1:18" x14ac:dyDescent="0.2">
      <c r="A18" s="1383"/>
      <c r="B18" s="1376">
        <v>54199</v>
      </c>
      <c r="C18" s="1384"/>
      <c r="D18" s="1378" t="s">
        <v>731</v>
      </c>
      <c r="E18" s="1391">
        <v>1000</v>
      </c>
      <c r="F18" s="1387"/>
      <c r="G18" s="1388"/>
      <c r="H18" s="1387"/>
      <c r="I18" s="1387"/>
      <c r="J18" s="1387"/>
      <c r="K18" s="1387"/>
      <c r="L18" s="1388"/>
      <c r="M18" s="1387"/>
      <c r="N18" s="1387"/>
      <c r="O18" s="1389"/>
      <c r="P18" s="1382">
        <f t="shared" si="0"/>
        <v>1000</v>
      </c>
    </row>
    <row r="19" spans="1:18" x14ac:dyDescent="0.2">
      <c r="A19" s="1383"/>
      <c r="B19" s="1376"/>
      <c r="C19" s="1384"/>
      <c r="D19" s="1385"/>
      <c r="E19" s="1386"/>
      <c r="F19" s="1387"/>
      <c r="G19" s="1388"/>
      <c r="H19" s="1387"/>
      <c r="I19" s="1387"/>
      <c r="J19" s="1387"/>
      <c r="K19" s="1387"/>
      <c r="L19" s="1388"/>
      <c r="M19" s="1387"/>
      <c r="N19" s="1387"/>
      <c r="O19" s="1389"/>
      <c r="P19" s="1390"/>
    </row>
    <row r="20" spans="1:18" x14ac:dyDescent="0.2">
      <c r="B20" s="1376"/>
      <c r="C20" s="1384"/>
      <c r="D20" s="1385" t="s">
        <v>723</v>
      </c>
      <c r="E20" s="1386">
        <f>+SUM(E21)</f>
        <v>30000</v>
      </c>
      <c r="F20" s="1387"/>
      <c r="G20" s="1388"/>
      <c r="H20" s="1387"/>
      <c r="I20" s="1387"/>
      <c r="J20" s="1387"/>
      <c r="K20" s="1387"/>
      <c r="L20" s="1388"/>
      <c r="M20" s="1387"/>
      <c r="N20" s="1387"/>
      <c r="O20" s="1389"/>
      <c r="P20" s="1390">
        <f t="shared" si="0"/>
        <v>30000</v>
      </c>
    </row>
    <row r="21" spans="1:18" x14ac:dyDescent="0.2">
      <c r="B21" s="1376">
        <v>61105</v>
      </c>
      <c r="C21" s="1384"/>
      <c r="D21" s="1378" t="s">
        <v>724</v>
      </c>
      <c r="E21" s="1391">
        <v>30000</v>
      </c>
      <c r="F21" s="1387"/>
      <c r="G21" s="1388"/>
      <c r="H21" s="1387"/>
      <c r="I21" s="1387"/>
      <c r="J21" s="1387"/>
      <c r="K21" s="1387"/>
      <c r="L21" s="1388"/>
      <c r="M21" s="1387"/>
      <c r="N21" s="1387"/>
      <c r="O21" s="1389"/>
      <c r="P21" s="1382">
        <f t="shared" si="0"/>
        <v>30000</v>
      </c>
    </row>
    <row r="22" spans="1:18" x14ac:dyDescent="0.2">
      <c r="B22" s="1376"/>
      <c r="C22" s="1384"/>
      <c r="D22" s="1378"/>
      <c r="E22" s="1391"/>
      <c r="F22" s="1387"/>
      <c r="G22" s="1388"/>
      <c r="H22" s="1387"/>
      <c r="I22" s="1387"/>
      <c r="J22" s="1387"/>
      <c r="K22" s="1387"/>
      <c r="L22" s="1388"/>
      <c r="M22" s="1387"/>
      <c r="N22" s="1387"/>
      <c r="O22" s="1389"/>
      <c r="P22" s="1382"/>
    </row>
    <row r="23" spans="1:18" ht="24" x14ac:dyDescent="0.2">
      <c r="B23" s="1376"/>
      <c r="C23" s="1384"/>
      <c r="D23" s="1385" t="s">
        <v>811</v>
      </c>
      <c r="E23" s="1386">
        <f>+SUM(E24)</f>
        <v>0</v>
      </c>
      <c r="F23" s="1387"/>
      <c r="G23" s="1388"/>
      <c r="H23" s="1387"/>
      <c r="I23" s="1387"/>
      <c r="J23" s="1387"/>
      <c r="K23" s="1387"/>
      <c r="L23" s="1388"/>
      <c r="M23" s="1387"/>
      <c r="N23" s="1387"/>
      <c r="O23" s="1386">
        <f>+SUM(O24)</f>
        <v>116277</v>
      </c>
      <c r="P23" s="1390">
        <f t="shared" ref="P23:P24" si="1">SUM(E23:O23)</f>
        <v>116277</v>
      </c>
    </row>
    <row r="24" spans="1:18" x14ac:dyDescent="0.2">
      <c r="B24" s="1376">
        <v>61105</v>
      </c>
      <c r="C24" s="1384"/>
      <c r="D24" s="1378" t="s">
        <v>724</v>
      </c>
      <c r="E24" s="1391"/>
      <c r="F24" s="1387"/>
      <c r="G24" s="1388"/>
      <c r="H24" s="1387"/>
      <c r="I24" s="1387"/>
      <c r="J24" s="1387"/>
      <c r="K24" s="1387"/>
      <c r="L24" s="1388"/>
      <c r="M24" s="1387"/>
      <c r="N24" s="1387"/>
      <c r="O24" s="1391">
        <f>116282-5</f>
        <v>116277</v>
      </c>
      <c r="P24" s="1382">
        <f t="shared" si="1"/>
        <v>116277</v>
      </c>
      <c r="Q24" s="1392"/>
      <c r="R24" s="1393"/>
    </row>
    <row r="25" spans="1:18" x14ac:dyDescent="0.2">
      <c r="B25" s="1376"/>
      <c r="C25" s="1384"/>
      <c r="D25" s="1378"/>
      <c r="E25" s="1391"/>
      <c r="F25" s="1387"/>
      <c r="G25" s="1388"/>
      <c r="H25" s="1387"/>
      <c r="I25" s="1387"/>
      <c r="J25" s="1387"/>
      <c r="K25" s="1387"/>
      <c r="L25" s="1388"/>
      <c r="M25" s="1387"/>
      <c r="N25" s="1387"/>
      <c r="O25" s="1389"/>
      <c r="P25" s="1382"/>
      <c r="Q25" s="1392"/>
    </row>
    <row r="26" spans="1:18" ht="23.25" customHeight="1" x14ac:dyDescent="0.2">
      <c r="B26" s="1376"/>
      <c r="C26" s="1384" t="s">
        <v>459</v>
      </c>
      <c r="D26" s="1385" t="s">
        <v>829</v>
      </c>
      <c r="E26" s="1386">
        <f>SUM(E27:E37)</f>
        <v>30095.190000000002</v>
      </c>
      <c r="F26" s="1387"/>
      <c r="G26" s="1388"/>
      <c r="H26" s="1387"/>
      <c r="I26" s="1387"/>
      <c r="J26" s="1387"/>
      <c r="K26" s="1387"/>
      <c r="L26" s="1388"/>
      <c r="M26" s="1387"/>
      <c r="N26" s="1387"/>
      <c r="O26" s="1389"/>
      <c r="P26" s="1390">
        <f>SUM(E26:O26)</f>
        <v>30095.190000000002</v>
      </c>
    </row>
    <row r="27" spans="1:18" ht="12.75" customHeight="1" x14ac:dyDescent="0.2">
      <c r="B27" s="1376">
        <v>51201</v>
      </c>
      <c r="C27" s="1384"/>
      <c r="D27" s="1378" t="s">
        <v>686</v>
      </c>
      <c r="E27" s="1391">
        <v>1238.21</v>
      </c>
      <c r="F27" s="1387"/>
      <c r="G27" s="1388"/>
      <c r="H27" s="1387"/>
      <c r="I27" s="1387"/>
      <c r="J27" s="1387"/>
      <c r="K27" s="1387"/>
      <c r="L27" s="1388"/>
      <c r="M27" s="1387"/>
      <c r="N27" s="1387"/>
      <c r="O27" s="1389"/>
      <c r="P27" s="1382">
        <f t="shared" ref="P27:P37" si="2">SUM(E27:O27)</f>
        <v>1238.21</v>
      </c>
    </row>
    <row r="28" spans="1:18" ht="12.75" customHeight="1" x14ac:dyDescent="0.2">
      <c r="B28" s="1376">
        <v>54105</v>
      </c>
      <c r="C28" s="1384"/>
      <c r="D28" s="1378" t="s">
        <v>728</v>
      </c>
      <c r="E28" s="1391">
        <v>1245</v>
      </c>
      <c r="F28" s="1387"/>
      <c r="G28" s="1388"/>
      <c r="H28" s="1387"/>
      <c r="I28" s="1387"/>
      <c r="J28" s="1387"/>
      <c r="K28" s="1387"/>
      <c r="L28" s="1388"/>
      <c r="M28" s="1387"/>
      <c r="N28" s="1387"/>
      <c r="O28" s="1389"/>
      <c r="P28" s="1382">
        <f t="shared" si="2"/>
        <v>1245</v>
      </c>
    </row>
    <row r="29" spans="1:18" ht="12.75" customHeight="1" x14ac:dyDescent="0.2">
      <c r="B29" s="1376">
        <v>54107</v>
      </c>
      <c r="C29" s="1384"/>
      <c r="D29" s="1378" t="s">
        <v>740</v>
      </c>
      <c r="E29" s="1391">
        <v>304.14999999999998</v>
      </c>
      <c r="F29" s="1387"/>
      <c r="G29" s="1388"/>
      <c r="H29" s="1387"/>
      <c r="I29" s="1387"/>
      <c r="J29" s="1387"/>
      <c r="K29" s="1387"/>
      <c r="L29" s="1388"/>
      <c r="M29" s="1387"/>
      <c r="N29" s="1387"/>
      <c r="O29" s="1389"/>
      <c r="P29" s="1382">
        <f t="shared" si="2"/>
        <v>304.14999999999998</v>
      </c>
    </row>
    <row r="30" spans="1:18" ht="12.75" customHeight="1" x14ac:dyDescent="0.2">
      <c r="B30" s="1376">
        <v>54111</v>
      </c>
      <c r="C30" s="1384"/>
      <c r="D30" s="1378" t="s">
        <v>741</v>
      </c>
      <c r="E30" s="1391">
        <v>2870.55</v>
      </c>
      <c r="F30" s="1387"/>
      <c r="G30" s="1388"/>
      <c r="H30" s="1387"/>
      <c r="I30" s="1387"/>
      <c r="J30" s="1387"/>
      <c r="K30" s="1387"/>
      <c r="L30" s="1388"/>
      <c r="M30" s="1387"/>
      <c r="N30" s="1387"/>
      <c r="O30" s="1389"/>
      <c r="P30" s="1382">
        <f t="shared" si="2"/>
        <v>2870.55</v>
      </c>
    </row>
    <row r="31" spans="1:18" ht="12.75" customHeight="1" x14ac:dyDescent="0.2">
      <c r="B31" s="1376">
        <v>51112</v>
      </c>
      <c r="C31" s="1384"/>
      <c r="D31" s="1378" t="s">
        <v>742</v>
      </c>
      <c r="E31" s="1391">
        <v>4000</v>
      </c>
      <c r="F31" s="1387"/>
      <c r="G31" s="1388"/>
      <c r="H31" s="1387"/>
      <c r="I31" s="1387"/>
      <c r="J31" s="1387"/>
      <c r="K31" s="1387"/>
      <c r="L31" s="1388"/>
      <c r="M31" s="1387"/>
      <c r="N31" s="1387"/>
      <c r="O31" s="1389"/>
      <c r="P31" s="1382">
        <f t="shared" si="2"/>
        <v>4000</v>
      </c>
    </row>
    <row r="32" spans="1:18" ht="12.75" customHeight="1" x14ac:dyDescent="0.2">
      <c r="B32" s="1376">
        <v>54119</v>
      </c>
      <c r="C32" s="1384"/>
      <c r="D32" s="1378" t="s">
        <v>743</v>
      </c>
      <c r="E32" s="1391">
        <v>1408.76</v>
      </c>
      <c r="F32" s="1387"/>
      <c r="G32" s="1388"/>
      <c r="H32" s="1387"/>
      <c r="I32" s="1387"/>
      <c r="J32" s="1387"/>
      <c r="K32" s="1387"/>
      <c r="L32" s="1388"/>
      <c r="M32" s="1387"/>
      <c r="N32" s="1387"/>
      <c r="O32" s="1389"/>
      <c r="P32" s="1382">
        <f t="shared" si="2"/>
        <v>1408.76</v>
      </c>
    </row>
    <row r="33" spans="1:16" ht="12.75" customHeight="1" x14ac:dyDescent="0.2">
      <c r="B33" s="1376">
        <v>54199</v>
      </c>
      <c r="C33" s="1384"/>
      <c r="D33" s="1378" t="s">
        <v>731</v>
      </c>
      <c r="E33" s="1391">
        <v>2171.36</v>
      </c>
      <c r="F33" s="1387"/>
      <c r="G33" s="1388"/>
      <c r="H33" s="1387"/>
      <c r="I33" s="1387"/>
      <c r="J33" s="1387"/>
      <c r="K33" s="1387"/>
      <c r="L33" s="1388"/>
      <c r="M33" s="1387"/>
      <c r="N33" s="1387"/>
      <c r="O33" s="1389"/>
      <c r="P33" s="1382">
        <f t="shared" si="2"/>
        <v>2171.36</v>
      </c>
    </row>
    <row r="34" spans="1:16" ht="12.75" customHeight="1" x14ac:dyDescent="0.2">
      <c r="B34" s="1376">
        <v>54399</v>
      </c>
      <c r="C34" s="1384"/>
      <c r="D34" s="1378" t="s">
        <v>733</v>
      </c>
      <c r="E34" s="1391">
        <v>3482.16</v>
      </c>
      <c r="F34" s="1387"/>
      <c r="G34" s="1388"/>
      <c r="H34" s="1387"/>
      <c r="I34" s="1387"/>
      <c r="J34" s="1387"/>
      <c r="K34" s="1387"/>
      <c r="L34" s="1388"/>
      <c r="M34" s="1387"/>
      <c r="N34" s="1387"/>
      <c r="O34" s="1389"/>
      <c r="P34" s="1382">
        <f t="shared" si="2"/>
        <v>3482.16</v>
      </c>
    </row>
    <row r="35" spans="1:16" ht="12.75" customHeight="1" x14ac:dyDescent="0.2">
      <c r="B35" s="1376">
        <v>61101</v>
      </c>
      <c r="C35" s="1384"/>
      <c r="D35" s="1378" t="s">
        <v>734</v>
      </c>
      <c r="E35" s="1391">
        <v>6450</v>
      </c>
      <c r="F35" s="1387"/>
      <c r="G35" s="1388"/>
      <c r="H35" s="1387"/>
      <c r="I35" s="1387"/>
      <c r="J35" s="1387"/>
      <c r="K35" s="1387"/>
      <c r="L35" s="1388"/>
      <c r="M35" s="1387"/>
      <c r="N35" s="1387"/>
      <c r="O35" s="1389"/>
      <c r="P35" s="1382">
        <f t="shared" si="2"/>
        <v>6450</v>
      </c>
    </row>
    <row r="36" spans="1:16" ht="12.75" customHeight="1" x14ac:dyDescent="0.2">
      <c r="B36" s="1376">
        <v>61102</v>
      </c>
      <c r="C36" s="1384"/>
      <c r="D36" s="1378" t="s">
        <v>735</v>
      </c>
      <c r="E36" s="1391">
        <v>500</v>
      </c>
      <c r="F36" s="1387"/>
      <c r="G36" s="1388"/>
      <c r="H36" s="1387"/>
      <c r="I36" s="1387"/>
      <c r="J36" s="1387"/>
      <c r="K36" s="1387"/>
      <c r="L36" s="1388"/>
      <c r="M36" s="1387"/>
      <c r="N36" s="1387"/>
      <c r="O36" s="1389"/>
      <c r="P36" s="1382">
        <f t="shared" si="2"/>
        <v>500</v>
      </c>
    </row>
    <row r="37" spans="1:16" ht="12.75" customHeight="1" x14ac:dyDescent="0.2">
      <c r="B37" s="1376">
        <v>61199</v>
      </c>
      <c r="C37" s="1384"/>
      <c r="D37" s="1378" t="s">
        <v>744</v>
      </c>
      <c r="E37" s="1391">
        <v>6425</v>
      </c>
      <c r="F37" s="1387"/>
      <c r="G37" s="1388"/>
      <c r="H37" s="1387"/>
      <c r="I37" s="1387"/>
      <c r="J37" s="1387"/>
      <c r="K37" s="1387"/>
      <c r="L37" s="1388"/>
      <c r="M37" s="1387"/>
      <c r="N37" s="1387"/>
      <c r="O37" s="1389"/>
      <c r="P37" s="1382">
        <f t="shared" si="2"/>
        <v>6425</v>
      </c>
    </row>
    <row r="38" spans="1:16" x14ac:dyDescent="0.2">
      <c r="B38" s="1376"/>
      <c r="C38" s="1384" t="s">
        <v>459</v>
      </c>
      <c r="D38" s="1385"/>
      <c r="E38" s="1386"/>
      <c r="F38" s="1387"/>
      <c r="G38" s="1388"/>
      <c r="H38" s="1387"/>
      <c r="I38" s="1387"/>
      <c r="J38" s="1387"/>
      <c r="K38" s="1387"/>
      <c r="L38" s="1388"/>
      <c r="M38" s="1387"/>
      <c r="N38" s="1387"/>
      <c r="O38" s="1389"/>
      <c r="P38" s="1390"/>
    </row>
    <row r="39" spans="1:16" x14ac:dyDescent="0.2">
      <c r="B39" s="1394"/>
      <c r="C39" s="1395"/>
      <c r="D39" s="1396" t="s">
        <v>864</v>
      </c>
      <c r="E39" s="1397"/>
      <c r="F39" s="1387"/>
      <c r="G39" s="1387"/>
      <c r="H39" s="1387"/>
      <c r="I39" s="1387"/>
      <c r="J39" s="1387"/>
      <c r="K39" s="1387"/>
      <c r="L39" s="1387"/>
      <c r="M39" s="1387"/>
      <c r="N39" s="1387"/>
      <c r="O39" s="1387"/>
      <c r="P39" s="1390"/>
    </row>
    <row r="40" spans="1:16" x14ac:dyDescent="0.2">
      <c r="B40" s="1376" t="s">
        <v>654</v>
      </c>
      <c r="C40" s="1384" t="s">
        <v>459</v>
      </c>
      <c r="D40" s="1378" t="s">
        <v>485</v>
      </c>
      <c r="E40" s="1386">
        <v>4037.98</v>
      </c>
      <c r="F40" s="1387"/>
      <c r="G40" s="1388"/>
      <c r="H40" s="1387"/>
      <c r="I40" s="1387"/>
      <c r="J40" s="1387"/>
      <c r="K40" s="1387"/>
      <c r="L40" s="1388"/>
      <c r="M40" s="1387"/>
      <c r="N40" s="1387"/>
      <c r="O40" s="1388"/>
      <c r="P40" s="1390"/>
    </row>
    <row r="41" spans="1:16" x14ac:dyDescent="0.2">
      <c r="B41" s="1376"/>
      <c r="C41" s="1384"/>
      <c r="D41" s="1398"/>
      <c r="E41" s="1386"/>
      <c r="F41" s="1387"/>
      <c r="G41" s="1388"/>
      <c r="H41" s="1387"/>
      <c r="I41" s="1387"/>
      <c r="J41" s="1387"/>
      <c r="K41" s="1387"/>
      <c r="L41" s="1388"/>
      <c r="M41" s="1387"/>
      <c r="N41" s="1387"/>
      <c r="O41" s="1388"/>
      <c r="P41" s="1390"/>
    </row>
    <row r="42" spans="1:16" s="1383" customFormat="1" x14ac:dyDescent="0.2">
      <c r="B42" s="1376"/>
      <c r="C42" s="1399" t="s">
        <v>459</v>
      </c>
      <c r="D42" s="1385" t="s">
        <v>830</v>
      </c>
      <c r="E42" s="1386">
        <f>SUM(E43)</f>
        <v>62990.33</v>
      </c>
      <c r="F42" s="1397"/>
      <c r="G42" s="1400"/>
      <c r="H42" s="1397"/>
      <c r="I42" s="1397"/>
      <c r="J42" s="1397"/>
      <c r="K42" s="1397"/>
      <c r="L42" s="1400"/>
      <c r="M42" s="1397"/>
      <c r="N42" s="1397"/>
      <c r="O42" s="1401"/>
      <c r="P42" s="1390">
        <f>SUM(E42:O42)</f>
        <v>62990.33</v>
      </c>
    </row>
    <row r="43" spans="1:16" s="1383" customFormat="1" ht="13.5" thickBot="1" x14ac:dyDescent="0.25">
      <c r="B43" s="1402" t="s">
        <v>654</v>
      </c>
      <c r="C43" s="1403" t="s">
        <v>459</v>
      </c>
      <c r="D43" s="1402" t="s">
        <v>485</v>
      </c>
      <c r="E43" s="1404">
        <v>62990.33</v>
      </c>
      <c r="F43" s="1405"/>
      <c r="G43" s="1405"/>
      <c r="H43" s="1405"/>
      <c r="I43" s="1405"/>
      <c r="J43" s="1405"/>
      <c r="K43" s="1405"/>
      <c r="L43" s="1405"/>
      <c r="M43" s="1405"/>
      <c r="N43" s="1405"/>
      <c r="O43" s="1405"/>
      <c r="P43" s="1406">
        <f>SUM(E43:O43)</f>
        <v>62990.33</v>
      </c>
    </row>
    <row r="44" spans="1:16" x14ac:dyDescent="0.2">
      <c r="B44" s="1376"/>
      <c r="C44" s="1384" t="s">
        <v>459</v>
      </c>
      <c r="D44" s="1385"/>
      <c r="E44" s="1386"/>
      <c r="F44" s="1387"/>
      <c r="G44" s="1388"/>
      <c r="H44" s="1387"/>
      <c r="I44" s="1387"/>
      <c r="J44" s="1387"/>
      <c r="K44" s="1387"/>
      <c r="L44" s="1388"/>
      <c r="M44" s="1397"/>
      <c r="N44" s="1397"/>
      <c r="O44" s="1401"/>
      <c r="P44" s="1390"/>
    </row>
    <row r="45" spans="1:16" ht="24" x14ac:dyDescent="0.2">
      <c r="B45" s="1376"/>
      <c r="C45" s="1384" t="s">
        <v>459</v>
      </c>
      <c r="D45" s="1407" t="s">
        <v>831</v>
      </c>
      <c r="E45" s="1386">
        <f>SUM(E46)</f>
        <v>10000</v>
      </c>
      <c r="F45" s="1397"/>
      <c r="G45" s="1400"/>
      <c r="H45" s="1397"/>
      <c r="I45" s="1397"/>
      <c r="J45" s="1397"/>
      <c r="K45" s="1397"/>
      <c r="L45" s="1400"/>
      <c r="M45" s="1397"/>
      <c r="N45" s="1397"/>
      <c r="O45" s="1401"/>
      <c r="P45" s="1390">
        <f>SUM(E45:O45)</f>
        <v>10000</v>
      </c>
    </row>
    <row r="46" spans="1:16" x14ac:dyDescent="0.2">
      <c r="A46" s="1383"/>
      <c r="B46" s="1376" t="s">
        <v>656</v>
      </c>
      <c r="C46" s="1384" t="s">
        <v>459</v>
      </c>
      <c r="D46" s="1378" t="s">
        <v>458</v>
      </c>
      <c r="E46" s="1391">
        <v>10000</v>
      </c>
      <c r="F46" s="1397"/>
      <c r="G46" s="1400"/>
      <c r="H46" s="1397"/>
      <c r="I46" s="1397"/>
      <c r="J46" s="1397"/>
      <c r="K46" s="1397"/>
      <c r="L46" s="1400"/>
      <c r="M46" s="1397"/>
      <c r="N46" s="1397"/>
      <c r="O46" s="1401"/>
      <c r="P46" s="1382">
        <f>SUM(E46:O46)</f>
        <v>10000</v>
      </c>
    </row>
    <row r="47" spans="1:16" x14ac:dyDescent="0.2">
      <c r="A47" s="1383"/>
      <c r="B47" s="1376"/>
      <c r="C47" s="1384" t="s">
        <v>459</v>
      </c>
      <c r="D47" s="1408"/>
      <c r="E47" s="1386"/>
      <c r="F47" s="1397"/>
      <c r="G47" s="1400"/>
      <c r="H47" s="1397"/>
      <c r="I47" s="1397"/>
      <c r="J47" s="1397"/>
      <c r="K47" s="1397"/>
      <c r="L47" s="1400"/>
      <c r="M47" s="1397"/>
      <c r="N47" s="1397"/>
      <c r="O47" s="1400"/>
      <c r="P47" s="1390"/>
    </row>
    <row r="48" spans="1:16" ht="24" x14ac:dyDescent="0.2">
      <c r="B48" s="1376"/>
      <c r="C48" s="1384" t="s">
        <v>459</v>
      </c>
      <c r="D48" s="1407" t="s">
        <v>812</v>
      </c>
      <c r="E48" s="1386">
        <f>SUM(E49)</f>
        <v>0</v>
      </c>
      <c r="F48" s="1397"/>
      <c r="G48" s="1400"/>
      <c r="H48" s="1397"/>
      <c r="I48" s="1397"/>
      <c r="J48" s="1397"/>
      <c r="K48" s="1397"/>
      <c r="L48" s="1400"/>
      <c r="M48" s="1397"/>
      <c r="N48" s="1397"/>
      <c r="O48" s="1401">
        <f>SUM(O49)</f>
        <v>454086.71</v>
      </c>
      <c r="P48" s="1390">
        <f>SUM(E48:O48)</f>
        <v>454086.71</v>
      </c>
    </row>
    <row r="49" spans="1:16" x14ac:dyDescent="0.2">
      <c r="A49" s="1383"/>
      <c r="B49" s="1376" t="s">
        <v>657</v>
      </c>
      <c r="C49" s="1384" t="s">
        <v>459</v>
      </c>
      <c r="D49" s="1378" t="s">
        <v>457</v>
      </c>
      <c r="E49" s="1391"/>
      <c r="F49" s="1397"/>
      <c r="G49" s="1400"/>
      <c r="H49" s="1397"/>
      <c r="I49" s="1397"/>
      <c r="J49" s="1397"/>
      <c r="K49" s="1397"/>
      <c r="L49" s="1400"/>
      <c r="M49" s="1397"/>
      <c r="N49" s="1397"/>
      <c r="O49" s="1389">
        <v>454086.71</v>
      </c>
      <c r="P49" s="1382">
        <f>SUM(E49:O49)</f>
        <v>454086.71</v>
      </c>
    </row>
    <row r="50" spans="1:16" x14ac:dyDescent="0.2">
      <c r="A50" s="1383"/>
      <c r="B50" s="1376"/>
      <c r="C50" s="1384" t="s">
        <v>459</v>
      </c>
      <c r="D50" s="1408"/>
      <c r="E50" s="1386"/>
      <c r="F50" s="1397"/>
      <c r="G50" s="1400"/>
      <c r="H50" s="1397"/>
      <c r="I50" s="1397"/>
      <c r="J50" s="1397"/>
      <c r="K50" s="1397"/>
      <c r="L50" s="1400"/>
      <c r="M50" s="1397"/>
      <c r="N50" s="1397"/>
      <c r="O50" s="1400"/>
      <c r="P50" s="1390"/>
    </row>
    <row r="51" spans="1:16" ht="24" x14ac:dyDescent="0.2">
      <c r="A51" s="1383"/>
      <c r="B51" s="1376"/>
      <c r="C51" s="1399" t="s">
        <v>459</v>
      </c>
      <c r="D51" s="1398" t="s">
        <v>832</v>
      </c>
      <c r="E51" s="1386">
        <f>SUM(E52:E59)</f>
        <v>25372.400000000001</v>
      </c>
      <c r="F51" s="1387"/>
      <c r="G51" s="1388"/>
      <c r="H51" s="1387"/>
      <c r="I51" s="1387"/>
      <c r="J51" s="1387"/>
      <c r="K51" s="1387"/>
      <c r="L51" s="1388"/>
      <c r="M51" s="1387"/>
      <c r="N51" s="1387"/>
      <c r="O51" s="1388"/>
      <c r="P51" s="1390">
        <f>SUM(E51:O51)</f>
        <v>25372.400000000001</v>
      </c>
    </row>
    <row r="52" spans="1:16" x14ac:dyDescent="0.2">
      <c r="A52" s="1383"/>
      <c r="B52" s="1376">
        <v>51201</v>
      </c>
      <c r="C52" s="1399"/>
      <c r="D52" s="1409" t="s">
        <v>686</v>
      </c>
      <c r="E52" s="1391">
        <v>10260</v>
      </c>
      <c r="F52" s="1387"/>
      <c r="G52" s="1388"/>
      <c r="H52" s="1387"/>
      <c r="I52" s="1387"/>
      <c r="J52" s="1387"/>
      <c r="K52" s="1387"/>
      <c r="L52" s="1388"/>
      <c r="M52" s="1387"/>
      <c r="N52" s="1387"/>
      <c r="O52" s="1388"/>
      <c r="P52" s="1382">
        <f t="shared" ref="P52:P59" si="3">SUM(E52:O52)</f>
        <v>10260</v>
      </c>
    </row>
    <row r="53" spans="1:16" x14ac:dyDescent="0.2">
      <c r="A53" s="1383"/>
      <c r="B53" s="1376">
        <v>54104</v>
      </c>
      <c r="C53" s="1399"/>
      <c r="D53" s="1409" t="s">
        <v>717</v>
      </c>
      <c r="E53" s="1391">
        <v>500</v>
      </c>
      <c r="F53" s="1387"/>
      <c r="G53" s="1388"/>
      <c r="H53" s="1387"/>
      <c r="I53" s="1387"/>
      <c r="J53" s="1387"/>
      <c r="K53" s="1387"/>
      <c r="L53" s="1388"/>
      <c r="M53" s="1387"/>
      <c r="N53" s="1387"/>
      <c r="O53" s="1388"/>
      <c r="P53" s="1382">
        <f t="shared" si="3"/>
        <v>500</v>
      </c>
    </row>
    <row r="54" spans="1:16" x14ac:dyDescent="0.2">
      <c r="A54" s="1383"/>
      <c r="B54" s="1376">
        <v>54105</v>
      </c>
      <c r="C54" s="1399"/>
      <c r="D54" s="1409" t="s">
        <v>728</v>
      </c>
      <c r="E54" s="1391">
        <v>200</v>
      </c>
      <c r="F54" s="1387"/>
      <c r="G54" s="1388"/>
      <c r="H54" s="1387"/>
      <c r="I54" s="1387"/>
      <c r="J54" s="1387"/>
      <c r="K54" s="1387"/>
      <c r="L54" s="1388"/>
      <c r="M54" s="1387"/>
      <c r="N54" s="1387"/>
      <c r="O54" s="1388"/>
      <c r="P54" s="1382">
        <f t="shared" si="3"/>
        <v>200</v>
      </c>
    </row>
    <row r="55" spans="1:16" x14ac:dyDescent="0.2">
      <c r="A55" s="1383"/>
      <c r="B55" s="1410">
        <v>54107</v>
      </c>
      <c r="C55" s="1411"/>
      <c r="D55" s="1409" t="s">
        <v>718</v>
      </c>
      <c r="E55" s="1391">
        <v>300</v>
      </c>
      <c r="F55" s="1387"/>
      <c r="G55" s="1388"/>
      <c r="H55" s="1387"/>
      <c r="I55" s="1387"/>
      <c r="J55" s="1387"/>
      <c r="K55" s="1387"/>
      <c r="L55" s="1388"/>
      <c r="M55" s="1387"/>
      <c r="N55" s="1387"/>
      <c r="O55" s="1388"/>
      <c r="P55" s="1382">
        <f t="shared" si="3"/>
        <v>300</v>
      </c>
    </row>
    <row r="56" spans="1:16" x14ac:dyDescent="0.2">
      <c r="A56" s="1383"/>
      <c r="B56" s="1410">
        <v>54110</v>
      </c>
      <c r="C56" s="1411"/>
      <c r="D56" s="1409" t="s">
        <v>729</v>
      </c>
      <c r="E56" s="1391">
        <v>2400</v>
      </c>
      <c r="F56" s="1387"/>
      <c r="G56" s="1388"/>
      <c r="H56" s="1387"/>
      <c r="I56" s="1387"/>
      <c r="J56" s="1387"/>
      <c r="K56" s="1387"/>
      <c r="L56" s="1388"/>
      <c r="M56" s="1387"/>
      <c r="N56" s="1387"/>
      <c r="O56" s="1388"/>
      <c r="P56" s="1382">
        <f t="shared" si="3"/>
        <v>2400</v>
      </c>
    </row>
    <row r="57" spans="1:16" x14ac:dyDescent="0.2">
      <c r="A57" s="1383"/>
      <c r="B57" s="1410">
        <v>54118</v>
      </c>
      <c r="C57" s="1411"/>
      <c r="D57" s="1409" t="s">
        <v>730</v>
      </c>
      <c r="E57" s="1391">
        <v>804</v>
      </c>
      <c r="F57" s="1387"/>
      <c r="G57" s="1388"/>
      <c r="H57" s="1387"/>
      <c r="I57" s="1387"/>
      <c r="J57" s="1387"/>
      <c r="K57" s="1387"/>
      <c r="L57" s="1388"/>
      <c r="M57" s="1387"/>
      <c r="N57" s="1387"/>
      <c r="O57" s="1388"/>
      <c r="P57" s="1382">
        <f t="shared" si="3"/>
        <v>804</v>
      </c>
    </row>
    <row r="58" spans="1:16" x14ac:dyDescent="0.2">
      <c r="A58" s="1383"/>
      <c r="B58" s="1410">
        <v>54199</v>
      </c>
      <c r="C58" s="1411"/>
      <c r="D58" s="1409" t="s">
        <v>731</v>
      </c>
      <c r="E58" s="1391">
        <v>1120</v>
      </c>
      <c r="F58" s="1387"/>
      <c r="G58" s="1388"/>
      <c r="H58" s="1387"/>
      <c r="I58" s="1387"/>
      <c r="J58" s="1387"/>
      <c r="K58" s="1387"/>
      <c r="L58" s="1388"/>
      <c r="M58" s="1387"/>
      <c r="N58" s="1387"/>
      <c r="O58" s="1388"/>
      <c r="P58" s="1382">
        <f t="shared" si="3"/>
        <v>1120</v>
      </c>
    </row>
    <row r="59" spans="1:16" x14ac:dyDescent="0.2">
      <c r="A59" s="1383"/>
      <c r="B59" s="1376">
        <v>54399</v>
      </c>
      <c r="C59" s="1399"/>
      <c r="D59" s="1412" t="s">
        <v>733</v>
      </c>
      <c r="E59" s="1391">
        <v>9788.4</v>
      </c>
      <c r="F59" s="1387"/>
      <c r="G59" s="1388"/>
      <c r="H59" s="1387"/>
      <c r="I59" s="1387"/>
      <c r="J59" s="1387"/>
      <c r="K59" s="1387"/>
      <c r="L59" s="1388"/>
      <c r="M59" s="1387"/>
      <c r="N59" s="1387"/>
      <c r="O59" s="1388"/>
      <c r="P59" s="1382">
        <f t="shared" si="3"/>
        <v>9788.4</v>
      </c>
    </row>
    <row r="60" spans="1:16" x14ac:dyDescent="0.2">
      <c r="A60" s="1383"/>
      <c r="B60" s="1376"/>
      <c r="C60" s="1399" t="s">
        <v>459</v>
      </c>
      <c r="D60" s="1398"/>
      <c r="E60" s="1386"/>
      <c r="F60" s="1387"/>
      <c r="G60" s="1388"/>
      <c r="H60" s="1387"/>
      <c r="I60" s="1387"/>
      <c r="J60" s="1387"/>
      <c r="K60" s="1387"/>
      <c r="L60" s="1388"/>
      <c r="M60" s="1387"/>
      <c r="N60" s="1387"/>
      <c r="O60" s="1388"/>
      <c r="P60" s="1390"/>
    </row>
    <row r="61" spans="1:16" ht="24" x14ac:dyDescent="0.2">
      <c r="A61" s="1383"/>
      <c r="B61" s="1376"/>
      <c r="C61" s="1384" t="s">
        <v>459</v>
      </c>
      <c r="D61" s="1398" t="s">
        <v>833</v>
      </c>
      <c r="E61" s="1386">
        <f>SUM(E62)</f>
        <v>8000</v>
      </c>
      <c r="F61" s="1387"/>
      <c r="G61" s="1388"/>
      <c r="H61" s="1387"/>
      <c r="I61" s="1387"/>
      <c r="J61" s="1387"/>
      <c r="K61" s="1387"/>
      <c r="L61" s="1388"/>
      <c r="M61" s="1387"/>
      <c r="N61" s="1387"/>
      <c r="O61" s="1388"/>
      <c r="P61" s="1390">
        <f>SUM(E61:O61)</f>
        <v>8000</v>
      </c>
    </row>
    <row r="62" spans="1:16" x14ac:dyDescent="0.2">
      <c r="B62" s="1376" t="s">
        <v>656</v>
      </c>
      <c r="C62" s="1384" t="s">
        <v>459</v>
      </c>
      <c r="D62" s="1412" t="s">
        <v>458</v>
      </c>
      <c r="E62" s="1391">
        <v>8000</v>
      </c>
      <c r="F62" s="1387"/>
      <c r="G62" s="1388"/>
      <c r="H62" s="1387"/>
      <c r="I62" s="1387"/>
      <c r="J62" s="1387"/>
      <c r="K62" s="1387"/>
      <c r="L62" s="1388"/>
      <c r="M62" s="1387"/>
      <c r="N62" s="1387"/>
      <c r="O62" s="1388"/>
      <c r="P62" s="1382">
        <f>SUM(E62:O62)</f>
        <v>8000</v>
      </c>
    </row>
    <row r="63" spans="1:16" x14ac:dyDescent="0.2">
      <c r="B63" s="1394"/>
      <c r="C63" s="1395" t="s">
        <v>459</v>
      </c>
      <c r="D63" s="1396"/>
      <c r="E63" s="1397"/>
      <c r="F63" s="1387"/>
      <c r="G63" s="1387"/>
      <c r="H63" s="1387"/>
      <c r="I63" s="1387"/>
      <c r="J63" s="1387"/>
      <c r="K63" s="1387"/>
      <c r="L63" s="1387"/>
      <c r="M63" s="1387"/>
      <c r="N63" s="1387"/>
      <c r="O63" s="1387"/>
      <c r="P63" s="1390"/>
    </row>
    <row r="64" spans="1:16" ht="60" x14ac:dyDescent="0.2">
      <c r="B64" s="1376"/>
      <c r="C64" s="1384"/>
      <c r="D64" s="1385" t="s">
        <v>871</v>
      </c>
      <c r="E64" s="1386">
        <f>SUM(E65)</f>
        <v>6000</v>
      </c>
      <c r="F64" s="1387"/>
      <c r="G64" s="1388"/>
      <c r="H64" s="1387"/>
      <c r="I64" s="1387"/>
      <c r="J64" s="1387"/>
      <c r="K64" s="1387"/>
      <c r="L64" s="1388"/>
      <c r="M64" s="1387"/>
      <c r="N64" s="1387"/>
      <c r="O64" s="1389"/>
      <c r="P64" s="1390">
        <f>SUM(E64:O64)</f>
        <v>6000</v>
      </c>
    </row>
    <row r="65" spans="2:16" x14ac:dyDescent="0.2">
      <c r="B65" s="1376" t="s">
        <v>656</v>
      </c>
      <c r="C65" s="1384"/>
      <c r="D65" s="1378" t="s">
        <v>458</v>
      </c>
      <c r="E65" s="1391">
        <v>6000</v>
      </c>
      <c r="F65" s="1387"/>
      <c r="G65" s="1388"/>
      <c r="H65" s="1387"/>
      <c r="I65" s="1387"/>
      <c r="J65" s="1387"/>
      <c r="K65" s="1387"/>
      <c r="L65" s="1388"/>
      <c r="M65" s="1387"/>
      <c r="N65" s="1387"/>
      <c r="O65" s="1389"/>
      <c r="P65" s="1382">
        <f>SUM(E65:O65)</f>
        <v>6000</v>
      </c>
    </row>
    <row r="66" spans="2:16" x14ac:dyDescent="0.2">
      <c r="B66" s="1376"/>
      <c r="C66" s="1384"/>
      <c r="D66" s="1378"/>
      <c r="E66" s="1386"/>
      <c r="F66" s="1387"/>
      <c r="G66" s="1388"/>
      <c r="H66" s="1387"/>
      <c r="I66" s="1387"/>
      <c r="J66" s="1387"/>
      <c r="K66" s="1387"/>
      <c r="L66" s="1388"/>
      <c r="M66" s="1387"/>
      <c r="N66" s="1387"/>
      <c r="O66" s="1389"/>
      <c r="P66" s="1390"/>
    </row>
    <row r="67" spans="2:16" ht="36" x14ac:dyDescent="0.2">
      <c r="B67" s="1376"/>
      <c r="C67" s="1384"/>
      <c r="D67" s="1385" t="s">
        <v>834</v>
      </c>
      <c r="E67" s="1386">
        <f>SUM(E68)</f>
        <v>5000</v>
      </c>
      <c r="F67" s="1387"/>
      <c r="G67" s="1388"/>
      <c r="H67" s="1387"/>
      <c r="I67" s="1387"/>
      <c r="J67" s="1387"/>
      <c r="K67" s="1387"/>
      <c r="L67" s="1388"/>
      <c r="M67" s="1387"/>
      <c r="N67" s="1387"/>
      <c r="O67" s="1389"/>
      <c r="P67" s="1390">
        <f>SUM(E67:O67)</f>
        <v>5000</v>
      </c>
    </row>
    <row r="68" spans="2:16" ht="13.5" thickBot="1" x14ac:dyDescent="0.25">
      <c r="B68" s="1402" t="s">
        <v>656</v>
      </c>
      <c r="C68" s="1403"/>
      <c r="D68" s="1402" t="s">
        <v>458</v>
      </c>
      <c r="E68" s="1404">
        <v>5000</v>
      </c>
      <c r="F68" s="1404"/>
      <c r="G68" s="1404"/>
      <c r="H68" s="1404"/>
      <c r="I68" s="1404"/>
      <c r="J68" s="1404"/>
      <c r="K68" s="1404"/>
      <c r="L68" s="1404"/>
      <c r="M68" s="1404"/>
      <c r="N68" s="1404"/>
      <c r="O68" s="1404"/>
      <c r="P68" s="1406">
        <f>SUM(E68:O68)</f>
        <v>5000</v>
      </c>
    </row>
    <row r="69" spans="2:16" x14ac:dyDescent="0.2">
      <c r="B69" s="1376"/>
      <c r="C69" s="1384"/>
      <c r="D69" s="1378"/>
      <c r="E69" s="1386"/>
      <c r="F69" s="1387"/>
      <c r="G69" s="1388"/>
      <c r="H69" s="1387"/>
      <c r="I69" s="1387"/>
      <c r="J69" s="1387"/>
      <c r="K69" s="1387"/>
      <c r="L69" s="1388"/>
      <c r="M69" s="1387"/>
      <c r="N69" s="1387"/>
      <c r="O69" s="1389"/>
      <c r="P69" s="1390"/>
    </row>
    <row r="70" spans="2:16" x14ac:dyDescent="0.2">
      <c r="B70" s="1376"/>
      <c r="C70" s="1384"/>
      <c r="D70" s="1385"/>
      <c r="E70" s="1386"/>
      <c r="F70" s="1387"/>
      <c r="G70" s="1388"/>
      <c r="H70" s="1387"/>
      <c r="I70" s="1387"/>
      <c r="J70" s="1387"/>
      <c r="K70" s="1387"/>
      <c r="L70" s="1388"/>
      <c r="M70" s="1387"/>
      <c r="N70" s="1387"/>
      <c r="O70" s="1389"/>
      <c r="P70" s="1390"/>
    </row>
    <row r="71" spans="2:16" ht="24" x14ac:dyDescent="0.2">
      <c r="B71" s="1410"/>
      <c r="C71" s="1413" t="s">
        <v>459</v>
      </c>
      <c r="D71" s="1414" t="s">
        <v>661</v>
      </c>
      <c r="E71" s="1415">
        <f>SUM(E72)</f>
        <v>18132.03</v>
      </c>
      <c r="F71" s="1382"/>
      <c r="G71" s="1416"/>
      <c r="H71" s="1382"/>
      <c r="I71" s="1382"/>
      <c r="J71" s="1382"/>
      <c r="K71" s="1382"/>
      <c r="L71" s="1416"/>
      <c r="M71" s="1382"/>
      <c r="N71" s="1382"/>
      <c r="O71" s="1417"/>
      <c r="P71" s="1390">
        <f>SUM(E71:O71)</f>
        <v>18132.03</v>
      </c>
    </row>
    <row r="72" spans="2:16" x14ac:dyDescent="0.2">
      <c r="B72" s="1376" t="s">
        <v>656</v>
      </c>
      <c r="C72" s="1384" t="s">
        <v>459</v>
      </c>
      <c r="D72" s="1378" t="s">
        <v>458</v>
      </c>
      <c r="E72" s="1418">
        <v>18132.03</v>
      </c>
      <c r="F72" s="1382"/>
      <c r="G72" s="1416"/>
      <c r="H72" s="1382"/>
      <c r="I72" s="1382"/>
      <c r="J72" s="1382"/>
      <c r="K72" s="1382"/>
      <c r="L72" s="1416"/>
      <c r="M72" s="1382"/>
      <c r="N72" s="1382"/>
      <c r="O72" s="1417"/>
      <c r="P72" s="1382">
        <f>SUM(E72:O72)</f>
        <v>18132.03</v>
      </c>
    </row>
    <row r="73" spans="2:16" x14ac:dyDescent="0.2">
      <c r="B73" s="1410"/>
      <c r="C73" s="1413" t="s">
        <v>459</v>
      </c>
      <c r="D73" s="1414"/>
      <c r="E73" s="1415"/>
      <c r="F73" s="1382"/>
      <c r="G73" s="1416"/>
      <c r="H73" s="1382"/>
      <c r="I73" s="1382"/>
      <c r="J73" s="1382"/>
      <c r="K73" s="1382"/>
      <c r="L73" s="1416"/>
      <c r="M73" s="1382"/>
      <c r="N73" s="1382"/>
      <c r="O73" s="1417"/>
      <c r="P73" s="1390"/>
    </row>
    <row r="74" spans="2:16" ht="24" x14ac:dyDescent="0.2">
      <c r="B74" s="1376"/>
      <c r="C74" s="1384" t="s">
        <v>459</v>
      </c>
      <c r="D74" s="1385" t="s">
        <v>835</v>
      </c>
      <c r="E74" s="1386">
        <f>SUM(E75)</f>
        <v>20300</v>
      </c>
      <c r="F74" s="1387"/>
      <c r="G74" s="1388"/>
      <c r="H74" s="1387"/>
      <c r="I74" s="1387"/>
      <c r="J74" s="1387"/>
      <c r="K74" s="1387"/>
      <c r="L74" s="1388"/>
      <c r="M74" s="1387"/>
      <c r="N74" s="1387"/>
      <c r="O74" s="1389"/>
      <c r="P74" s="1390">
        <f>SUM(E74:O74)</f>
        <v>20300</v>
      </c>
    </row>
    <row r="75" spans="2:16" x14ac:dyDescent="0.2">
      <c r="B75" s="1376" t="s">
        <v>656</v>
      </c>
      <c r="C75" s="1384" t="s">
        <v>459</v>
      </c>
      <c r="D75" s="1378" t="s">
        <v>458</v>
      </c>
      <c r="E75" s="1391">
        <v>20300</v>
      </c>
      <c r="F75" s="1387"/>
      <c r="G75" s="1388"/>
      <c r="H75" s="1387"/>
      <c r="I75" s="1387"/>
      <c r="J75" s="1387"/>
      <c r="K75" s="1387"/>
      <c r="L75" s="1388"/>
      <c r="M75" s="1387"/>
      <c r="N75" s="1387"/>
      <c r="O75" s="1389"/>
      <c r="P75" s="1382">
        <f>SUM(E75:O75)</f>
        <v>20300</v>
      </c>
    </row>
    <row r="76" spans="2:16" ht="15" customHeight="1" x14ac:dyDescent="0.2">
      <c r="B76" s="1376"/>
      <c r="C76" s="1384"/>
      <c r="D76" s="1385"/>
      <c r="E76" s="1386"/>
      <c r="F76" s="1387"/>
      <c r="G76" s="1388"/>
      <c r="H76" s="1387"/>
      <c r="I76" s="1387"/>
      <c r="J76" s="1387"/>
      <c r="K76" s="1387"/>
      <c r="L76" s="1388"/>
      <c r="M76" s="1387"/>
      <c r="N76" s="1387"/>
      <c r="O76" s="1389"/>
      <c r="P76" s="1390"/>
    </row>
    <row r="77" spans="2:16" ht="24" x14ac:dyDescent="0.2">
      <c r="B77" s="1376"/>
      <c r="C77" s="1384"/>
      <c r="D77" s="1385" t="s">
        <v>849</v>
      </c>
      <c r="E77" s="1386"/>
      <c r="F77" s="1397">
        <f>F78</f>
        <v>108857.97</v>
      </c>
      <c r="G77" s="1388"/>
      <c r="H77" s="1397"/>
      <c r="I77" s="1387"/>
      <c r="J77" s="1387"/>
      <c r="K77" s="1387"/>
      <c r="L77" s="1388"/>
      <c r="M77" s="1387"/>
      <c r="N77" s="1387"/>
      <c r="O77" s="1389"/>
      <c r="P77" s="1390">
        <f>SUM(E77:O77)</f>
        <v>108857.97</v>
      </c>
    </row>
    <row r="78" spans="2:16" x14ac:dyDescent="0.2">
      <c r="B78" s="1376">
        <v>61602</v>
      </c>
      <c r="C78" s="1384" t="s">
        <v>459</v>
      </c>
      <c r="D78" s="1378" t="s">
        <v>458</v>
      </c>
      <c r="E78" s="1391"/>
      <c r="F78" s="1387">
        <v>108857.97</v>
      </c>
      <c r="G78" s="1388"/>
      <c r="H78" s="1387"/>
      <c r="I78" s="1387"/>
      <c r="J78" s="1387"/>
      <c r="K78" s="1387"/>
      <c r="L78" s="1388"/>
      <c r="M78" s="1387"/>
      <c r="N78" s="1387"/>
      <c r="O78" s="1389"/>
      <c r="P78" s="1382">
        <f>SUM(E78:O78)</f>
        <v>108857.97</v>
      </c>
    </row>
    <row r="79" spans="2:16" x14ac:dyDescent="0.2">
      <c r="B79" s="1376"/>
      <c r="C79" s="1384"/>
      <c r="D79" s="1378"/>
      <c r="E79" s="1391"/>
      <c r="F79" s="1387"/>
      <c r="G79" s="1388"/>
      <c r="H79" s="1387"/>
      <c r="I79" s="1387"/>
      <c r="J79" s="1387"/>
      <c r="K79" s="1387"/>
      <c r="L79" s="1388"/>
      <c r="M79" s="1387"/>
      <c r="N79" s="1387"/>
      <c r="O79" s="1389"/>
      <c r="P79" s="1390"/>
    </row>
    <row r="80" spans="2:16" ht="24" x14ac:dyDescent="0.2">
      <c r="B80" s="1376"/>
      <c r="C80" s="1384"/>
      <c r="D80" s="1385" t="s">
        <v>848</v>
      </c>
      <c r="E80" s="1386">
        <f>E81</f>
        <v>150000</v>
      </c>
      <c r="F80" s="1387"/>
      <c r="G80" s="1388"/>
      <c r="H80" s="1387"/>
      <c r="I80" s="1387"/>
      <c r="J80" s="1387"/>
      <c r="K80" s="1387"/>
      <c r="L80" s="1388"/>
      <c r="M80" s="1387"/>
      <c r="N80" s="1387"/>
      <c r="O80" s="1389"/>
      <c r="P80" s="1390"/>
    </row>
    <row r="81" spans="1:16" x14ac:dyDescent="0.2">
      <c r="B81" s="1376">
        <v>61602</v>
      </c>
      <c r="C81" s="1384" t="s">
        <v>459</v>
      </c>
      <c r="D81" s="1419" t="s">
        <v>458</v>
      </c>
      <c r="E81" s="1391">
        <v>150000</v>
      </c>
      <c r="F81" s="1387"/>
      <c r="G81" s="1388"/>
      <c r="H81" s="1387"/>
      <c r="I81" s="1387"/>
      <c r="J81" s="1387"/>
      <c r="K81" s="1387"/>
      <c r="L81" s="1388"/>
      <c r="M81" s="1387"/>
      <c r="N81" s="1387"/>
      <c r="O81" s="1388"/>
      <c r="P81" s="1390"/>
    </row>
    <row r="82" spans="1:16" x14ac:dyDescent="0.2">
      <c r="B82" s="1376"/>
      <c r="C82" s="1420"/>
      <c r="D82" s="1394"/>
      <c r="E82" s="1387"/>
      <c r="F82" s="1387"/>
      <c r="G82" s="1387"/>
      <c r="H82" s="1387"/>
      <c r="I82" s="1387"/>
      <c r="J82" s="1387"/>
      <c r="K82" s="1387"/>
      <c r="L82" s="1387"/>
      <c r="M82" s="1387"/>
      <c r="N82" s="1387"/>
      <c r="O82" s="1387"/>
      <c r="P82" s="1390"/>
    </row>
    <row r="83" spans="1:16" ht="24" x14ac:dyDescent="0.2">
      <c r="B83" s="1376"/>
      <c r="C83" s="1384"/>
      <c r="D83" s="1385" t="s">
        <v>851</v>
      </c>
      <c r="E83" s="1421">
        <f>E84</f>
        <v>60000</v>
      </c>
      <c r="F83" s="1422"/>
      <c r="G83" s="1388"/>
      <c r="H83" s="1387"/>
      <c r="I83" s="1387"/>
      <c r="J83" s="1387"/>
      <c r="K83" s="1387"/>
      <c r="L83" s="1388"/>
      <c r="M83" s="1387"/>
      <c r="N83" s="1387"/>
      <c r="O83" s="1389"/>
      <c r="P83" s="1390"/>
    </row>
    <row r="84" spans="1:16" x14ac:dyDescent="0.2">
      <c r="B84" s="1376">
        <v>61602</v>
      </c>
      <c r="C84" s="1384" t="s">
        <v>459</v>
      </c>
      <c r="D84" s="1378" t="s">
        <v>458</v>
      </c>
      <c r="E84" s="1391">
        <v>60000</v>
      </c>
      <c r="F84" s="1387"/>
      <c r="G84" s="1388"/>
      <c r="H84" s="1387"/>
      <c r="I84" s="1387"/>
      <c r="J84" s="1387"/>
      <c r="K84" s="1387"/>
      <c r="L84" s="1388"/>
      <c r="M84" s="1387"/>
      <c r="N84" s="1387"/>
      <c r="O84" s="1389"/>
      <c r="P84" s="1390"/>
    </row>
    <row r="85" spans="1:16" x14ac:dyDescent="0.2">
      <c r="B85" s="1376"/>
      <c r="C85" s="1384"/>
      <c r="D85" s="1378"/>
      <c r="E85" s="1391"/>
      <c r="F85" s="1387"/>
      <c r="G85" s="1388"/>
      <c r="H85" s="1387"/>
      <c r="I85" s="1387"/>
      <c r="J85" s="1387"/>
      <c r="K85" s="1387"/>
      <c r="L85" s="1388"/>
      <c r="M85" s="1387"/>
      <c r="N85" s="1387"/>
      <c r="O85" s="1389"/>
      <c r="P85" s="1390"/>
    </row>
    <row r="86" spans="1:16" x14ac:dyDescent="0.2">
      <c r="B86" s="1410"/>
      <c r="C86" s="1413"/>
      <c r="D86" s="1414"/>
      <c r="E86" s="1415"/>
      <c r="F86" s="1382"/>
      <c r="G86" s="1416"/>
      <c r="H86" s="1382"/>
      <c r="I86" s="1382"/>
      <c r="J86" s="1382"/>
      <c r="K86" s="1382"/>
      <c r="L86" s="1416"/>
      <c r="M86" s="1382"/>
      <c r="N86" s="1382"/>
      <c r="O86" s="1416"/>
      <c r="P86" s="1390"/>
    </row>
    <row r="87" spans="1:16" ht="24" x14ac:dyDescent="0.2">
      <c r="B87" s="1410"/>
      <c r="C87" s="1423"/>
      <c r="D87" s="1424" t="s">
        <v>850</v>
      </c>
      <c r="E87" s="1390">
        <f>E88</f>
        <v>250000</v>
      </c>
      <c r="F87" s="1382"/>
      <c r="G87" s="1382"/>
      <c r="H87" s="1382"/>
      <c r="I87" s="1382"/>
      <c r="J87" s="1382"/>
      <c r="K87" s="1382"/>
      <c r="L87" s="1382"/>
      <c r="M87" s="1382"/>
      <c r="N87" s="1382"/>
      <c r="O87" s="1382"/>
      <c r="P87" s="1390"/>
    </row>
    <row r="88" spans="1:16" x14ac:dyDescent="0.2">
      <c r="B88" s="1376">
        <v>61602</v>
      </c>
      <c r="C88" s="1395" t="s">
        <v>459</v>
      </c>
      <c r="D88" s="1394" t="s">
        <v>458</v>
      </c>
      <c r="E88" s="1382">
        <v>250000</v>
      </c>
      <c r="F88" s="1382"/>
      <c r="G88" s="1382"/>
      <c r="H88" s="1382"/>
      <c r="I88" s="1382"/>
      <c r="J88" s="1382"/>
      <c r="K88" s="1382"/>
      <c r="L88" s="1382"/>
      <c r="M88" s="1382"/>
      <c r="N88" s="1382"/>
      <c r="O88" s="1382"/>
      <c r="P88" s="1390"/>
    </row>
    <row r="89" spans="1:16" x14ac:dyDescent="0.2">
      <c r="B89" s="1410"/>
      <c r="C89" s="1423"/>
      <c r="D89" s="1424"/>
      <c r="E89" s="1390"/>
      <c r="F89" s="1382"/>
      <c r="G89" s="1382"/>
      <c r="H89" s="1382"/>
      <c r="I89" s="1382"/>
      <c r="J89" s="1382"/>
      <c r="K89" s="1382"/>
      <c r="L89" s="1382"/>
      <c r="M89" s="1382"/>
      <c r="N89" s="1382"/>
      <c r="O89" s="1382"/>
      <c r="P89" s="1390"/>
    </row>
    <row r="90" spans="1:16" x14ac:dyDescent="0.2">
      <c r="B90" s="1425"/>
      <c r="C90" s="1423"/>
      <c r="D90" s="1424"/>
      <c r="E90" s="1390"/>
      <c r="F90" s="1382"/>
      <c r="G90" s="1382"/>
      <c r="H90" s="1382"/>
      <c r="I90" s="1382"/>
      <c r="J90" s="1382"/>
      <c r="K90" s="1382"/>
      <c r="L90" s="1382"/>
      <c r="M90" s="1382"/>
      <c r="N90" s="1382"/>
      <c r="O90" s="1382"/>
      <c r="P90" s="1390"/>
    </row>
    <row r="91" spans="1:16" x14ac:dyDescent="0.2">
      <c r="B91" s="1410"/>
      <c r="C91" s="1423" t="s">
        <v>459</v>
      </c>
      <c r="D91" s="1424" t="s">
        <v>837</v>
      </c>
      <c r="E91" s="1390">
        <f>SUM(E92:E95)</f>
        <v>124935</v>
      </c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90">
        <f t="shared" ref="P91:P95" si="4">SUM(E91:O91)</f>
        <v>124935</v>
      </c>
    </row>
    <row r="92" spans="1:16" x14ac:dyDescent="0.2">
      <c r="B92" s="1410">
        <v>51201</v>
      </c>
      <c r="C92" s="1423" t="s">
        <v>459</v>
      </c>
      <c r="D92" s="1409" t="s">
        <v>686</v>
      </c>
      <c r="E92" s="1418">
        <v>40600</v>
      </c>
      <c r="F92" s="1382"/>
      <c r="G92" s="1416"/>
      <c r="H92" s="1382"/>
      <c r="I92" s="1382"/>
      <c r="J92" s="1382"/>
      <c r="K92" s="1382"/>
      <c r="L92" s="1416"/>
      <c r="M92" s="1382"/>
      <c r="N92" s="1382"/>
      <c r="O92" s="1417"/>
      <c r="P92" s="1382">
        <f t="shared" si="4"/>
        <v>40600</v>
      </c>
    </row>
    <row r="93" spans="1:16" x14ac:dyDescent="0.2">
      <c r="B93" s="1410">
        <v>56305</v>
      </c>
      <c r="C93" s="1423" t="s">
        <v>459</v>
      </c>
      <c r="D93" s="1426" t="s">
        <v>697</v>
      </c>
      <c r="E93" s="1427">
        <v>84335</v>
      </c>
      <c r="F93" s="1382"/>
      <c r="G93" s="1416"/>
      <c r="H93" s="1382"/>
      <c r="I93" s="1382"/>
      <c r="J93" s="1382"/>
      <c r="K93" s="1382"/>
      <c r="L93" s="1416"/>
      <c r="M93" s="1382"/>
      <c r="N93" s="1382"/>
      <c r="O93" s="1417"/>
      <c r="P93" s="1382">
        <f t="shared" si="4"/>
        <v>84335</v>
      </c>
    </row>
    <row r="94" spans="1:16" x14ac:dyDescent="0.2">
      <c r="B94" s="1410"/>
      <c r="C94" s="1423"/>
      <c r="D94" s="1428"/>
      <c r="E94" s="1429"/>
      <c r="F94" s="1382"/>
      <c r="G94" s="1416"/>
      <c r="H94" s="1382"/>
      <c r="I94" s="1382"/>
      <c r="J94" s="1382"/>
      <c r="K94" s="1382"/>
      <c r="L94" s="1416"/>
      <c r="M94" s="1382"/>
      <c r="N94" s="1382"/>
      <c r="O94" s="1417"/>
      <c r="P94" s="1382"/>
    </row>
    <row r="95" spans="1:16" x14ac:dyDescent="0.2">
      <c r="B95" s="1376"/>
      <c r="C95" s="1395"/>
      <c r="D95" s="1412"/>
      <c r="E95" s="1391"/>
      <c r="F95" s="1387"/>
      <c r="G95" s="1388"/>
      <c r="H95" s="1387"/>
      <c r="I95" s="1387"/>
      <c r="J95" s="1387"/>
      <c r="K95" s="1387"/>
      <c r="L95" s="1388"/>
      <c r="M95" s="1397"/>
      <c r="N95" s="1397"/>
      <c r="O95" s="1400"/>
      <c r="P95" s="1382">
        <f t="shared" si="4"/>
        <v>0</v>
      </c>
    </row>
    <row r="96" spans="1:16" ht="13.5" thickBot="1" x14ac:dyDescent="0.25">
      <c r="A96" s="1383"/>
      <c r="B96" s="1402"/>
      <c r="C96" s="1403"/>
      <c r="D96" s="1402"/>
      <c r="E96" s="1404"/>
      <c r="F96" s="1404"/>
      <c r="G96" s="1404"/>
      <c r="H96" s="1404"/>
      <c r="I96" s="1404"/>
      <c r="J96" s="1404"/>
      <c r="K96" s="1404"/>
      <c r="L96" s="1404"/>
      <c r="M96" s="1405"/>
      <c r="N96" s="1405"/>
      <c r="O96" s="1405"/>
      <c r="P96" s="1406"/>
    </row>
    <row r="97" spans="1:16" x14ac:dyDescent="0.2">
      <c r="A97" s="1383"/>
      <c r="B97" s="1376"/>
      <c r="C97" s="1395" t="s">
        <v>459</v>
      </c>
      <c r="D97" s="1398" t="s">
        <v>838</v>
      </c>
      <c r="E97" s="1386">
        <f>SUM(E98:E102)</f>
        <v>37960.400000000001</v>
      </c>
      <c r="F97" s="1387"/>
      <c r="G97" s="1388"/>
      <c r="H97" s="1387"/>
      <c r="I97" s="1387"/>
      <c r="J97" s="1387"/>
      <c r="K97" s="1387"/>
      <c r="L97" s="1388"/>
      <c r="M97" s="1397"/>
      <c r="N97" s="1397"/>
      <c r="O97" s="1400"/>
      <c r="P97" s="1390">
        <f>SUM(E97:O97)</f>
        <v>37960.400000000001</v>
      </c>
    </row>
    <row r="98" spans="1:16" x14ac:dyDescent="0.2">
      <c r="A98" s="1383"/>
      <c r="B98" s="1376">
        <v>51201</v>
      </c>
      <c r="C98" s="1395" t="s">
        <v>459</v>
      </c>
      <c r="D98" s="1412" t="s">
        <v>686</v>
      </c>
      <c r="E98" s="1391">
        <v>6500</v>
      </c>
      <c r="F98" s="1387"/>
      <c r="G98" s="1388"/>
      <c r="H98" s="1387"/>
      <c r="I98" s="1387"/>
      <c r="J98" s="1387"/>
      <c r="K98" s="1387"/>
      <c r="L98" s="1388"/>
      <c r="M98" s="1397"/>
      <c r="N98" s="1397"/>
      <c r="O98" s="1400"/>
      <c r="P98" s="1382">
        <f t="shared" ref="P98:P102" si="5">SUM(E98:O98)</f>
        <v>6500</v>
      </c>
    </row>
    <row r="99" spans="1:16" x14ac:dyDescent="0.2">
      <c r="A99" s="1383"/>
      <c r="B99" s="1376">
        <v>54104</v>
      </c>
      <c r="C99" s="1395" t="s">
        <v>459</v>
      </c>
      <c r="D99" s="1412" t="s">
        <v>687</v>
      </c>
      <c r="E99" s="1391">
        <v>2000</v>
      </c>
      <c r="F99" s="1387"/>
      <c r="G99" s="1388"/>
      <c r="H99" s="1387"/>
      <c r="I99" s="1387"/>
      <c r="J99" s="1387"/>
      <c r="K99" s="1387"/>
      <c r="L99" s="1388"/>
      <c r="M99" s="1397"/>
      <c r="N99" s="1397"/>
      <c r="O99" s="1400"/>
      <c r="P99" s="1382">
        <f t="shared" si="5"/>
        <v>2000</v>
      </c>
    </row>
    <row r="100" spans="1:16" x14ac:dyDescent="0.2">
      <c r="A100" s="1383"/>
      <c r="B100" s="1376">
        <v>54116</v>
      </c>
      <c r="C100" s="1395" t="s">
        <v>459</v>
      </c>
      <c r="D100" s="1412" t="s">
        <v>688</v>
      </c>
      <c r="E100" s="1391">
        <v>5848.25</v>
      </c>
      <c r="F100" s="1387"/>
      <c r="G100" s="1388"/>
      <c r="H100" s="1387"/>
      <c r="I100" s="1387"/>
      <c r="J100" s="1387"/>
      <c r="K100" s="1387"/>
      <c r="L100" s="1388"/>
      <c r="M100" s="1397"/>
      <c r="N100" s="1397"/>
      <c r="O100" s="1400"/>
      <c r="P100" s="1382">
        <f t="shared" si="5"/>
        <v>5848.25</v>
      </c>
    </row>
    <row r="101" spans="1:16" x14ac:dyDescent="0.2">
      <c r="A101" s="1383"/>
      <c r="B101" s="1376">
        <v>54199</v>
      </c>
      <c r="C101" s="1384" t="s">
        <v>459</v>
      </c>
      <c r="D101" s="1412" t="s">
        <v>689</v>
      </c>
      <c r="E101" s="1391">
        <v>912.15</v>
      </c>
      <c r="F101" s="1387"/>
      <c r="G101" s="1388"/>
      <c r="H101" s="1387"/>
      <c r="I101" s="1387"/>
      <c r="J101" s="1387"/>
      <c r="K101" s="1387"/>
      <c r="L101" s="1388"/>
      <c r="M101" s="1397"/>
      <c r="N101" s="1397"/>
      <c r="O101" s="1400"/>
      <c r="P101" s="1382">
        <f t="shared" si="5"/>
        <v>912.15</v>
      </c>
    </row>
    <row r="102" spans="1:16" x14ac:dyDescent="0.2">
      <c r="A102" s="1383"/>
      <c r="B102" s="1376">
        <v>56304</v>
      </c>
      <c r="C102" s="1384" t="s">
        <v>459</v>
      </c>
      <c r="D102" s="1412" t="s">
        <v>690</v>
      </c>
      <c r="E102" s="1391">
        <v>22700</v>
      </c>
      <c r="F102" s="1387"/>
      <c r="G102" s="1388"/>
      <c r="H102" s="1387"/>
      <c r="I102" s="1387"/>
      <c r="J102" s="1387"/>
      <c r="K102" s="1387"/>
      <c r="L102" s="1388"/>
      <c r="M102" s="1397"/>
      <c r="N102" s="1397"/>
      <c r="O102" s="1400"/>
      <c r="P102" s="1382">
        <f t="shared" si="5"/>
        <v>22700</v>
      </c>
    </row>
    <row r="103" spans="1:16" x14ac:dyDescent="0.2">
      <c r="A103" s="1383"/>
      <c r="B103" s="1376"/>
      <c r="C103" s="1384"/>
      <c r="D103" s="1412"/>
      <c r="E103" s="1391"/>
      <c r="F103" s="1387"/>
      <c r="G103" s="1388"/>
      <c r="H103" s="1387"/>
      <c r="I103" s="1387"/>
      <c r="J103" s="1387"/>
      <c r="K103" s="1387"/>
      <c r="L103" s="1388"/>
      <c r="M103" s="1397"/>
      <c r="N103" s="1397"/>
      <c r="O103" s="1400"/>
      <c r="P103" s="1382"/>
    </row>
    <row r="104" spans="1:16" x14ac:dyDescent="0.2">
      <c r="B104" s="1376"/>
      <c r="C104" s="1384"/>
      <c r="D104" s="1385"/>
      <c r="E104" s="1386"/>
      <c r="F104" s="1387"/>
      <c r="G104" s="1388"/>
      <c r="H104" s="1387"/>
      <c r="I104" s="1387"/>
      <c r="J104" s="1387"/>
      <c r="K104" s="1387"/>
      <c r="L104" s="1388"/>
      <c r="M104" s="1387"/>
      <c r="N104" s="1387"/>
      <c r="O104" s="1389"/>
      <c r="P104" s="1390"/>
    </row>
    <row r="105" spans="1:16" x14ac:dyDescent="0.2">
      <c r="B105" s="1376"/>
      <c r="C105" s="1384" t="s">
        <v>459</v>
      </c>
      <c r="D105" s="1385" t="s">
        <v>839</v>
      </c>
      <c r="E105" s="1415">
        <f>SUM(E106:E118)</f>
        <v>48988.18</v>
      </c>
      <c r="F105" s="1387"/>
      <c r="G105" s="1388"/>
      <c r="H105" s="1387"/>
      <c r="I105" s="1387"/>
      <c r="J105" s="1387"/>
      <c r="K105" s="1387"/>
      <c r="L105" s="1388"/>
      <c r="M105" s="1387"/>
      <c r="N105" s="1387"/>
      <c r="O105" s="1389"/>
      <c r="P105" s="1390">
        <f>SUM(E105:O105)</f>
        <v>48988.18</v>
      </c>
    </row>
    <row r="106" spans="1:16" x14ac:dyDescent="0.2">
      <c r="B106" s="1410">
        <v>51201</v>
      </c>
      <c r="C106" s="1413" t="s">
        <v>459</v>
      </c>
      <c r="D106" s="1409" t="s">
        <v>686</v>
      </c>
      <c r="E106" s="1391">
        <f>20824+4982</f>
        <v>25806</v>
      </c>
      <c r="F106" s="1387"/>
      <c r="G106" s="1388"/>
      <c r="H106" s="1387"/>
      <c r="I106" s="1387"/>
      <c r="J106" s="1387"/>
      <c r="K106" s="1387"/>
      <c r="L106" s="1388"/>
      <c r="M106" s="1387"/>
      <c r="N106" s="1387"/>
      <c r="O106" s="1389"/>
      <c r="P106" s="1382">
        <f>SUM(E106:O106)</f>
        <v>25806</v>
      </c>
    </row>
    <row r="107" spans="1:16" x14ac:dyDescent="0.2">
      <c r="B107" s="1410">
        <v>54104</v>
      </c>
      <c r="C107" s="1413"/>
      <c r="D107" s="1409" t="s">
        <v>717</v>
      </c>
      <c r="E107" s="1391">
        <v>39</v>
      </c>
      <c r="F107" s="1387"/>
      <c r="G107" s="1388"/>
      <c r="H107" s="1387"/>
      <c r="I107" s="1387"/>
      <c r="J107" s="1387"/>
      <c r="K107" s="1387"/>
      <c r="L107" s="1388"/>
      <c r="M107" s="1387"/>
      <c r="N107" s="1387"/>
      <c r="O107" s="1389"/>
      <c r="P107" s="1382">
        <f t="shared" ref="P107:P118" si="6">SUM(E107:O107)</f>
        <v>39</v>
      </c>
    </row>
    <row r="108" spans="1:16" x14ac:dyDescent="0.2">
      <c r="B108" s="1410">
        <v>54105</v>
      </c>
      <c r="C108" s="1413" t="s">
        <v>459</v>
      </c>
      <c r="D108" s="1409" t="s">
        <v>691</v>
      </c>
      <c r="E108" s="1391">
        <v>41</v>
      </c>
      <c r="F108" s="1387"/>
      <c r="G108" s="1388"/>
      <c r="H108" s="1387"/>
      <c r="I108" s="1387"/>
      <c r="J108" s="1387"/>
      <c r="K108" s="1387"/>
      <c r="L108" s="1388"/>
      <c r="M108" s="1387"/>
      <c r="N108" s="1387"/>
      <c r="O108" s="1389"/>
      <c r="P108" s="1382">
        <f t="shared" si="6"/>
        <v>41</v>
      </c>
    </row>
    <row r="109" spans="1:16" x14ac:dyDescent="0.2">
      <c r="B109" s="1410">
        <v>54107</v>
      </c>
      <c r="C109" s="1413"/>
      <c r="D109" s="1409" t="s">
        <v>718</v>
      </c>
      <c r="E109" s="1391">
        <v>203.88</v>
      </c>
      <c r="F109" s="1387"/>
      <c r="G109" s="1388"/>
      <c r="H109" s="1387"/>
      <c r="I109" s="1387"/>
      <c r="J109" s="1387"/>
      <c r="K109" s="1387"/>
      <c r="L109" s="1388"/>
      <c r="M109" s="1387"/>
      <c r="N109" s="1387"/>
      <c r="O109" s="1389"/>
      <c r="P109" s="1382">
        <f t="shared" si="6"/>
        <v>203.88</v>
      </c>
    </row>
    <row r="110" spans="1:16" x14ac:dyDescent="0.2">
      <c r="B110" s="1430">
        <v>54116</v>
      </c>
      <c r="C110" s="1423"/>
      <c r="D110" s="1431" t="s">
        <v>722</v>
      </c>
      <c r="E110" s="1387">
        <v>100</v>
      </c>
      <c r="F110" s="1387"/>
      <c r="G110" s="1387"/>
      <c r="H110" s="1387"/>
      <c r="I110" s="1387"/>
      <c r="J110" s="1387"/>
      <c r="K110" s="1387"/>
      <c r="L110" s="1387"/>
      <c r="M110" s="1387"/>
      <c r="N110" s="1387"/>
      <c r="O110" s="1387"/>
      <c r="P110" s="1382">
        <f t="shared" si="6"/>
        <v>100</v>
      </c>
    </row>
    <row r="111" spans="1:16" x14ac:dyDescent="0.2">
      <c r="B111" s="1430">
        <v>54199</v>
      </c>
      <c r="C111" s="1423" t="s">
        <v>459</v>
      </c>
      <c r="D111" s="1431" t="s">
        <v>689</v>
      </c>
      <c r="E111" s="1387">
        <f>2167.8+200</f>
        <v>2367.8000000000002</v>
      </c>
      <c r="F111" s="1387"/>
      <c r="G111" s="1387"/>
      <c r="H111" s="1387"/>
      <c r="I111" s="1387"/>
      <c r="J111" s="1387"/>
      <c r="K111" s="1387"/>
      <c r="L111" s="1387"/>
      <c r="M111" s="1387"/>
      <c r="N111" s="1387"/>
      <c r="O111" s="1387"/>
      <c r="P111" s="1382">
        <f t="shared" si="6"/>
        <v>2367.8000000000002</v>
      </c>
    </row>
    <row r="112" spans="1:16" x14ac:dyDescent="0.2">
      <c r="B112" s="1410">
        <v>54201</v>
      </c>
      <c r="C112" s="1413"/>
      <c r="D112" s="1409" t="s">
        <v>719</v>
      </c>
      <c r="E112" s="1391">
        <v>192</v>
      </c>
      <c r="F112" s="1387"/>
      <c r="G112" s="1388"/>
      <c r="H112" s="1387"/>
      <c r="I112" s="1387"/>
      <c r="J112" s="1387"/>
      <c r="K112" s="1387"/>
      <c r="L112" s="1388"/>
      <c r="M112" s="1387"/>
      <c r="N112" s="1387"/>
      <c r="O112" s="1389"/>
      <c r="P112" s="1382">
        <f t="shared" si="6"/>
        <v>192</v>
      </c>
    </row>
    <row r="113" spans="2:16" x14ac:dyDescent="0.2">
      <c r="B113" s="1410">
        <v>54301</v>
      </c>
      <c r="C113" s="1413"/>
      <c r="D113" s="1409" t="s">
        <v>745</v>
      </c>
      <c r="E113" s="1391">
        <v>955</v>
      </c>
      <c r="F113" s="1387"/>
      <c r="G113" s="1388"/>
      <c r="H113" s="1387"/>
      <c r="I113" s="1387"/>
      <c r="J113" s="1387"/>
      <c r="K113" s="1387"/>
      <c r="L113" s="1388"/>
      <c r="M113" s="1387"/>
      <c r="N113" s="1387"/>
      <c r="O113" s="1389"/>
      <c r="P113" s="1382">
        <f t="shared" si="6"/>
        <v>955</v>
      </c>
    </row>
    <row r="114" spans="2:16" x14ac:dyDescent="0.2">
      <c r="B114" s="1410">
        <v>54304</v>
      </c>
      <c r="C114" s="1413" t="s">
        <v>459</v>
      </c>
      <c r="D114" s="1409" t="s">
        <v>692</v>
      </c>
      <c r="E114" s="1391">
        <v>1800</v>
      </c>
      <c r="F114" s="1387"/>
      <c r="G114" s="1388"/>
      <c r="H114" s="1387"/>
      <c r="I114" s="1387"/>
      <c r="J114" s="1387"/>
      <c r="K114" s="1387"/>
      <c r="L114" s="1388"/>
      <c r="M114" s="1387"/>
      <c r="N114" s="1387"/>
      <c r="O114" s="1389"/>
      <c r="P114" s="1382">
        <f t="shared" si="6"/>
        <v>1800</v>
      </c>
    </row>
    <row r="115" spans="2:16" x14ac:dyDescent="0.2">
      <c r="B115" s="1410">
        <v>54314</v>
      </c>
      <c r="C115" s="1413" t="s">
        <v>459</v>
      </c>
      <c r="D115" s="1409" t="s">
        <v>693</v>
      </c>
      <c r="E115" s="1391">
        <v>14068.5</v>
      </c>
      <c r="F115" s="1387"/>
      <c r="G115" s="1388"/>
      <c r="H115" s="1387"/>
      <c r="I115" s="1387"/>
      <c r="J115" s="1387"/>
      <c r="K115" s="1387"/>
      <c r="L115" s="1388"/>
      <c r="M115" s="1387"/>
      <c r="N115" s="1387"/>
      <c r="O115" s="1389"/>
      <c r="P115" s="1382">
        <f t="shared" si="6"/>
        <v>14068.5</v>
      </c>
    </row>
    <row r="116" spans="2:16" x14ac:dyDescent="0.2">
      <c r="B116" s="1410">
        <v>54317</v>
      </c>
      <c r="C116" s="1423"/>
      <c r="D116" s="1431" t="s">
        <v>720</v>
      </c>
      <c r="E116" s="1387">
        <v>1200</v>
      </c>
      <c r="F116" s="1387"/>
      <c r="G116" s="1387"/>
      <c r="H116" s="1387"/>
      <c r="I116" s="1387"/>
      <c r="J116" s="1387"/>
      <c r="K116" s="1387"/>
      <c r="L116" s="1387"/>
      <c r="M116" s="1387"/>
      <c r="N116" s="1387"/>
      <c r="O116" s="1387"/>
      <c r="P116" s="1382">
        <f t="shared" si="6"/>
        <v>1200</v>
      </c>
    </row>
    <row r="117" spans="2:16" x14ac:dyDescent="0.2">
      <c r="B117" s="1432">
        <v>54399</v>
      </c>
      <c r="C117" s="1413" t="s">
        <v>459</v>
      </c>
      <c r="D117" s="1428" t="s">
        <v>694</v>
      </c>
      <c r="E117" s="1391">
        <v>875</v>
      </c>
      <c r="F117" s="1387"/>
      <c r="G117" s="1388"/>
      <c r="H117" s="1387"/>
      <c r="I117" s="1387"/>
      <c r="J117" s="1387"/>
      <c r="K117" s="1387"/>
      <c r="L117" s="1388"/>
      <c r="M117" s="1387"/>
      <c r="N117" s="1387"/>
      <c r="O117" s="1388"/>
      <c r="P117" s="1382">
        <f t="shared" si="6"/>
        <v>875</v>
      </c>
    </row>
    <row r="118" spans="2:16" x14ac:dyDescent="0.2">
      <c r="B118" s="1410">
        <v>61102</v>
      </c>
      <c r="C118" s="1413"/>
      <c r="D118" s="1428" t="s">
        <v>721</v>
      </c>
      <c r="E118" s="1391">
        <v>1340</v>
      </c>
      <c r="F118" s="1387"/>
      <c r="G118" s="1388"/>
      <c r="H118" s="1387"/>
      <c r="I118" s="1387"/>
      <c r="J118" s="1387"/>
      <c r="K118" s="1387"/>
      <c r="L118" s="1388"/>
      <c r="M118" s="1387"/>
      <c r="N118" s="1387"/>
      <c r="O118" s="1388"/>
      <c r="P118" s="1382">
        <f t="shared" si="6"/>
        <v>1340</v>
      </c>
    </row>
    <row r="119" spans="2:16" x14ac:dyDescent="0.2">
      <c r="B119" s="1376"/>
      <c r="C119" s="1384"/>
      <c r="D119" s="1398"/>
      <c r="E119" s="1386"/>
      <c r="F119" s="1387"/>
      <c r="G119" s="1388"/>
      <c r="H119" s="1387"/>
      <c r="I119" s="1387"/>
      <c r="J119" s="1387"/>
      <c r="K119" s="1387"/>
      <c r="L119" s="1388"/>
      <c r="M119" s="1387"/>
      <c r="N119" s="1387"/>
      <c r="O119" s="1388"/>
      <c r="P119" s="1390"/>
    </row>
    <row r="120" spans="2:16" x14ac:dyDescent="0.2">
      <c r="B120" s="1376"/>
      <c r="C120" s="1384" t="s">
        <v>459</v>
      </c>
      <c r="D120" s="1385" t="s">
        <v>840</v>
      </c>
      <c r="E120" s="1415">
        <f>SUM(E121:E129)</f>
        <v>32996.959999999999</v>
      </c>
      <c r="F120" s="1387"/>
      <c r="G120" s="1388"/>
      <c r="H120" s="1387"/>
      <c r="I120" s="1387"/>
      <c r="J120" s="1387"/>
      <c r="K120" s="1387"/>
      <c r="L120" s="1388"/>
      <c r="M120" s="1397"/>
      <c r="N120" s="1397"/>
      <c r="O120" s="1401"/>
      <c r="P120" s="1390">
        <f t="shared" ref="P120:P129" si="7">SUM(E120:O120)</f>
        <v>32996.959999999999</v>
      </c>
    </row>
    <row r="121" spans="2:16" x14ac:dyDescent="0.2">
      <c r="B121" s="1410">
        <v>51201</v>
      </c>
      <c r="C121" s="1413" t="s">
        <v>459</v>
      </c>
      <c r="D121" s="1409" t="s">
        <v>686</v>
      </c>
      <c r="E121" s="1391">
        <v>755.1</v>
      </c>
      <c r="F121" s="1387"/>
      <c r="G121" s="1388"/>
      <c r="H121" s="1387"/>
      <c r="I121" s="1387"/>
      <c r="J121" s="1387"/>
      <c r="K121" s="1387"/>
      <c r="L121" s="1388"/>
      <c r="M121" s="1397"/>
      <c r="N121" s="1397"/>
      <c r="O121" s="1401"/>
      <c r="P121" s="1382">
        <f t="shared" si="7"/>
        <v>755.1</v>
      </c>
    </row>
    <row r="122" spans="2:16" x14ac:dyDescent="0.2">
      <c r="B122" s="1410">
        <v>54104</v>
      </c>
      <c r="C122" s="1413" t="s">
        <v>459</v>
      </c>
      <c r="D122" s="1409" t="s">
        <v>687</v>
      </c>
      <c r="E122" s="1391">
        <v>3668</v>
      </c>
      <c r="F122" s="1387"/>
      <c r="G122" s="1388"/>
      <c r="H122" s="1387"/>
      <c r="I122" s="1387"/>
      <c r="J122" s="1387"/>
      <c r="K122" s="1387"/>
      <c r="L122" s="1388"/>
      <c r="M122" s="1397"/>
      <c r="N122" s="1397"/>
      <c r="O122" s="1401"/>
      <c r="P122" s="1382">
        <f t="shared" si="7"/>
        <v>3668</v>
      </c>
    </row>
    <row r="123" spans="2:16" x14ac:dyDescent="0.2">
      <c r="B123" s="1410">
        <v>54119</v>
      </c>
      <c r="C123" s="1413" t="s">
        <v>459</v>
      </c>
      <c r="D123" s="1409" t="s">
        <v>695</v>
      </c>
      <c r="E123" s="1391">
        <v>2000</v>
      </c>
      <c r="F123" s="1387"/>
      <c r="G123" s="1388"/>
      <c r="H123" s="1387"/>
      <c r="I123" s="1387"/>
      <c r="J123" s="1387"/>
      <c r="K123" s="1387"/>
      <c r="L123" s="1388"/>
      <c r="M123" s="1397"/>
      <c r="N123" s="1397"/>
      <c r="O123" s="1401"/>
      <c r="P123" s="1382">
        <f t="shared" si="7"/>
        <v>2000</v>
      </c>
    </row>
    <row r="124" spans="2:16" x14ac:dyDescent="0.2">
      <c r="B124" s="1410">
        <v>54199</v>
      </c>
      <c r="C124" s="1413" t="s">
        <v>459</v>
      </c>
      <c r="D124" s="1409" t="s">
        <v>689</v>
      </c>
      <c r="E124" s="1391">
        <v>6543.3</v>
      </c>
      <c r="F124" s="1387"/>
      <c r="G124" s="1388"/>
      <c r="H124" s="1387"/>
      <c r="I124" s="1387"/>
      <c r="J124" s="1387"/>
      <c r="K124" s="1387"/>
      <c r="L124" s="1388"/>
      <c r="M124" s="1397"/>
      <c r="N124" s="1397"/>
      <c r="O124" s="1401"/>
      <c r="P124" s="1382">
        <f t="shared" si="7"/>
        <v>6543.3</v>
      </c>
    </row>
    <row r="125" spans="2:16" x14ac:dyDescent="0.2">
      <c r="B125" s="1410">
        <v>54304</v>
      </c>
      <c r="C125" s="1413" t="s">
        <v>459</v>
      </c>
      <c r="D125" s="1409" t="s">
        <v>692</v>
      </c>
      <c r="E125" s="1391">
        <v>1450</v>
      </c>
      <c r="F125" s="1387"/>
      <c r="G125" s="1388"/>
      <c r="H125" s="1387"/>
      <c r="I125" s="1387"/>
      <c r="J125" s="1387"/>
      <c r="K125" s="1387"/>
      <c r="L125" s="1388"/>
      <c r="M125" s="1397"/>
      <c r="N125" s="1397"/>
      <c r="O125" s="1401"/>
      <c r="P125" s="1382">
        <f t="shared" si="7"/>
        <v>1450</v>
      </c>
    </row>
    <row r="126" spans="2:16" x14ac:dyDescent="0.2">
      <c r="B126" s="1410">
        <v>54305</v>
      </c>
      <c r="C126" s="1413" t="s">
        <v>459</v>
      </c>
      <c r="D126" s="1409" t="s">
        <v>696</v>
      </c>
      <c r="E126" s="1391">
        <v>720</v>
      </c>
      <c r="F126" s="1387"/>
      <c r="G126" s="1388"/>
      <c r="H126" s="1387"/>
      <c r="I126" s="1387"/>
      <c r="J126" s="1387"/>
      <c r="K126" s="1387"/>
      <c r="L126" s="1388"/>
      <c r="M126" s="1397"/>
      <c r="N126" s="1397"/>
      <c r="O126" s="1401"/>
      <c r="P126" s="1382">
        <f t="shared" si="7"/>
        <v>720</v>
      </c>
    </row>
    <row r="127" spans="2:16" x14ac:dyDescent="0.2">
      <c r="B127" s="1410">
        <v>54314</v>
      </c>
      <c r="C127" s="1413" t="s">
        <v>459</v>
      </c>
      <c r="D127" s="1409" t="s">
        <v>693</v>
      </c>
      <c r="E127" s="1391">
        <v>9307.31</v>
      </c>
      <c r="F127" s="1387"/>
      <c r="G127" s="1388"/>
      <c r="H127" s="1387"/>
      <c r="I127" s="1387"/>
      <c r="J127" s="1387"/>
      <c r="K127" s="1387"/>
      <c r="L127" s="1388"/>
      <c r="M127" s="1397"/>
      <c r="N127" s="1397"/>
      <c r="O127" s="1401"/>
      <c r="P127" s="1382">
        <f t="shared" si="7"/>
        <v>9307.31</v>
      </c>
    </row>
    <row r="128" spans="2:16" x14ac:dyDescent="0.2">
      <c r="B128" s="1410">
        <v>54399</v>
      </c>
      <c r="C128" s="1413" t="s">
        <v>459</v>
      </c>
      <c r="D128" s="1409" t="s">
        <v>694</v>
      </c>
      <c r="E128" s="1391">
        <v>7103.25</v>
      </c>
      <c r="F128" s="1387"/>
      <c r="G128" s="1388"/>
      <c r="H128" s="1387"/>
      <c r="I128" s="1387"/>
      <c r="J128" s="1387"/>
      <c r="K128" s="1387"/>
      <c r="L128" s="1388"/>
      <c r="M128" s="1397"/>
      <c r="N128" s="1397"/>
      <c r="O128" s="1401"/>
      <c r="P128" s="1382">
        <f t="shared" si="7"/>
        <v>7103.25</v>
      </c>
    </row>
    <row r="129" spans="1:16" ht="13.5" thickBot="1" x14ac:dyDescent="0.25">
      <c r="B129" s="1433">
        <v>56304</v>
      </c>
      <c r="C129" s="1434" t="s">
        <v>459</v>
      </c>
      <c r="D129" s="1435" t="s">
        <v>690</v>
      </c>
      <c r="E129" s="1404">
        <v>1450</v>
      </c>
      <c r="F129" s="1404"/>
      <c r="G129" s="1404"/>
      <c r="H129" s="1404"/>
      <c r="I129" s="1404"/>
      <c r="J129" s="1404"/>
      <c r="K129" s="1404"/>
      <c r="L129" s="1404"/>
      <c r="M129" s="1405"/>
      <c r="N129" s="1405"/>
      <c r="O129" s="1405"/>
      <c r="P129" s="1406">
        <f t="shared" si="7"/>
        <v>1450</v>
      </c>
    </row>
    <row r="130" spans="1:16" x14ac:dyDescent="0.2">
      <c r="B130" s="1376"/>
      <c r="C130" s="1384"/>
      <c r="D130" s="1385"/>
      <c r="E130" s="1386"/>
      <c r="F130" s="1387"/>
      <c r="G130" s="1388"/>
      <c r="H130" s="1387"/>
      <c r="I130" s="1387"/>
      <c r="J130" s="1387"/>
      <c r="K130" s="1387"/>
      <c r="L130" s="1388"/>
      <c r="M130" s="1397"/>
      <c r="N130" s="1397"/>
      <c r="O130" s="1401"/>
      <c r="P130" s="1390"/>
    </row>
    <row r="131" spans="1:16" s="1383" customFormat="1" x14ac:dyDescent="0.2">
      <c r="B131" s="1376"/>
      <c r="C131" s="1399" t="s">
        <v>459</v>
      </c>
      <c r="D131" s="1385" t="s">
        <v>841</v>
      </c>
      <c r="E131" s="1415">
        <f>SUM(E132:E137)</f>
        <v>33825.31</v>
      </c>
      <c r="F131" s="1397"/>
      <c r="G131" s="1400"/>
      <c r="H131" s="1397"/>
      <c r="I131" s="1397"/>
      <c r="J131" s="1397"/>
      <c r="K131" s="1397"/>
      <c r="L131" s="1400"/>
      <c r="M131" s="1397"/>
      <c r="N131" s="1397"/>
      <c r="O131" s="1401"/>
      <c r="P131" s="1390">
        <f t="shared" ref="P131:P136" si="8">SUM(E131:O131)</f>
        <v>33825.31</v>
      </c>
    </row>
    <row r="132" spans="1:16" s="1383" customFormat="1" x14ac:dyDescent="0.2">
      <c r="A132" s="1358"/>
      <c r="B132" s="1410">
        <v>54116</v>
      </c>
      <c r="C132" s="1413" t="s">
        <v>459</v>
      </c>
      <c r="D132" s="1409" t="s">
        <v>688</v>
      </c>
      <c r="E132" s="1391">
        <v>775</v>
      </c>
      <c r="F132" s="1397"/>
      <c r="G132" s="1400"/>
      <c r="H132" s="1397"/>
      <c r="I132" s="1397"/>
      <c r="J132" s="1397"/>
      <c r="K132" s="1397"/>
      <c r="L132" s="1400"/>
      <c r="M132" s="1397"/>
      <c r="N132" s="1397"/>
      <c r="O132" s="1401"/>
      <c r="P132" s="1382">
        <f t="shared" si="8"/>
        <v>775</v>
      </c>
    </row>
    <row r="133" spans="1:16" s="1383" customFormat="1" x14ac:dyDescent="0.2">
      <c r="A133" s="1358"/>
      <c r="B133" s="1410">
        <v>54199</v>
      </c>
      <c r="C133" s="1413" t="s">
        <v>459</v>
      </c>
      <c r="D133" s="1409" t="s">
        <v>689</v>
      </c>
      <c r="E133" s="1391">
        <v>9324</v>
      </c>
      <c r="F133" s="1397"/>
      <c r="G133" s="1400"/>
      <c r="H133" s="1397"/>
      <c r="I133" s="1397"/>
      <c r="J133" s="1397"/>
      <c r="K133" s="1397"/>
      <c r="L133" s="1400"/>
      <c r="M133" s="1397"/>
      <c r="N133" s="1397"/>
      <c r="O133" s="1401"/>
      <c r="P133" s="1382">
        <f t="shared" si="8"/>
        <v>9324</v>
      </c>
    </row>
    <row r="134" spans="1:16" s="1383" customFormat="1" x14ac:dyDescent="0.2">
      <c r="A134" s="1358"/>
      <c r="B134" s="1410">
        <v>54304</v>
      </c>
      <c r="C134" s="1413" t="s">
        <v>459</v>
      </c>
      <c r="D134" s="1409" t="s">
        <v>692</v>
      </c>
      <c r="E134" s="1391">
        <v>400</v>
      </c>
      <c r="F134" s="1397"/>
      <c r="G134" s="1400"/>
      <c r="H134" s="1397"/>
      <c r="I134" s="1397"/>
      <c r="J134" s="1397"/>
      <c r="K134" s="1397"/>
      <c r="L134" s="1400"/>
      <c r="M134" s="1397"/>
      <c r="N134" s="1397"/>
      <c r="O134" s="1401"/>
      <c r="P134" s="1382">
        <f t="shared" si="8"/>
        <v>400</v>
      </c>
    </row>
    <row r="135" spans="1:16" s="1383" customFormat="1" x14ac:dyDescent="0.2">
      <c r="A135" s="1358"/>
      <c r="B135" s="1410">
        <v>54314</v>
      </c>
      <c r="C135" s="1413" t="s">
        <v>459</v>
      </c>
      <c r="D135" s="1409" t="s">
        <v>693</v>
      </c>
      <c r="E135" s="1391">
        <v>13038.3</v>
      </c>
      <c r="F135" s="1397"/>
      <c r="G135" s="1400"/>
      <c r="H135" s="1397"/>
      <c r="I135" s="1397"/>
      <c r="J135" s="1397"/>
      <c r="K135" s="1397"/>
      <c r="L135" s="1400"/>
      <c r="M135" s="1397"/>
      <c r="N135" s="1397"/>
      <c r="O135" s="1401"/>
      <c r="P135" s="1382">
        <f t="shared" si="8"/>
        <v>13038.3</v>
      </c>
    </row>
    <row r="136" spans="1:16" s="1383" customFormat="1" x14ac:dyDescent="0.2">
      <c r="A136" s="1358"/>
      <c r="B136" s="1410">
        <v>54399</v>
      </c>
      <c r="C136" s="1413" t="s">
        <v>459</v>
      </c>
      <c r="D136" s="1409" t="s">
        <v>694</v>
      </c>
      <c r="E136" s="1391">
        <v>8688.01</v>
      </c>
      <c r="F136" s="1397"/>
      <c r="G136" s="1400"/>
      <c r="H136" s="1397"/>
      <c r="I136" s="1397"/>
      <c r="J136" s="1397"/>
      <c r="K136" s="1397"/>
      <c r="L136" s="1400"/>
      <c r="M136" s="1397"/>
      <c r="N136" s="1397"/>
      <c r="O136" s="1401"/>
      <c r="P136" s="1382">
        <f t="shared" si="8"/>
        <v>8688.01</v>
      </c>
    </row>
    <row r="137" spans="1:16" s="1383" customFormat="1" x14ac:dyDescent="0.2">
      <c r="A137" s="1358"/>
      <c r="B137" s="1410">
        <v>56304</v>
      </c>
      <c r="C137" s="1413" t="s">
        <v>459</v>
      </c>
      <c r="D137" s="1409" t="s">
        <v>690</v>
      </c>
      <c r="E137" s="1391">
        <v>1600</v>
      </c>
      <c r="F137" s="1397"/>
      <c r="G137" s="1400"/>
      <c r="H137" s="1397"/>
      <c r="I137" s="1397"/>
      <c r="J137" s="1397"/>
      <c r="K137" s="1397"/>
      <c r="L137" s="1400"/>
      <c r="M137" s="1397"/>
      <c r="N137" s="1397"/>
      <c r="O137" s="1401"/>
      <c r="P137" s="1382">
        <f>SUM(E137:O137)</f>
        <v>1600</v>
      </c>
    </row>
    <row r="138" spans="1:16" s="1383" customFormat="1" x14ac:dyDescent="0.2">
      <c r="A138" s="1358"/>
      <c r="B138" s="1376"/>
      <c r="C138" s="1399" t="s">
        <v>459</v>
      </c>
      <c r="D138" s="1385"/>
      <c r="E138" s="1386"/>
      <c r="F138" s="1397"/>
      <c r="G138" s="1400"/>
      <c r="H138" s="1397"/>
      <c r="I138" s="1397"/>
      <c r="J138" s="1397"/>
      <c r="K138" s="1397"/>
      <c r="L138" s="1400"/>
      <c r="M138" s="1397"/>
      <c r="N138" s="1397"/>
      <c r="O138" s="1401"/>
      <c r="P138" s="1390"/>
    </row>
    <row r="139" spans="1:16" ht="24" x14ac:dyDescent="0.2">
      <c r="B139" s="1376"/>
      <c r="C139" s="1384" t="s">
        <v>459</v>
      </c>
      <c r="D139" s="1385" t="s">
        <v>665</v>
      </c>
      <c r="E139" s="1415">
        <f>SUM(E140)</f>
        <v>1000</v>
      </c>
      <c r="F139" s="1387"/>
      <c r="G139" s="1388"/>
      <c r="H139" s="1387"/>
      <c r="I139" s="1387"/>
      <c r="J139" s="1387"/>
      <c r="K139" s="1387"/>
      <c r="L139" s="1388"/>
      <c r="M139" s="1397"/>
      <c r="N139" s="1397"/>
      <c r="O139" s="1401"/>
      <c r="P139" s="1390">
        <f>SUM(E139:O139)</f>
        <v>1000</v>
      </c>
    </row>
    <row r="140" spans="1:16" x14ac:dyDescent="0.2">
      <c r="B140" s="1430" t="s">
        <v>657</v>
      </c>
      <c r="C140" s="1423" t="s">
        <v>459</v>
      </c>
      <c r="D140" s="1431" t="s">
        <v>457</v>
      </c>
      <c r="E140" s="1387">
        <v>1000</v>
      </c>
      <c r="F140" s="1387"/>
      <c r="G140" s="1387"/>
      <c r="H140" s="1387"/>
      <c r="I140" s="1387"/>
      <c r="J140" s="1387"/>
      <c r="K140" s="1387"/>
      <c r="L140" s="1387"/>
      <c r="M140" s="1397"/>
      <c r="N140" s="1397"/>
      <c r="O140" s="1397"/>
      <c r="P140" s="1382">
        <f>SUM(E140:O140)</f>
        <v>1000</v>
      </c>
    </row>
    <row r="141" spans="1:16" x14ac:dyDescent="0.2">
      <c r="B141" s="1376"/>
      <c r="C141" s="1384" t="s">
        <v>459</v>
      </c>
      <c r="D141" s="1385"/>
      <c r="E141" s="1386"/>
      <c r="F141" s="1387"/>
      <c r="G141" s="1388"/>
      <c r="H141" s="1387"/>
      <c r="I141" s="1387"/>
      <c r="J141" s="1387"/>
      <c r="K141" s="1387"/>
      <c r="L141" s="1388"/>
      <c r="M141" s="1397"/>
      <c r="N141" s="1397"/>
      <c r="O141" s="1401"/>
      <c r="P141" s="1390"/>
    </row>
    <row r="142" spans="1:16" x14ac:dyDescent="0.2">
      <c r="B142" s="1376"/>
      <c r="C142" s="1384"/>
      <c r="D142" s="1385"/>
      <c r="E142" s="1386"/>
      <c r="F142" s="1387"/>
      <c r="G142" s="1388"/>
      <c r="H142" s="1387"/>
      <c r="I142" s="1387"/>
      <c r="J142" s="1387"/>
      <c r="K142" s="1387"/>
      <c r="L142" s="1388"/>
      <c r="M142" s="1387"/>
      <c r="N142" s="1387"/>
      <c r="O142" s="1389"/>
      <c r="P142" s="1390"/>
    </row>
    <row r="143" spans="1:16" ht="24" x14ac:dyDescent="0.2">
      <c r="B143" s="1376" t="s">
        <v>658</v>
      </c>
      <c r="C143" s="1384" t="s">
        <v>459</v>
      </c>
      <c r="D143" s="1385" t="s">
        <v>842</v>
      </c>
      <c r="E143" s="1415">
        <f>SUM(E144:E148)</f>
        <v>30000</v>
      </c>
      <c r="F143" s="1387"/>
      <c r="G143" s="1388"/>
      <c r="H143" s="1387"/>
      <c r="I143" s="1387"/>
      <c r="J143" s="1387"/>
      <c r="K143" s="1387"/>
      <c r="L143" s="1388"/>
      <c r="M143" s="1387"/>
      <c r="N143" s="1387"/>
      <c r="O143" s="1389"/>
      <c r="P143" s="1390">
        <f>SUM(E143:O143)</f>
        <v>30000</v>
      </c>
    </row>
    <row r="144" spans="1:16" x14ac:dyDescent="0.2">
      <c r="B144" s="1376">
        <v>51201</v>
      </c>
      <c r="C144" s="1384" t="s">
        <v>459</v>
      </c>
      <c r="D144" s="1378" t="s">
        <v>686</v>
      </c>
      <c r="E144" s="1391">
        <v>3750</v>
      </c>
      <c r="F144" s="1387"/>
      <c r="G144" s="1388"/>
      <c r="H144" s="1387"/>
      <c r="I144" s="1387"/>
      <c r="J144" s="1387"/>
      <c r="K144" s="1387"/>
      <c r="L144" s="1388"/>
      <c r="M144" s="1387"/>
      <c r="N144" s="1387"/>
      <c r="O144" s="1389"/>
      <c r="P144" s="1382">
        <f>SUM(E144:O144)</f>
        <v>3750</v>
      </c>
    </row>
    <row r="145" spans="2:18" x14ac:dyDescent="0.2">
      <c r="B145" s="1376">
        <v>54103</v>
      </c>
      <c r="C145" s="1384"/>
      <c r="D145" s="1378" t="s">
        <v>737</v>
      </c>
      <c r="E145" s="1391">
        <v>4800</v>
      </c>
      <c r="F145" s="1387"/>
      <c r="G145" s="1388"/>
      <c r="H145" s="1387"/>
      <c r="I145" s="1387"/>
      <c r="J145" s="1387"/>
      <c r="K145" s="1387"/>
      <c r="L145" s="1388"/>
      <c r="M145" s="1387"/>
      <c r="N145" s="1387"/>
      <c r="O145" s="1389"/>
      <c r="P145" s="1382">
        <f t="shared" ref="P145:P148" si="9">SUM(E145:O145)</f>
        <v>4800</v>
      </c>
    </row>
    <row r="146" spans="2:18" x14ac:dyDescent="0.2">
      <c r="B146" s="1376">
        <v>54111</v>
      </c>
      <c r="C146" s="1384"/>
      <c r="D146" s="1378" t="s">
        <v>738</v>
      </c>
      <c r="E146" s="1391">
        <v>5605</v>
      </c>
      <c r="F146" s="1387"/>
      <c r="G146" s="1388"/>
      <c r="H146" s="1387"/>
      <c r="I146" s="1387"/>
      <c r="J146" s="1387"/>
      <c r="K146" s="1387"/>
      <c r="L146" s="1388"/>
      <c r="M146" s="1387"/>
      <c r="N146" s="1387"/>
      <c r="O146" s="1389"/>
      <c r="P146" s="1382">
        <f t="shared" si="9"/>
        <v>5605</v>
      </c>
    </row>
    <row r="147" spans="2:18" x14ac:dyDescent="0.2">
      <c r="B147" s="1376">
        <v>54112</v>
      </c>
      <c r="C147" s="1384"/>
      <c r="D147" s="1378" t="s">
        <v>739</v>
      </c>
      <c r="E147" s="1391">
        <v>15377.25</v>
      </c>
      <c r="F147" s="1387"/>
      <c r="G147" s="1388"/>
      <c r="H147" s="1387"/>
      <c r="I147" s="1387"/>
      <c r="J147" s="1387"/>
      <c r="K147" s="1387"/>
      <c r="L147" s="1388"/>
      <c r="M147" s="1387"/>
      <c r="N147" s="1387"/>
      <c r="O147" s="1389"/>
      <c r="P147" s="1382">
        <f t="shared" si="9"/>
        <v>15377.25</v>
      </c>
    </row>
    <row r="148" spans="2:18" x14ac:dyDescent="0.2">
      <c r="B148" s="1376">
        <v>54199</v>
      </c>
      <c r="C148" s="1384"/>
      <c r="D148" s="1378" t="s">
        <v>689</v>
      </c>
      <c r="E148" s="1391">
        <v>467.75</v>
      </c>
      <c r="F148" s="1387"/>
      <c r="G148" s="1388"/>
      <c r="H148" s="1387"/>
      <c r="I148" s="1387"/>
      <c r="J148" s="1387"/>
      <c r="K148" s="1387"/>
      <c r="L148" s="1388"/>
      <c r="M148" s="1387"/>
      <c r="N148" s="1387"/>
      <c r="O148" s="1389"/>
      <c r="P148" s="1382">
        <f t="shared" si="9"/>
        <v>467.75</v>
      </c>
    </row>
    <row r="149" spans="2:18" x14ac:dyDescent="0.2">
      <c r="B149" s="1376"/>
      <c r="C149" s="1384" t="s">
        <v>459</v>
      </c>
      <c r="D149" s="1385"/>
      <c r="E149" s="1386"/>
      <c r="F149" s="1387"/>
      <c r="G149" s="1388"/>
      <c r="H149" s="1387"/>
      <c r="I149" s="1387"/>
      <c r="J149" s="1387"/>
      <c r="K149" s="1387"/>
      <c r="L149" s="1388"/>
      <c r="M149" s="1387"/>
      <c r="N149" s="1387"/>
      <c r="O149" s="1389"/>
      <c r="P149" s="1382"/>
    </row>
    <row r="150" spans="2:18" ht="24" x14ac:dyDescent="0.2">
      <c r="B150" s="1376"/>
      <c r="C150" s="1384" t="s">
        <v>459</v>
      </c>
      <c r="D150" s="1385" t="s">
        <v>843</v>
      </c>
      <c r="E150" s="1415">
        <f>SUM(E151)</f>
        <v>21144.639999999999</v>
      </c>
      <c r="F150" s="1387"/>
      <c r="G150" s="1388"/>
      <c r="H150" s="1387"/>
      <c r="I150" s="1387"/>
      <c r="J150" s="1387"/>
      <c r="K150" s="1387"/>
      <c r="L150" s="1388"/>
      <c r="M150" s="1387"/>
      <c r="N150" s="1387"/>
      <c r="O150" s="1389"/>
      <c r="P150" s="1390">
        <f>SUM(E150:O150)</f>
        <v>21144.639999999999</v>
      </c>
    </row>
    <row r="151" spans="2:18" x14ac:dyDescent="0.2">
      <c r="B151" s="1376" t="s">
        <v>659</v>
      </c>
      <c r="C151" s="1384" t="s">
        <v>459</v>
      </c>
      <c r="D151" s="1378" t="s">
        <v>618</v>
      </c>
      <c r="E151" s="1391">
        <v>21144.639999999999</v>
      </c>
      <c r="F151" s="1387"/>
      <c r="G151" s="1388"/>
      <c r="H151" s="1387"/>
      <c r="I151" s="1387"/>
      <c r="J151" s="1387"/>
      <c r="K151" s="1387"/>
      <c r="L151" s="1388"/>
      <c r="M151" s="1387"/>
      <c r="N151" s="1387"/>
      <c r="O151" s="1389"/>
      <c r="P151" s="1382">
        <f>SUM(E151:O151)</f>
        <v>21144.639999999999</v>
      </c>
    </row>
    <row r="152" spans="2:18" x14ac:dyDescent="0.2">
      <c r="B152" s="1376"/>
      <c r="C152" s="1384"/>
      <c r="D152" s="1378"/>
      <c r="E152" s="1391"/>
      <c r="F152" s="1387"/>
      <c r="G152" s="1388"/>
      <c r="H152" s="1387"/>
      <c r="I152" s="1387"/>
      <c r="J152" s="1387"/>
      <c r="K152" s="1387"/>
      <c r="L152" s="1388"/>
      <c r="M152" s="1387"/>
      <c r="N152" s="1387"/>
      <c r="O152" s="1389"/>
      <c r="P152" s="1382"/>
    </row>
    <row r="153" spans="2:18" ht="24" x14ac:dyDescent="0.2">
      <c r="B153" s="1376"/>
      <c r="C153" s="1384"/>
      <c r="D153" s="1398" t="s">
        <v>813</v>
      </c>
      <c r="E153" s="1386">
        <f>E154</f>
        <v>0</v>
      </c>
      <c r="F153" s="1387"/>
      <c r="G153" s="1388"/>
      <c r="H153" s="1387"/>
      <c r="I153" s="1387"/>
      <c r="J153" s="1387"/>
      <c r="K153" s="1387"/>
      <c r="L153" s="1388"/>
      <c r="M153" s="1397"/>
      <c r="N153" s="1397"/>
      <c r="O153" s="1400">
        <f>O154</f>
        <v>182403.12</v>
      </c>
      <c r="P153" s="1390">
        <f>P154</f>
        <v>182403.12</v>
      </c>
      <c r="R153" s="1436"/>
    </row>
    <row r="154" spans="2:18" x14ac:dyDescent="0.2">
      <c r="B154" s="1376" t="s">
        <v>659</v>
      </c>
      <c r="C154" s="1384"/>
      <c r="D154" s="1412" t="s">
        <v>814</v>
      </c>
      <c r="E154" s="1391"/>
      <c r="F154" s="1387"/>
      <c r="G154" s="1388"/>
      <c r="H154" s="1387"/>
      <c r="I154" s="1387"/>
      <c r="J154" s="1387"/>
      <c r="K154" s="1387"/>
      <c r="L154" s="1388"/>
      <c r="M154" s="1397"/>
      <c r="N154" s="1397"/>
      <c r="O154" s="1388">
        <v>182403.12</v>
      </c>
      <c r="P154" s="1382">
        <f>SUM(E154:O154)</f>
        <v>182403.12</v>
      </c>
    </row>
    <row r="155" spans="2:18" x14ac:dyDescent="0.2">
      <c r="B155" s="1376"/>
      <c r="C155" s="1384"/>
      <c r="D155" s="1412"/>
      <c r="E155" s="1386"/>
      <c r="F155" s="1387"/>
      <c r="G155" s="1388"/>
      <c r="H155" s="1387"/>
      <c r="I155" s="1387"/>
      <c r="J155" s="1387"/>
      <c r="K155" s="1387"/>
      <c r="L155" s="1388"/>
      <c r="M155" s="1397"/>
      <c r="N155" s="1397"/>
      <c r="O155" s="1400"/>
      <c r="P155" s="1382"/>
    </row>
    <row r="156" spans="2:18" x14ac:dyDescent="0.2">
      <c r="B156" s="1376"/>
      <c r="C156" s="1384" t="s">
        <v>459</v>
      </c>
      <c r="D156" s="1385" t="s">
        <v>844</v>
      </c>
      <c r="E156" s="1415">
        <f>SUM(E157)</f>
        <v>20000</v>
      </c>
      <c r="F156" s="1387"/>
      <c r="G156" s="1388"/>
      <c r="H156" s="1387"/>
      <c r="I156" s="1387"/>
      <c r="J156" s="1387"/>
      <c r="K156" s="1387"/>
      <c r="L156" s="1388"/>
      <c r="M156" s="1397"/>
      <c r="N156" s="1397"/>
      <c r="O156" s="1401"/>
      <c r="P156" s="1390">
        <f>SUM(E156:O156)</f>
        <v>20000</v>
      </c>
    </row>
    <row r="157" spans="2:18" x14ac:dyDescent="0.2">
      <c r="B157" s="1376" t="s">
        <v>660</v>
      </c>
      <c r="C157" s="1384" t="s">
        <v>459</v>
      </c>
      <c r="D157" s="1412" t="s">
        <v>487</v>
      </c>
      <c r="E157" s="1391">
        <v>20000</v>
      </c>
      <c r="F157" s="1387"/>
      <c r="G157" s="1388"/>
      <c r="H157" s="1387"/>
      <c r="I157" s="1387"/>
      <c r="J157" s="1387"/>
      <c r="K157" s="1387"/>
      <c r="L157" s="1388"/>
      <c r="M157" s="1397"/>
      <c r="N157" s="1397"/>
      <c r="O157" s="1401"/>
      <c r="P157" s="1382">
        <f>SUM(E157:O157)</f>
        <v>20000</v>
      </c>
    </row>
    <row r="158" spans="2:18" ht="10.5" customHeight="1" x14ac:dyDescent="0.2">
      <c r="B158" s="1376"/>
      <c r="C158" s="1384" t="s">
        <v>459</v>
      </c>
      <c r="D158" s="1385"/>
      <c r="E158" s="1391"/>
      <c r="F158" s="1387"/>
      <c r="G158" s="1388"/>
      <c r="H158" s="1387"/>
      <c r="I158" s="1387"/>
      <c r="J158" s="1387"/>
      <c r="K158" s="1387"/>
      <c r="L158" s="1388"/>
      <c r="M158" s="1397"/>
      <c r="N158" s="1397"/>
      <c r="O158" s="1401"/>
      <c r="P158" s="1390"/>
    </row>
    <row r="159" spans="2:18" ht="13.5" thickBot="1" x14ac:dyDescent="0.25">
      <c r="B159" s="1402"/>
      <c r="C159" s="1403"/>
      <c r="D159" s="1402"/>
      <c r="E159" s="1404"/>
      <c r="F159" s="1404"/>
      <c r="G159" s="1404"/>
      <c r="H159" s="1404"/>
      <c r="I159" s="1404"/>
      <c r="J159" s="1404"/>
      <c r="K159" s="1404"/>
      <c r="L159" s="1404"/>
      <c r="M159" s="1405"/>
      <c r="N159" s="1405"/>
      <c r="O159" s="1405"/>
      <c r="P159" s="1406"/>
    </row>
    <row r="160" spans="2:18" ht="9.75" customHeight="1" x14ac:dyDescent="0.2">
      <c r="B160" s="1376"/>
      <c r="C160" s="1384"/>
      <c r="D160" s="1385"/>
      <c r="E160" s="1391"/>
      <c r="F160" s="1387"/>
      <c r="G160" s="1388"/>
      <c r="H160" s="1387"/>
      <c r="I160" s="1387"/>
      <c r="J160" s="1387"/>
      <c r="K160" s="1387"/>
      <c r="L160" s="1388"/>
      <c r="M160" s="1397"/>
      <c r="N160" s="1397"/>
      <c r="O160" s="1401"/>
      <c r="P160" s="1390"/>
    </row>
    <row r="161" spans="2:16" ht="24" x14ac:dyDescent="0.2">
      <c r="B161" s="1376"/>
      <c r="C161" s="1384" t="s">
        <v>459</v>
      </c>
      <c r="D161" s="1398" t="s">
        <v>678</v>
      </c>
      <c r="E161" s="1415">
        <f>SUM(E162)</f>
        <v>2000</v>
      </c>
      <c r="F161" s="1387"/>
      <c r="G161" s="1388"/>
      <c r="H161" s="1387"/>
      <c r="I161" s="1387"/>
      <c r="J161" s="1387"/>
      <c r="K161" s="1387"/>
      <c r="L161" s="1388"/>
      <c r="M161" s="1397"/>
      <c r="N161" s="1397"/>
      <c r="O161" s="1400"/>
      <c r="P161" s="1390">
        <f>SUM(E161:O161)</f>
        <v>2000</v>
      </c>
    </row>
    <row r="162" spans="2:16" x14ac:dyDescent="0.2">
      <c r="B162" s="1376" t="s">
        <v>660</v>
      </c>
      <c r="C162" s="1384" t="s">
        <v>459</v>
      </c>
      <c r="D162" s="1412" t="s">
        <v>487</v>
      </c>
      <c r="E162" s="1391">
        <v>2000</v>
      </c>
      <c r="F162" s="1387"/>
      <c r="G162" s="1388"/>
      <c r="H162" s="1387"/>
      <c r="I162" s="1387"/>
      <c r="J162" s="1387"/>
      <c r="K162" s="1387"/>
      <c r="L162" s="1388"/>
      <c r="M162" s="1397"/>
      <c r="N162" s="1397"/>
      <c r="O162" s="1400"/>
      <c r="P162" s="1382">
        <f>SUM(E162:O162)</f>
        <v>2000</v>
      </c>
    </row>
    <row r="163" spans="2:16" x14ac:dyDescent="0.2">
      <c r="B163" s="1376"/>
      <c r="C163" s="1384"/>
      <c r="D163" s="1412"/>
      <c r="E163" s="1391"/>
      <c r="F163" s="1387"/>
      <c r="G163" s="1388"/>
      <c r="H163" s="1387"/>
      <c r="I163" s="1387"/>
      <c r="J163" s="1387"/>
      <c r="K163" s="1387"/>
      <c r="L163" s="1388"/>
      <c r="M163" s="1397"/>
      <c r="N163" s="1397"/>
      <c r="O163" s="1400"/>
      <c r="P163" s="1382"/>
    </row>
    <row r="164" spans="2:16" x14ac:dyDescent="0.2">
      <c r="B164" s="1376"/>
      <c r="C164" s="1384"/>
      <c r="D164" s="1398" t="s">
        <v>845</v>
      </c>
      <c r="E164" s="1386">
        <f>E165</f>
        <v>15000</v>
      </c>
      <c r="F164" s="1387"/>
      <c r="G164" s="1388"/>
      <c r="H164" s="1387"/>
      <c r="I164" s="1387"/>
      <c r="J164" s="1387"/>
      <c r="K164" s="1387"/>
      <c r="L164" s="1388"/>
      <c r="M164" s="1397"/>
      <c r="N164" s="1397"/>
      <c r="O164" s="1400"/>
      <c r="P164" s="1390">
        <f>P165</f>
        <v>15000</v>
      </c>
    </row>
    <row r="165" spans="2:16" x14ac:dyDescent="0.2">
      <c r="B165" s="1376" t="s">
        <v>660</v>
      </c>
      <c r="C165" s="1395"/>
      <c r="D165" s="1394" t="s">
        <v>487</v>
      </c>
      <c r="E165" s="1387">
        <v>15000</v>
      </c>
      <c r="F165" s="1387"/>
      <c r="G165" s="1387"/>
      <c r="H165" s="1387"/>
      <c r="I165" s="1387"/>
      <c r="J165" s="1387"/>
      <c r="K165" s="1387"/>
      <c r="L165" s="1387"/>
      <c r="M165" s="1397"/>
      <c r="N165" s="1397"/>
      <c r="O165" s="1397"/>
      <c r="P165" s="1382">
        <f>SUM(E165:O165)</f>
        <v>15000</v>
      </c>
    </row>
    <row r="166" spans="2:16" ht="13.5" thickBot="1" x14ac:dyDescent="0.25">
      <c r="B166" s="1376"/>
      <c r="C166" s="1437"/>
      <c r="D166" s="1396"/>
      <c r="E166" s="1397"/>
      <c r="F166" s="1387"/>
      <c r="G166" s="1387"/>
      <c r="H166" s="1387"/>
      <c r="I166" s="1387"/>
      <c r="J166" s="1387"/>
      <c r="K166" s="1387"/>
      <c r="L166" s="1387"/>
      <c r="M166" s="1397"/>
      <c r="N166" s="1397"/>
      <c r="O166" s="1397"/>
      <c r="P166" s="1382"/>
    </row>
    <row r="167" spans="2:16" ht="24" x14ac:dyDescent="0.2">
      <c r="B167" s="1376"/>
      <c r="C167" s="1384"/>
      <c r="D167" s="1398" t="s">
        <v>846</v>
      </c>
      <c r="E167" s="1386">
        <f>E168</f>
        <v>30000</v>
      </c>
      <c r="F167" s="1387"/>
      <c r="G167" s="1388"/>
      <c r="H167" s="1387"/>
      <c r="I167" s="1387"/>
      <c r="J167" s="1387"/>
      <c r="K167" s="1387"/>
      <c r="L167" s="1388"/>
      <c r="M167" s="1397"/>
      <c r="N167" s="1397"/>
      <c r="O167" s="1400"/>
      <c r="P167" s="1390">
        <f>P168</f>
        <v>30000</v>
      </c>
    </row>
    <row r="168" spans="2:16" x14ac:dyDescent="0.2">
      <c r="B168" s="1376" t="s">
        <v>660</v>
      </c>
      <c r="C168" s="1384"/>
      <c r="D168" s="1412" t="s">
        <v>487</v>
      </c>
      <c r="E168" s="1391">
        <v>30000</v>
      </c>
      <c r="F168" s="1387"/>
      <c r="G168" s="1388"/>
      <c r="H168" s="1387"/>
      <c r="I168" s="1387"/>
      <c r="J168" s="1387"/>
      <c r="K168" s="1387"/>
      <c r="L168" s="1388"/>
      <c r="M168" s="1397"/>
      <c r="N168" s="1397"/>
      <c r="O168" s="1400"/>
      <c r="P168" s="1382">
        <f>SUM(E168:O168)</f>
        <v>30000</v>
      </c>
    </row>
    <row r="169" spans="2:16" x14ac:dyDescent="0.2">
      <c r="B169" s="1438"/>
      <c r="C169" s="1395"/>
      <c r="D169" s="1394"/>
      <c r="E169" s="1387"/>
      <c r="F169" s="1387"/>
      <c r="G169" s="1387"/>
      <c r="H169" s="1387"/>
      <c r="I169" s="1387"/>
      <c r="J169" s="1387"/>
      <c r="K169" s="1387"/>
      <c r="L169" s="1387"/>
      <c r="M169" s="1397"/>
      <c r="N169" s="1397"/>
      <c r="O169" s="1397"/>
      <c r="P169" s="1382">
        <f>SUM(E169:O169)</f>
        <v>0</v>
      </c>
    </row>
    <row r="170" spans="2:16" ht="21.75" customHeight="1" x14ac:dyDescent="0.2">
      <c r="B170" s="1376"/>
      <c r="C170" s="1384"/>
      <c r="D170" s="1398" t="s">
        <v>753</v>
      </c>
      <c r="E170" s="1386">
        <f>E171</f>
        <v>520</v>
      </c>
      <c r="F170" s="1387"/>
      <c r="G170" s="1388"/>
      <c r="H170" s="1387"/>
      <c r="I170" s="1387"/>
      <c r="J170" s="1387"/>
      <c r="K170" s="1387"/>
      <c r="L170" s="1388"/>
      <c r="M170" s="1397"/>
      <c r="N170" s="1397"/>
      <c r="O170" s="1400"/>
      <c r="P170" s="1390">
        <f>P171</f>
        <v>520</v>
      </c>
    </row>
    <row r="171" spans="2:16" x14ac:dyDescent="0.2">
      <c r="B171" s="1376" t="s">
        <v>660</v>
      </c>
      <c r="C171" s="1384"/>
      <c r="D171" s="1412" t="s">
        <v>487</v>
      </c>
      <c r="E171" s="1391">
        <v>520</v>
      </c>
      <c r="F171" s="1387"/>
      <c r="G171" s="1388"/>
      <c r="H171" s="1387"/>
      <c r="I171" s="1387"/>
      <c r="J171" s="1387"/>
      <c r="K171" s="1387"/>
      <c r="L171" s="1388"/>
      <c r="M171" s="1397"/>
      <c r="N171" s="1397"/>
      <c r="O171" s="1400"/>
      <c r="P171" s="1382">
        <f>SUM(E171:O171)</f>
        <v>520</v>
      </c>
    </row>
    <row r="172" spans="2:16" x14ac:dyDescent="0.2">
      <c r="B172" s="1376"/>
      <c r="C172" s="1384"/>
      <c r="D172" s="1439"/>
      <c r="E172" s="1440"/>
      <c r="F172" s="1387"/>
      <c r="G172" s="1388"/>
      <c r="H172" s="1387"/>
      <c r="I172" s="1387"/>
      <c r="J172" s="1387"/>
      <c r="K172" s="1387"/>
      <c r="L172" s="1388"/>
      <c r="M172" s="1397"/>
      <c r="N172" s="1397"/>
      <c r="O172" s="1400"/>
      <c r="P172" s="1382"/>
    </row>
    <row r="173" spans="2:16" ht="22.5" customHeight="1" x14ac:dyDescent="0.2">
      <c r="B173" s="1376"/>
      <c r="C173" s="1384"/>
      <c r="D173" s="1398" t="s">
        <v>824</v>
      </c>
      <c r="E173" s="1386">
        <f>E174</f>
        <v>0</v>
      </c>
      <c r="F173" s="1387"/>
      <c r="G173" s="1388"/>
      <c r="H173" s="1387"/>
      <c r="I173" s="1387"/>
      <c r="J173" s="1387"/>
      <c r="K173" s="1387"/>
      <c r="L173" s="1388"/>
      <c r="M173" s="1441">
        <f>M174</f>
        <v>29315</v>
      </c>
      <c r="N173" s="1397"/>
      <c r="O173" s="1400"/>
      <c r="P173" s="1390">
        <f>P174</f>
        <v>29315</v>
      </c>
    </row>
    <row r="174" spans="2:16" x14ac:dyDescent="0.2">
      <c r="B174" s="1376" t="s">
        <v>660</v>
      </c>
      <c r="C174" s="1384"/>
      <c r="D174" s="1412" t="s">
        <v>487</v>
      </c>
      <c r="E174" s="1391"/>
      <c r="F174" s="1387"/>
      <c r="G174" s="1388"/>
      <c r="H174" s="1387"/>
      <c r="I174" s="1387"/>
      <c r="J174" s="1387"/>
      <c r="K174" s="1387"/>
      <c r="L174" s="1388"/>
      <c r="M174" s="1442">
        <f>15+1500*10+1300*11</f>
        <v>29315</v>
      </c>
      <c r="N174" s="1397"/>
      <c r="O174" s="1388"/>
      <c r="P174" s="1382">
        <f>SUM(E174:O174)</f>
        <v>29315</v>
      </c>
    </row>
    <row r="175" spans="2:16" ht="8.25" customHeight="1" x14ac:dyDescent="0.2">
      <c r="B175" s="1376"/>
      <c r="C175" s="1384"/>
      <c r="D175" s="1412"/>
      <c r="E175" s="1386"/>
      <c r="F175" s="1387"/>
      <c r="G175" s="1388"/>
      <c r="H175" s="1387"/>
      <c r="I175" s="1387"/>
      <c r="J175" s="1387"/>
      <c r="K175" s="1387"/>
      <c r="L175" s="1388"/>
      <c r="M175" s="1441"/>
      <c r="N175" s="1397"/>
      <c r="O175" s="1400"/>
      <c r="P175" s="1382"/>
    </row>
    <row r="176" spans="2:16" ht="23.25" customHeight="1" x14ac:dyDescent="0.2">
      <c r="B176" s="1376"/>
      <c r="C176" s="1384"/>
      <c r="D176" s="1398" t="s">
        <v>825</v>
      </c>
      <c r="E176" s="1386">
        <f>E177</f>
        <v>0</v>
      </c>
      <c r="F176" s="1387"/>
      <c r="G176" s="1388"/>
      <c r="H176" s="1387"/>
      <c r="I176" s="1387"/>
      <c r="J176" s="1387"/>
      <c r="K176" s="1387"/>
      <c r="L176" s="1388"/>
      <c r="M176" s="1441">
        <f>M177</f>
        <v>9.35</v>
      </c>
      <c r="N176" s="1397"/>
      <c r="O176" s="1400"/>
      <c r="P176" s="1390">
        <f>P177</f>
        <v>9.35</v>
      </c>
    </row>
    <row r="177" spans="2:16" x14ac:dyDescent="0.2">
      <c r="B177" s="1376" t="s">
        <v>660</v>
      </c>
      <c r="C177" s="1384"/>
      <c r="D177" s="1412" t="s">
        <v>487</v>
      </c>
      <c r="E177" s="1391"/>
      <c r="F177" s="1387"/>
      <c r="G177" s="1388"/>
      <c r="H177" s="1387"/>
      <c r="I177" s="1387"/>
      <c r="J177" s="1387"/>
      <c r="K177" s="1387"/>
      <c r="L177" s="1388"/>
      <c r="M177" s="1442">
        <v>9.35</v>
      </c>
      <c r="N177" s="1397"/>
      <c r="O177" s="1388"/>
      <c r="P177" s="1382">
        <f>SUM(E177:O177)</f>
        <v>9.35</v>
      </c>
    </row>
    <row r="178" spans="2:16" ht="6.75" customHeight="1" x14ac:dyDescent="0.2">
      <c r="B178" s="1376"/>
      <c r="C178" s="1384"/>
      <c r="D178" s="1412"/>
      <c r="E178" s="1386"/>
      <c r="F178" s="1387"/>
      <c r="G178" s="1388"/>
      <c r="H178" s="1387"/>
      <c r="I178" s="1387"/>
      <c r="J178" s="1387"/>
      <c r="K178" s="1387"/>
      <c r="L178" s="1388"/>
      <c r="M178" s="1441"/>
      <c r="N178" s="1397"/>
      <c r="O178" s="1400"/>
      <c r="P178" s="1382"/>
    </row>
    <row r="179" spans="2:16" x14ac:dyDescent="0.2">
      <c r="B179" s="1376"/>
      <c r="C179" s="1384"/>
      <c r="D179" s="1398" t="s">
        <v>726</v>
      </c>
      <c r="E179" s="1386">
        <f>E180</f>
        <v>120244.16</v>
      </c>
      <c r="F179" s="1387"/>
      <c r="G179" s="1388"/>
      <c r="H179" s="1387"/>
      <c r="I179" s="1387"/>
      <c r="J179" s="1387"/>
      <c r="K179" s="1387"/>
      <c r="L179" s="1388"/>
      <c r="M179" s="1443">
        <f>M180</f>
        <v>28739.800000000003</v>
      </c>
      <c r="N179" s="1397"/>
      <c r="O179" s="1397">
        <f>SUM(O180)</f>
        <v>54616.06</v>
      </c>
      <c r="P179" s="1390">
        <f>SUM(E179:O179)</f>
        <v>203600.02000000002</v>
      </c>
    </row>
    <row r="180" spans="2:16" x14ac:dyDescent="0.2">
      <c r="B180" s="1376" t="s">
        <v>660</v>
      </c>
      <c r="C180" s="1384"/>
      <c r="D180" s="1412" t="s">
        <v>487</v>
      </c>
      <c r="E180" s="1391">
        <v>120244.16</v>
      </c>
      <c r="F180" s="1387"/>
      <c r="G180" s="1388"/>
      <c r="H180" s="1387"/>
      <c r="I180" s="1387"/>
      <c r="J180" s="1387"/>
      <c r="K180" s="1387"/>
      <c r="L180" s="1388"/>
      <c r="M180" s="1444">
        <f>58039.8-1500*10-1300*11</f>
        <v>28739.800000000003</v>
      </c>
      <c r="N180" s="1397"/>
      <c r="O180" s="1387">
        <f>120.38+54495.68</f>
        <v>54616.06</v>
      </c>
      <c r="P180" s="1382">
        <f>SUM(E180:O180)</f>
        <v>203600.02000000002</v>
      </c>
    </row>
    <row r="181" spans="2:16" x14ac:dyDescent="0.2">
      <c r="B181" s="1376"/>
      <c r="C181" s="1384"/>
      <c r="D181" s="1412"/>
      <c r="E181" s="1391"/>
      <c r="F181" s="1387"/>
      <c r="G181" s="1388"/>
      <c r="H181" s="1387"/>
      <c r="I181" s="1387"/>
      <c r="J181" s="1387"/>
      <c r="K181" s="1387"/>
      <c r="L181" s="1388"/>
      <c r="M181" s="1441"/>
      <c r="N181" s="1397"/>
      <c r="O181" s="1400"/>
      <c r="P181" s="1382">
        <f t="shared" ref="P181:P204" si="10">SUM(E181:O181)</f>
        <v>0</v>
      </c>
    </row>
    <row r="182" spans="2:16" s="1454" customFormat="1" ht="24" x14ac:dyDescent="0.2">
      <c r="B182" s="1445"/>
      <c r="C182" s="1446"/>
      <c r="D182" s="1447" t="s">
        <v>815</v>
      </c>
      <c r="E182" s="1448">
        <f>E183</f>
        <v>0</v>
      </c>
      <c r="F182" s="1449"/>
      <c r="G182" s="1450"/>
      <c r="H182" s="1448">
        <f>H183</f>
        <v>2630.7</v>
      </c>
      <c r="I182" s="1449"/>
      <c r="J182" s="1449"/>
      <c r="K182" s="1449"/>
      <c r="L182" s="1450"/>
      <c r="M182" s="1451"/>
      <c r="N182" s="1451"/>
      <c r="O182" s="1452">
        <f>SUM(O183)</f>
        <v>0</v>
      </c>
      <c r="P182" s="1453">
        <f>SUM(E182:O182)</f>
        <v>2630.7</v>
      </c>
    </row>
    <row r="183" spans="2:16" s="1454" customFormat="1" x14ac:dyDescent="0.2">
      <c r="B183" s="1445" t="s">
        <v>660</v>
      </c>
      <c r="C183" s="1446"/>
      <c r="D183" s="1455" t="s">
        <v>487</v>
      </c>
      <c r="E183" s="1456"/>
      <c r="F183" s="1449"/>
      <c r="G183" s="1450"/>
      <c r="H183" s="1456">
        <v>2630.7</v>
      </c>
      <c r="I183" s="1449"/>
      <c r="J183" s="1449"/>
      <c r="K183" s="1449"/>
      <c r="L183" s="1450"/>
      <c r="M183" s="1451"/>
      <c r="N183" s="1451"/>
      <c r="O183" s="1450"/>
      <c r="P183" s="1457">
        <f>SUM(E183:O183)</f>
        <v>2630.7</v>
      </c>
    </row>
    <row r="184" spans="2:16" s="1454" customFormat="1" x14ac:dyDescent="0.2">
      <c r="B184" s="1445"/>
      <c r="C184" s="1446"/>
      <c r="D184" s="1455"/>
      <c r="E184" s="1456"/>
      <c r="F184" s="1449"/>
      <c r="G184" s="1450"/>
      <c r="H184" s="1449"/>
      <c r="I184" s="1449"/>
      <c r="J184" s="1449"/>
      <c r="K184" s="1449"/>
      <c r="L184" s="1450"/>
      <c r="M184" s="1451"/>
      <c r="N184" s="1451"/>
      <c r="O184" s="1452"/>
      <c r="P184" s="1457">
        <f t="shared" ref="P184" si="11">SUM(E184:O184)</f>
        <v>0</v>
      </c>
    </row>
    <row r="185" spans="2:16" s="1454" customFormat="1" ht="36" x14ac:dyDescent="0.2">
      <c r="B185" s="1445"/>
      <c r="C185" s="1446"/>
      <c r="D185" s="1447" t="s">
        <v>816</v>
      </c>
      <c r="E185" s="1448">
        <f>E186</f>
        <v>0</v>
      </c>
      <c r="F185" s="1449"/>
      <c r="G185" s="1450"/>
      <c r="H185" s="1448">
        <f>H186</f>
        <v>2372.54</v>
      </c>
      <c r="I185" s="1449"/>
      <c r="J185" s="1449"/>
      <c r="K185" s="1449"/>
      <c r="L185" s="1450"/>
      <c r="M185" s="1451"/>
      <c r="N185" s="1451"/>
      <c r="O185" s="1452">
        <f>SUM(O186)</f>
        <v>0</v>
      </c>
      <c r="P185" s="1453">
        <f>SUM(E185:O185)</f>
        <v>2372.54</v>
      </c>
    </row>
    <row r="186" spans="2:16" s="1454" customFormat="1" ht="13.5" thickBot="1" x14ac:dyDescent="0.25">
      <c r="B186" s="1458" t="s">
        <v>660</v>
      </c>
      <c r="C186" s="1459"/>
      <c r="D186" s="1458" t="s">
        <v>487</v>
      </c>
      <c r="E186" s="1460"/>
      <c r="F186" s="1460"/>
      <c r="G186" s="1460"/>
      <c r="H186" s="1460">
        <f>857.87+1514.67</f>
        <v>2372.54</v>
      </c>
      <c r="I186" s="1460"/>
      <c r="J186" s="1460"/>
      <c r="K186" s="1460"/>
      <c r="L186" s="1460"/>
      <c r="M186" s="1461"/>
      <c r="N186" s="1461"/>
      <c r="O186" s="1460"/>
      <c r="P186" s="1462">
        <f>SUM(E186:O186)</f>
        <v>2372.54</v>
      </c>
    </row>
    <row r="187" spans="2:16" s="1454" customFormat="1" ht="48" x14ac:dyDescent="0.2">
      <c r="B187" s="1445"/>
      <c r="C187" s="1446"/>
      <c r="D187" s="1447" t="s">
        <v>817</v>
      </c>
      <c r="E187" s="1448">
        <f>E188</f>
        <v>0</v>
      </c>
      <c r="F187" s="1449"/>
      <c r="G187" s="1450"/>
      <c r="H187" s="1448"/>
      <c r="I187" s="1449"/>
      <c r="J187" s="1448">
        <f>J188</f>
        <v>16508.849999999999</v>
      </c>
      <c r="K187" s="1449"/>
      <c r="L187" s="1450"/>
      <c r="M187" s="1451"/>
      <c r="N187" s="1451"/>
      <c r="O187" s="1452">
        <f>SUM(O188)</f>
        <v>0</v>
      </c>
      <c r="P187" s="1453">
        <f>SUM(E187:O187)</f>
        <v>16508.849999999999</v>
      </c>
    </row>
    <row r="188" spans="2:16" s="1454" customFormat="1" ht="13.5" thickBot="1" x14ac:dyDescent="0.25">
      <c r="B188" s="1445" t="s">
        <v>660</v>
      </c>
      <c r="C188" s="1463"/>
      <c r="D188" s="1464" t="s">
        <v>487</v>
      </c>
      <c r="E188" s="1449"/>
      <c r="F188" s="1449"/>
      <c r="G188" s="1449"/>
      <c r="H188" s="1449"/>
      <c r="I188" s="1449"/>
      <c r="J188" s="1449">
        <v>16508.849999999999</v>
      </c>
      <c r="K188" s="1449"/>
      <c r="L188" s="1449"/>
      <c r="M188" s="1451"/>
      <c r="N188" s="1451"/>
      <c r="O188" s="1449"/>
      <c r="P188" s="1457">
        <f>SUM(E188:O188)</f>
        <v>16508.849999999999</v>
      </c>
    </row>
    <row r="189" spans="2:16" s="1454" customFormat="1" x14ac:dyDescent="0.2">
      <c r="B189" s="1445"/>
      <c r="C189" s="1446"/>
      <c r="D189" s="1455"/>
      <c r="E189" s="1456"/>
      <c r="F189" s="1449"/>
      <c r="G189" s="1450"/>
      <c r="H189" s="1449"/>
      <c r="I189" s="1449"/>
      <c r="J189" s="1449"/>
      <c r="K189" s="1449"/>
      <c r="L189" s="1450"/>
      <c r="M189" s="1451"/>
      <c r="N189" s="1451"/>
      <c r="O189" s="1452"/>
      <c r="P189" s="1457">
        <f t="shared" ref="P189" si="12">SUM(E189:O189)</f>
        <v>0</v>
      </c>
    </row>
    <row r="190" spans="2:16" s="1454" customFormat="1" ht="45" x14ac:dyDescent="0.2">
      <c r="B190" s="1445"/>
      <c r="C190" s="1446"/>
      <c r="D190" s="1465" t="s">
        <v>818</v>
      </c>
      <c r="E190" s="1448">
        <f>E191</f>
        <v>0</v>
      </c>
      <c r="F190" s="1449"/>
      <c r="G190" s="1450"/>
      <c r="H190" s="1448"/>
      <c r="I190" s="1448"/>
      <c r="J190" s="1448"/>
      <c r="K190" s="1451">
        <f>K191</f>
        <v>26365.969799999999</v>
      </c>
      <c r="L190" s="1450"/>
      <c r="M190" s="1451"/>
      <c r="N190" s="1451"/>
      <c r="O190" s="1452">
        <f>SUM(O191)</f>
        <v>0</v>
      </c>
      <c r="P190" s="1453">
        <f>SUM(E190:O190)</f>
        <v>26365.969799999999</v>
      </c>
    </row>
    <row r="191" spans="2:16" s="1454" customFormat="1" x14ac:dyDescent="0.2">
      <c r="B191" s="1445" t="s">
        <v>660</v>
      </c>
      <c r="C191" s="1446"/>
      <c r="D191" s="1455" t="s">
        <v>487</v>
      </c>
      <c r="E191" s="1456"/>
      <c r="F191" s="1449"/>
      <c r="G191" s="1450"/>
      <c r="H191" s="1456"/>
      <c r="I191" s="1449"/>
      <c r="J191" s="1456"/>
      <c r="K191" s="1449">
        <v>26365.969799999999</v>
      </c>
      <c r="L191" s="1450"/>
      <c r="M191" s="1451"/>
      <c r="N191" s="1451"/>
      <c r="O191" s="1450"/>
      <c r="P191" s="1457">
        <f>SUM(E191:O191)</f>
        <v>26365.969799999999</v>
      </c>
    </row>
    <row r="192" spans="2:16" s="1454" customFormat="1" x14ac:dyDescent="0.2">
      <c r="B192" s="1445"/>
      <c r="C192" s="1446"/>
      <c r="D192" s="1455"/>
      <c r="E192" s="1456"/>
      <c r="F192" s="1449"/>
      <c r="G192" s="1450"/>
      <c r="H192" s="1449"/>
      <c r="I192" s="1449"/>
      <c r="J192" s="1449"/>
      <c r="K192" s="1449"/>
      <c r="L192" s="1450"/>
      <c r="M192" s="1451"/>
      <c r="N192" s="1451"/>
      <c r="O192" s="1452"/>
      <c r="P192" s="1457">
        <f t="shared" ref="P192" si="13">SUM(E192:O192)</f>
        <v>0</v>
      </c>
    </row>
    <row r="193" spans="1:16" s="1454" customFormat="1" ht="48" x14ac:dyDescent="0.2">
      <c r="B193" s="1445"/>
      <c r="C193" s="1446"/>
      <c r="D193" s="1447" t="s">
        <v>819</v>
      </c>
      <c r="E193" s="1448">
        <f>E194</f>
        <v>0</v>
      </c>
      <c r="F193" s="1449"/>
      <c r="G193" s="1450"/>
      <c r="H193" s="1448"/>
      <c r="I193" s="1448"/>
      <c r="J193" s="1448"/>
      <c r="K193" s="1451"/>
      <c r="L193" s="1451">
        <f>L194</f>
        <v>126088.72</v>
      </c>
      <c r="M193" s="1451"/>
      <c r="N193" s="1451"/>
      <c r="O193" s="1452">
        <f>SUM(O194)</f>
        <v>0</v>
      </c>
      <c r="P193" s="1453">
        <f>SUM(E193:O193)</f>
        <v>126088.72</v>
      </c>
    </row>
    <row r="194" spans="1:16" s="1454" customFormat="1" x14ac:dyDescent="0.2">
      <c r="B194" s="1445" t="s">
        <v>660</v>
      </c>
      <c r="C194" s="1446"/>
      <c r="D194" s="1455" t="s">
        <v>487</v>
      </c>
      <c r="E194" s="1456"/>
      <c r="F194" s="1449"/>
      <c r="G194" s="1450"/>
      <c r="H194" s="1456"/>
      <c r="I194" s="1449"/>
      <c r="J194" s="1456"/>
      <c r="K194" s="1449"/>
      <c r="L194" s="1449">
        <f>126087.31+1.41</f>
        <v>126088.72</v>
      </c>
      <c r="M194" s="1451"/>
      <c r="N194" s="1451"/>
      <c r="O194" s="1450"/>
      <c r="P194" s="1457">
        <f>SUM(E194:O194)</f>
        <v>126088.72</v>
      </c>
    </row>
    <row r="195" spans="1:16" s="1454" customFormat="1" x14ac:dyDescent="0.2">
      <c r="B195" s="1445"/>
      <c r="C195" s="1446"/>
      <c r="D195" s="1455"/>
      <c r="E195" s="1456"/>
      <c r="F195" s="1449"/>
      <c r="G195" s="1450"/>
      <c r="H195" s="1449"/>
      <c r="I195" s="1449"/>
      <c r="J195" s="1449"/>
      <c r="K195" s="1449"/>
      <c r="L195" s="1450"/>
      <c r="M195" s="1451"/>
      <c r="N195" s="1451"/>
      <c r="O195" s="1452"/>
      <c r="P195" s="1457">
        <f t="shared" ref="P195" si="14">SUM(E195:O195)</f>
        <v>0</v>
      </c>
    </row>
    <row r="196" spans="1:16" s="1454" customFormat="1" ht="48" x14ac:dyDescent="0.2">
      <c r="B196" s="1445"/>
      <c r="C196" s="1446"/>
      <c r="D196" s="1447" t="s">
        <v>820</v>
      </c>
      <c r="E196" s="1448">
        <f>E197</f>
        <v>0</v>
      </c>
      <c r="F196" s="1449"/>
      <c r="G196" s="1450"/>
      <c r="H196" s="1448"/>
      <c r="I196" s="1448"/>
      <c r="J196" s="1448"/>
      <c r="K196" s="1451"/>
      <c r="L196" s="1451">
        <f>L197</f>
        <v>124728</v>
      </c>
      <c r="M196" s="1451"/>
      <c r="N196" s="1451"/>
      <c r="O196" s="1452">
        <f>SUM(O197)</f>
        <v>0</v>
      </c>
      <c r="P196" s="1453">
        <f>SUM(E196:O196)</f>
        <v>124728</v>
      </c>
    </row>
    <row r="197" spans="1:16" s="1454" customFormat="1" x14ac:dyDescent="0.2">
      <c r="B197" s="1445" t="s">
        <v>660</v>
      </c>
      <c r="C197" s="1446"/>
      <c r="D197" s="1455" t="s">
        <v>487</v>
      </c>
      <c r="E197" s="1456"/>
      <c r="F197" s="1449"/>
      <c r="G197" s="1450"/>
      <c r="H197" s="1456"/>
      <c r="I197" s="1449"/>
      <c r="J197" s="1456"/>
      <c r="K197" s="1449"/>
      <c r="L197" s="1449">
        <v>124728</v>
      </c>
      <c r="M197" s="1451"/>
      <c r="N197" s="1451"/>
      <c r="O197" s="1450"/>
      <c r="P197" s="1457">
        <f>SUM(E197:O197)</f>
        <v>124728</v>
      </c>
    </row>
    <row r="198" spans="1:16" s="1454" customFormat="1" x14ac:dyDescent="0.2">
      <c r="B198" s="1445"/>
      <c r="C198" s="1446"/>
      <c r="D198" s="1455"/>
      <c r="E198" s="1456"/>
      <c r="F198" s="1449"/>
      <c r="G198" s="1450"/>
      <c r="H198" s="1449"/>
      <c r="I198" s="1449"/>
      <c r="J198" s="1449"/>
      <c r="K198" s="1449"/>
      <c r="L198" s="1450"/>
      <c r="M198" s="1451"/>
      <c r="N198" s="1451"/>
      <c r="O198" s="1452"/>
      <c r="P198" s="1457">
        <f t="shared" ref="P198" si="15">SUM(E198:O198)</f>
        <v>0</v>
      </c>
    </row>
    <row r="199" spans="1:16" s="1454" customFormat="1" ht="24" x14ac:dyDescent="0.2">
      <c r="B199" s="1445"/>
      <c r="C199" s="1446"/>
      <c r="D199" s="1447" t="s">
        <v>823</v>
      </c>
      <c r="E199" s="1466"/>
      <c r="F199" s="1449"/>
      <c r="G199" s="1450"/>
      <c r="H199" s="1448"/>
      <c r="I199" s="1448"/>
      <c r="J199" s="1448"/>
      <c r="K199" s="1451"/>
      <c r="L199" s="1451">
        <f>L201</f>
        <v>7656.91</v>
      </c>
      <c r="M199" s="1451"/>
      <c r="N199" s="1451"/>
      <c r="O199" s="1452">
        <f>SUM(O201)</f>
        <v>0</v>
      </c>
      <c r="P199" s="1453">
        <f>SUM(E199:O199)</f>
        <v>7656.91</v>
      </c>
    </row>
    <row r="200" spans="1:16" s="1454" customFormat="1" x14ac:dyDescent="0.2">
      <c r="B200" s="1445"/>
      <c r="C200" s="1446"/>
      <c r="D200" s="1447"/>
      <c r="E200" s="1448"/>
      <c r="F200" s="1449"/>
      <c r="G200" s="1450"/>
      <c r="H200" s="1448"/>
      <c r="I200" s="1448"/>
      <c r="J200" s="1448"/>
      <c r="K200" s="1451"/>
      <c r="L200" s="1451"/>
      <c r="M200" s="1451"/>
      <c r="N200" s="1451"/>
      <c r="O200" s="1452"/>
      <c r="P200" s="1453"/>
    </row>
    <row r="201" spans="1:16" s="1454" customFormat="1" x14ac:dyDescent="0.2">
      <c r="B201" s="1445" t="s">
        <v>660</v>
      </c>
      <c r="C201" s="1446"/>
      <c r="D201" s="1455" t="s">
        <v>487</v>
      </c>
      <c r="E201" s="1456"/>
      <c r="F201" s="1449"/>
      <c r="G201" s="1450"/>
      <c r="H201" s="1456"/>
      <c r="I201" s="1449"/>
      <c r="J201" s="1456"/>
      <c r="K201" s="1449"/>
      <c r="L201" s="1449">
        <v>7656.91</v>
      </c>
      <c r="M201" s="1451"/>
      <c r="N201" s="1451"/>
      <c r="O201" s="1450"/>
      <c r="P201" s="1457">
        <f>SUM(E201:O201)</f>
        <v>7656.91</v>
      </c>
    </row>
    <row r="202" spans="1:16" s="1454" customFormat="1" x14ac:dyDescent="0.2">
      <c r="B202" s="1445"/>
      <c r="C202" s="1446"/>
      <c r="D202" s="1455"/>
      <c r="E202" s="1456"/>
      <c r="F202" s="1449"/>
      <c r="G202" s="1450"/>
      <c r="H202" s="1449"/>
      <c r="I202" s="1449"/>
      <c r="J202" s="1449"/>
      <c r="K202" s="1449"/>
      <c r="L202" s="1450"/>
      <c r="M202" s="1451"/>
      <c r="N202" s="1451"/>
      <c r="O202" s="1452"/>
      <c r="P202" s="1457">
        <f t="shared" ref="P202" si="16">SUM(E202:O202)</f>
        <v>0</v>
      </c>
    </row>
    <row r="203" spans="1:16" s="1454" customFormat="1" x14ac:dyDescent="0.2">
      <c r="B203" s="1445"/>
      <c r="C203" s="1446"/>
      <c r="D203" s="1447" t="s">
        <v>754</v>
      </c>
      <c r="E203" s="1448">
        <f>E204</f>
        <v>72969</v>
      </c>
      <c r="F203" s="1449"/>
      <c r="G203" s="1450"/>
      <c r="H203" s="1448">
        <f>H204</f>
        <v>566.47</v>
      </c>
      <c r="I203" s="1449"/>
      <c r="J203" s="1448">
        <f>J204</f>
        <v>209.15</v>
      </c>
      <c r="K203" s="1449"/>
      <c r="L203" s="1450"/>
      <c r="M203" s="1451">
        <f>SUM(M204)</f>
        <v>146.01</v>
      </c>
      <c r="N203" s="1451"/>
      <c r="O203" s="1452">
        <f>SUM(O204)</f>
        <v>0</v>
      </c>
      <c r="P203" s="1457">
        <f>P204</f>
        <v>73890.62999999999</v>
      </c>
    </row>
    <row r="204" spans="1:16" s="1469" customFormat="1" x14ac:dyDescent="0.2">
      <c r="A204" s="1454"/>
      <c r="B204" s="1445">
        <v>72201</v>
      </c>
      <c r="C204" s="1467" t="s">
        <v>459</v>
      </c>
      <c r="D204" s="1468" t="s">
        <v>684</v>
      </c>
      <c r="E204" s="1456">
        <f>316.8+3916.5+1347.7+47156+1050+4782+14400</f>
        <v>72969</v>
      </c>
      <c r="F204" s="1451"/>
      <c r="G204" s="1452"/>
      <c r="H204" s="1456">
        <f>126.33+440.14</f>
        <v>566.47</v>
      </c>
      <c r="I204" s="1451"/>
      <c r="J204" s="1456">
        <v>209.15</v>
      </c>
      <c r="K204" s="1449"/>
      <c r="L204" s="1452"/>
      <c r="M204" s="1449">
        <v>146.01</v>
      </c>
      <c r="N204" s="1451"/>
      <c r="O204" s="1450"/>
      <c r="P204" s="1453">
        <f t="shared" si="10"/>
        <v>73890.62999999999</v>
      </c>
    </row>
    <row r="205" spans="1:16" ht="13.5" thickBot="1" x14ac:dyDescent="0.25">
      <c r="B205" s="1470" t="s">
        <v>459</v>
      </c>
      <c r="C205" s="1384" t="s">
        <v>459</v>
      </c>
      <c r="D205" s="1378"/>
      <c r="E205" s="1391"/>
      <c r="F205" s="1387"/>
      <c r="G205" s="1388"/>
      <c r="H205" s="1387"/>
      <c r="I205" s="1387"/>
      <c r="J205" s="1387"/>
      <c r="K205" s="1387"/>
      <c r="L205" s="1388"/>
      <c r="M205" s="1387"/>
      <c r="N205" s="1387"/>
      <c r="O205" s="1389"/>
      <c r="P205" s="1390"/>
    </row>
    <row r="206" spans="1:16" ht="17.25" customHeight="1" thickBot="1" x14ac:dyDescent="0.25">
      <c r="B206" s="1471"/>
      <c r="C206" s="1472" t="s">
        <v>459</v>
      </c>
      <c r="D206" s="1473" t="s">
        <v>574</v>
      </c>
      <c r="E206" s="1474">
        <f>E203+E179+E170+E167+E164+E161+E156+E150+E143+E139+E131+E120+E105+E97+E91+E87+E83+E80+E74+E71+E67+E64+E61+E51+E45+E42+E26+E20+E14</f>
        <v>1292473.5999999999</v>
      </c>
      <c r="F206" s="1474">
        <f>F77</f>
        <v>108857.97</v>
      </c>
      <c r="G206" s="1475">
        <v>0</v>
      </c>
      <c r="H206" s="1476">
        <f>H182+H185+H203</f>
        <v>5569.71</v>
      </c>
      <c r="I206" s="1476"/>
      <c r="J206" s="1476">
        <f>J187+J203</f>
        <v>16718</v>
      </c>
      <c r="K206" s="1476">
        <f>K190+K203</f>
        <v>26365.969799999999</v>
      </c>
      <c r="L206" s="1475">
        <f>L193+L196+L199</f>
        <v>258473.63</v>
      </c>
      <c r="M206" s="1477">
        <f>M173+M176+M179+M203</f>
        <v>58210.16</v>
      </c>
      <c r="N206" s="1478" t="e">
        <f>N14+N20+N26+#REF!+N42+N45+#REF!+N51+N61+N64+N67+N71+N74+N77+#REF!+N91+#REF!+N97+#REF!+N105+N120+N131+N139+#REF!+N143+N150+N156+N161+N165+N168+#REF!+N180+N171</f>
        <v>#REF!</v>
      </c>
      <c r="O206" s="1478">
        <f>O48+O153+O179+O23</f>
        <v>807382.89000000013</v>
      </c>
      <c r="P206" s="1477">
        <f>P203+P199+P196+P193+P190+P187+P185+P182+P179+P176+P173+P170+P167+P164+P161+P156+P153+P150+P143+P139+P131+P120+P105+P97+P91+P77+P74+P71+P67+P64+P61+P51+P48+P45+P42+P26+P23+P20+P14</f>
        <v>2114051.9298</v>
      </c>
    </row>
    <row r="207" spans="1:16" ht="17.25" customHeight="1" x14ac:dyDescent="0.2">
      <c r="B207" s="1412"/>
      <c r="C207" s="1479"/>
      <c r="D207" s="1398"/>
      <c r="E207" s="1400"/>
      <c r="F207" s="1400"/>
      <c r="G207" s="1400"/>
      <c r="H207" s="1400"/>
      <c r="I207" s="1400"/>
      <c r="J207" s="1400"/>
      <c r="K207" s="1400"/>
      <c r="L207" s="1400"/>
      <c r="M207" s="1400"/>
      <c r="N207" s="1400"/>
      <c r="O207" s="1400"/>
      <c r="P207" s="1480"/>
    </row>
    <row r="208" spans="1:16" ht="17.25" customHeight="1" x14ac:dyDescent="0.2">
      <c r="B208" s="1412"/>
      <c r="C208" s="1479"/>
      <c r="D208" s="1398"/>
      <c r="E208" s="1400"/>
      <c r="F208" s="1400"/>
      <c r="G208" s="1400"/>
      <c r="H208" s="1400"/>
      <c r="I208" s="1400"/>
      <c r="J208" s="1400"/>
      <c r="K208" s="1400"/>
      <c r="L208" s="1400"/>
      <c r="M208" s="1400"/>
      <c r="N208" s="1400"/>
      <c r="O208" s="1400"/>
      <c r="P208" s="1480"/>
    </row>
    <row r="209" spans="4:16" x14ac:dyDescent="0.2">
      <c r="E209" s="1482"/>
      <c r="L209" s="1482">
        <f>+H206+J206+K206+L206</f>
        <v>307127.30979999999</v>
      </c>
      <c r="N209" s="1482"/>
      <c r="O209" s="1482"/>
      <c r="P209" s="1482"/>
    </row>
    <row r="210" spans="4:16" x14ac:dyDescent="0.2">
      <c r="E210" s="1484"/>
      <c r="M210" s="1485"/>
      <c r="N210" s="1482"/>
      <c r="O210" s="1482"/>
      <c r="P210" s="1482"/>
    </row>
    <row r="211" spans="4:16" x14ac:dyDescent="0.2">
      <c r="E211" s="1485"/>
      <c r="L211" s="1486">
        <v>182399.30979999999</v>
      </c>
      <c r="M211" s="1482"/>
      <c r="N211" s="1482"/>
      <c r="O211" s="1487"/>
    </row>
    <row r="212" spans="4:16" x14ac:dyDescent="0.2">
      <c r="D212" s="1481" t="s">
        <v>821</v>
      </c>
      <c r="E212" s="1484"/>
      <c r="L212" s="1482">
        <f>+L209-L211</f>
        <v>124728</v>
      </c>
      <c r="M212" s="1482"/>
      <c r="N212" s="1482"/>
    </row>
    <row r="213" spans="4:16" x14ac:dyDescent="0.2">
      <c r="F213" s="1488"/>
      <c r="G213" s="1488"/>
      <c r="H213" s="1488"/>
      <c r="I213" s="1488"/>
      <c r="J213" s="1488"/>
      <c r="K213" s="1488"/>
      <c r="L213" s="1488"/>
      <c r="M213" s="1489"/>
      <c r="N213" s="1490"/>
      <c r="O213" s="1488"/>
    </row>
    <row r="214" spans="4:16" x14ac:dyDescent="0.2">
      <c r="D214" s="1481" t="s">
        <v>822</v>
      </c>
      <c r="F214" s="1491">
        <f>E206+F206</f>
        <v>1401331.5699999998</v>
      </c>
      <c r="G214" s="1488"/>
      <c r="H214" s="1491">
        <f>G206+H206</f>
        <v>5569.71</v>
      </c>
      <c r="I214" s="1488"/>
      <c r="J214" s="1488"/>
      <c r="K214" s="1488"/>
      <c r="L214" s="1488"/>
      <c r="M214" s="1491">
        <f>E206+'AG4'!E66</f>
        <v>1650806.73</v>
      </c>
      <c r="N214" s="1488"/>
      <c r="O214" s="1488">
        <v>389789.78999999992</v>
      </c>
    </row>
    <row r="215" spans="4:16" x14ac:dyDescent="0.2">
      <c r="F215" s="1488"/>
      <c r="G215" s="1488"/>
      <c r="H215" s="1488"/>
      <c r="I215" s="1488"/>
      <c r="J215" s="1488"/>
      <c r="K215" s="1488"/>
      <c r="L215" s="1488"/>
      <c r="M215" s="1488"/>
      <c r="N215" s="1488"/>
      <c r="O215" s="1488"/>
    </row>
    <row r="216" spans="4:16" x14ac:dyDescent="0.2">
      <c r="F216" s="1488">
        <f>'AG4'!E66+'AG4'!F66</f>
        <v>669410.71</v>
      </c>
      <c r="G216" s="1488"/>
      <c r="H216" s="1488">
        <f>'AG4'!G66+'AG4'!H66</f>
        <v>299372.44</v>
      </c>
      <c r="I216" s="1488"/>
      <c r="J216" s="1488"/>
      <c r="K216" s="1488"/>
      <c r="L216" s="1488"/>
      <c r="M216" s="1491">
        <f>M214+O214</f>
        <v>2040596.52</v>
      </c>
      <c r="N216" s="1488"/>
      <c r="O216" s="1488"/>
    </row>
    <row r="217" spans="4:16" x14ac:dyDescent="0.2">
      <c r="D217" s="1481" t="s">
        <v>459</v>
      </c>
      <c r="F217" s="1491">
        <f>SUM(F214:F216)</f>
        <v>2070742.2799999998</v>
      </c>
      <c r="G217" s="1488"/>
      <c r="H217" s="1491">
        <f>SUM(H214:H216)</f>
        <v>304942.15000000002</v>
      </c>
      <c r="I217" s="1488"/>
      <c r="J217" s="1488"/>
      <c r="K217" s="1488"/>
      <c r="L217" s="1488"/>
      <c r="M217" s="1488"/>
      <c r="N217" s="1488"/>
      <c r="O217" s="1488"/>
    </row>
    <row r="218" spans="4:16" x14ac:dyDescent="0.2">
      <c r="D218" s="1481" t="s">
        <v>459</v>
      </c>
      <c r="F218" s="1488"/>
      <c r="G218" s="1488"/>
      <c r="H218" s="1488"/>
      <c r="I218" s="1488"/>
      <c r="J218" s="1488"/>
      <c r="K218" s="1488"/>
      <c r="L218" s="1488"/>
      <c r="M218" s="1488"/>
      <c r="N218" s="1488"/>
      <c r="O218" s="1488"/>
    </row>
  </sheetData>
  <autoFilter ref="B13:P206"/>
  <mergeCells count="12">
    <mergeCell ref="B8:P8"/>
    <mergeCell ref="B9:P9"/>
    <mergeCell ref="B11:B12"/>
    <mergeCell ref="C11:C12"/>
    <mergeCell ref="D11:D12"/>
    <mergeCell ref="P11:P12"/>
    <mergeCell ref="E11:O11"/>
    <mergeCell ref="B2:P2"/>
    <mergeCell ref="B3:P3"/>
    <mergeCell ref="B5:P5"/>
    <mergeCell ref="B6:P6"/>
    <mergeCell ref="B7:P7"/>
  </mergeCells>
  <phoneticPr fontId="6" type="noConversion"/>
  <printOptions horizontalCentered="1"/>
  <pageMargins left="0" right="0.23622047244094491" top="0.82677165354330717" bottom="0.86614173228346458" header="0" footer="0"/>
  <pageSetup paperSize="5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12</vt:i4>
      </vt:variant>
    </vt:vector>
  </HeadingPairs>
  <TitlesOfParts>
    <vt:vector size="30" baseType="lpstr">
      <vt:lpstr>ESTRUCTURA PRESP.</vt:lpstr>
      <vt:lpstr>ING. REALES</vt:lpstr>
      <vt:lpstr>DISTRIBUCIÓN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SEGUROS</vt:lpstr>
      <vt:lpstr>'AG1'!Área_de_impresión</vt:lpstr>
      <vt:lpstr>CONSOLIDADO!Área_de_impresión</vt:lpstr>
      <vt:lpstr>'egresos 25% y F.P'!Área_de_impresión</vt:lpstr>
      <vt:lpstr>'ESTRUCTURA PRESP.'!Área_de_impresión</vt:lpstr>
      <vt:lpstr>'PRESUP.DE EGRESOS'!Área_de_impresión</vt:lpstr>
      <vt:lpstr>RESUMEN1!Área_de_impresión</vt:lpstr>
      <vt:lpstr>'AG1'!Títulos_a_imprimir</vt:lpstr>
      <vt:lpstr>'AG3'!Títulos_a_imprimir</vt:lpstr>
      <vt:lpstr>'AG4'!Títulos_a_imprimir</vt:lpstr>
      <vt:lpstr>CONSOLIDADO!Títulos_a_imprimir</vt:lpstr>
      <vt:lpstr>DISTRIBUCIÓN!Títulos_a_imprimir</vt:lpstr>
      <vt:lpstr>'PRESUP.DE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2021-05-01T00:01:54Z</cp:lastPrinted>
  <dcterms:created xsi:type="dcterms:W3CDTF">2009-03-12T16:54:49Z</dcterms:created>
  <dcterms:modified xsi:type="dcterms:W3CDTF">2021-08-10T18:22:24Z</dcterms:modified>
</cp:coreProperties>
</file>